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12.xml" ContentType="application/vnd.openxmlformats-officedocument.spreadsheetml.table+xml"/>
  <Override PartName="/xl/drawings/drawing16.xml" ContentType="application/vnd.openxmlformats-officedocument.drawing+xml"/>
  <Override PartName="/xl/tables/table13.xml" ContentType="application/vnd.openxmlformats-officedocument.spreadsheetml.table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SSD\Collection\"/>
    </mc:Choice>
  </mc:AlternateContent>
  <workbookProtection workbookPassword="F128" lockStructure="1"/>
  <bookViews>
    <workbookView xWindow="0" yWindow="0" windowWidth="20490" windowHeight="7665" firstSheet="1" activeTab="1"/>
  </bookViews>
  <sheets>
    <sheet name="Suggestions and challenges" sheetId="18" r:id="rId1"/>
    <sheet name="Summary" sheetId="21" r:id="rId2"/>
    <sheet name="Monthly Report for WFP" sheetId="22" r:id="rId3"/>
    <sheet name="Home Page" sheetId="1" r:id="rId4"/>
    <sheet name="Report" sheetId="17" r:id="rId5"/>
    <sheet name="Enrollment" sheetId="19" r:id="rId6"/>
    <sheet name="Disterbution" sheetId="20" r:id="rId7"/>
    <sheet name="Help Disk_NABEDH" sheetId="5" r:id="rId8"/>
    <sheet name="Help Disk_ATHAR" sheetId="4" r:id="rId9"/>
    <sheet name="Monitoring_NABEDH" sheetId="11" r:id="rId10"/>
    <sheet name="Awareness_CB_NABEDH" sheetId="9" r:id="rId11"/>
    <sheet name="Awareness_CB_ATHAR" sheetId="8" r:id="rId12"/>
    <sheet name="MUAC_ ATHAR" sheetId="2" r:id="rId13"/>
    <sheet name="MUAC_NABEDH" sheetId="3" r:id="rId14"/>
    <sheet name="protaction" sheetId="14" r:id="rId15"/>
    <sheet name="Monitoring_ATHAR" sheetId="10" r:id="rId16"/>
    <sheet name="Reception ATHER" sheetId="15" r:id="rId17"/>
    <sheet name="Reception NABEDH" sheetId="16" r:id="rId18"/>
  </sheets>
  <definedNames>
    <definedName name="_xlnm.Print_Area" localSheetId="4">Report!$A$2:$G$59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2" l="1"/>
  <c r="C20" i="22"/>
  <c r="A20" i="22" l="1"/>
  <c r="D4" i="21" l="1"/>
  <c r="D11" i="21" s="1"/>
  <c r="E5" i="21"/>
  <c r="F5" i="21"/>
  <c r="F6" i="21"/>
  <c r="E7" i="21"/>
  <c r="F7" i="21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A24" i="1"/>
  <c r="E33" i="19"/>
  <c r="E33" i="20"/>
  <c r="I16" i="1"/>
  <c r="I17" i="1"/>
  <c r="F6" i="11"/>
  <c r="F9" i="11"/>
  <c r="F12" i="11"/>
  <c r="F15" i="11"/>
  <c r="F18" i="11"/>
  <c r="F21" i="11"/>
  <c r="B39" i="10" l="1"/>
  <c r="E24" i="17" s="1"/>
  <c r="D38" i="10"/>
  <c r="C38" i="10"/>
  <c r="D37" i="10"/>
  <c r="C37" i="10"/>
  <c r="D36" i="10"/>
  <c r="C36" i="10"/>
  <c r="D35" i="10"/>
  <c r="C35" i="10"/>
  <c r="D34" i="10"/>
  <c r="C34" i="10"/>
  <c r="D33" i="10"/>
  <c r="C33" i="10"/>
  <c r="D32" i="10"/>
  <c r="C32" i="10"/>
  <c r="D31" i="10"/>
  <c r="C31" i="10"/>
  <c r="D30" i="10"/>
  <c r="C30" i="10"/>
  <c r="D29" i="10"/>
  <c r="C29" i="10"/>
  <c r="D28" i="10"/>
  <c r="C28" i="10"/>
  <c r="D27" i="10"/>
  <c r="D39" i="10" s="1"/>
  <c r="G25" i="17" s="1"/>
  <c r="C27" i="10"/>
  <c r="C39" i="10" s="1"/>
  <c r="B24" i="10"/>
  <c r="A24" i="10"/>
  <c r="I11" i="1" s="1"/>
  <c r="F21" i="10"/>
  <c r="E21" i="10"/>
  <c r="F18" i="10"/>
  <c r="E18" i="10"/>
  <c r="F15" i="10"/>
  <c r="E15" i="10"/>
  <c r="F12" i="10"/>
  <c r="E12" i="10"/>
  <c r="F9" i="10"/>
  <c r="E9" i="10"/>
  <c r="F6" i="10"/>
  <c r="E6" i="10"/>
  <c r="F3" i="10"/>
  <c r="F24" i="10" s="1"/>
  <c r="F23" i="17" s="1"/>
  <c r="E3" i="10"/>
  <c r="K20" i="14"/>
  <c r="J20" i="14"/>
  <c r="H20" i="14"/>
  <c r="E32" i="17" s="1"/>
  <c r="F20" i="14"/>
  <c r="E20" i="14"/>
  <c r="C20" i="14"/>
  <c r="A20" i="14"/>
  <c r="I15" i="1" s="1"/>
  <c r="L19" i="14"/>
  <c r="G19" i="14"/>
  <c r="L18" i="14"/>
  <c r="G18" i="14"/>
  <c r="L17" i="14"/>
  <c r="G17" i="14"/>
  <c r="L16" i="14"/>
  <c r="G16" i="14"/>
  <c r="L15" i="14"/>
  <c r="G15" i="14"/>
  <c r="L14" i="14"/>
  <c r="G14" i="14"/>
  <c r="L13" i="14"/>
  <c r="G13" i="14"/>
  <c r="L12" i="14"/>
  <c r="G12" i="14"/>
  <c r="L11" i="14"/>
  <c r="G11" i="14"/>
  <c r="L10" i="14"/>
  <c r="G10" i="14"/>
  <c r="L9" i="14"/>
  <c r="G9" i="14"/>
  <c r="L8" i="14"/>
  <c r="G8" i="14"/>
  <c r="L7" i="14"/>
  <c r="G7" i="14"/>
  <c r="L6" i="14"/>
  <c r="G6" i="14"/>
  <c r="L5" i="14"/>
  <c r="G5" i="14"/>
  <c r="L4" i="14"/>
  <c r="G4" i="14"/>
  <c r="L3" i="14"/>
  <c r="G3" i="14"/>
  <c r="L2" i="14"/>
  <c r="G2" i="14"/>
  <c r="G20" i="14" s="1"/>
  <c r="E29" i="17" s="1"/>
  <c r="L34" i="19"/>
  <c r="F66" i="17" s="1"/>
  <c r="K34" i="19"/>
  <c r="F27" i="17" s="1"/>
  <c r="D34" i="19"/>
  <c r="F65" i="17" s="1"/>
  <c r="C34" i="19"/>
  <c r="F26" i="17" s="1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O3" i="19"/>
  <c r="O4" i="19" s="1"/>
  <c r="O5" i="19" s="1"/>
  <c r="O6" i="19" s="1"/>
  <c r="O7" i="19" s="1"/>
  <c r="O8" i="19" s="1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N3" i="19"/>
  <c r="N4" i="19" s="1"/>
  <c r="N5" i="19" s="1"/>
  <c r="N6" i="19" s="1"/>
  <c r="N7" i="19" s="1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G3" i="19"/>
  <c r="F3" i="19"/>
  <c r="F4" i="19" s="1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E3" i="19"/>
  <c r="L34" i="20"/>
  <c r="E60" i="17" s="1"/>
  <c r="C3" i="22" s="1"/>
  <c r="K34" i="20"/>
  <c r="E21" i="17" s="1"/>
  <c r="B3" i="22" s="1"/>
  <c r="D34" i="20"/>
  <c r="C34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O3" i="20"/>
  <c r="O4" i="20" s="1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N3" i="20"/>
  <c r="N4" i="20" s="1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N24" i="20" s="1"/>
  <c r="N25" i="20" s="1"/>
  <c r="N26" i="20" s="1"/>
  <c r="N27" i="20" s="1"/>
  <c r="N28" i="20" s="1"/>
  <c r="N29" i="20" s="1"/>
  <c r="N30" i="20" s="1"/>
  <c r="N31" i="20" s="1"/>
  <c r="N32" i="20" s="1"/>
  <c r="N33" i="20" s="1"/>
  <c r="G3" i="20"/>
  <c r="G4" i="20" s="1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E3" i="20"/>
  <c r="BI75" i="8"/>
  <c r="BH75" i="8"/>
  <c r="BG75" i="8"/>
  <c r="BF75" i="8"/>
  <c r="BE75" i="8"/>
  <c r="BD75" i="8"/>
  <c r="BC75" i="8"/>
  <c r="BB75" i="8"/>
  <c r="BA75" i="8"/>
  <c r="AZ75" i="8"/>
  <c r="AY75" i="8"/>
  <c r="AX75" i="8"/>
  <c r="AW75" i="8"/>
  <c r="AV75" i="8"/>
  <c r="AU75" i="8"/>
  <c r="AT75" i="8"/>
  <c r="AS75" i="8"/>
  <c r="AR75" i="8"/>
  <c r="AQ75" i="8"/>
  <c r="AP75" i="8"/>
  <c r="AO75" i="8"/>
  <c r="AN75" i="8"/>
  <c r="AM75" i="8"/>
  <c r="AL75" i="8"/>
  <c r="AK75" i="8"/>
  <c r="AJ75" i="8"/>
  <c r="AI75" i="8"/>
  <c r="AH75" i="8"/>
  <c r="AG75" i="8"/>
  <c r="AF75" i="8"/>
  <c r="AE75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BI74" i="8"/>
  <c r="BH74" i="8"/>
  <c r="BG74" i="8"/>
  <c r="BF74" i="8"/>
  <c r="BE74" i="8"/>
  <c r="BD74" i="8"/>
  <c r="BC74" i="8"/>
  <c r="BB74" i="8"/>
  <c r="BA74" i="8"/>
  <c r="AZ74" i="8"/>
  <c r="AY74" i="8"/>
  <c r="AX74" i="8"/>
  <c r="AW74" i="8"/>
  <c r="AV74" i="8"/>
  <c r="AU74" i="8"/>
  <c r="AT74" i="8"/>
  <c r="AS74" i="8"/>
  <c r="AR74" i="8"/>
  <c r="AQ74" i="8"/>
  <c r="AP74" i="8"/>
  <c r="AO74" i="8"/>
  <c r="AN74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BI72" i="8"/>
  <c r="BH72" i="8"/>
  <c r="BG72" i="8"/>
  <c r="BF72" i="8"/>
  <c r="BE72" i="8"/>
  <c r="BD72" i="8"/>
  <c r="BC72" i="8"/>
  <c r="BB72" i="8"/>
  <c r="BA72" i="8"/>
  <c r="AZ72" i="8"/>
  <c r="AY72" i="8"/>
  <c r="AX72" i="8"/>
  <c r="AW72" i="8"/>
  <c r="AV72" i="8"/>
  <c r="AU72" i="8"/>
  <c r="AT72" i="8"/>
  <c r="AS72" i="8"/>
  <c r="AR72" i="8"/>
  <c r="AQ72" i="8"/>
  <c r="AP72" i="8"/>
  <c r="AO72" i="8"/>
  <c r="AN72" i="8"/>
  <c r="AM72" i="8"/>
  <c r="AL72" i="8"/>
  <c r="AK72" i="8"/>
  <c r="AJ72" i="8"/>
  <c r="AI72" i="8"/>
  <c r="AH72" i="8"/>
  <c r="AG72" i="8"/>
  <c r="AF72" i="8"/>
  <c r="AE72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BI71" i="8"/>
  <c r="BH71" i="8"/>
  <c r="BG71" i="8"/>
  <c r="BF71" i="8"/>
  <c r="BE71" i="8"/>
  <c r="BD71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BI70" i="8"/>
  <c r="BH70" i="8"/>
  <c r="BG70" i="8"/>
  <c r="BF70" i="8"/>
  <c r="BE70" i="8"/>
  <c r="BD70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BI69" i="8"/>
  <c r="BH69" i="8"/>
  <c r="BG69" i="8"/>
  <c r="BF69" i="8"/>
  <c r="BE69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BI68" i="8"/>
  <c r="BH68" i="8"/>
  <c r="BG68" i="8"/>
  <c r="BF68" i="8"/>
  <c r="BE68" i="8"/>
  <c r="BD68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T68" i="8"/>
  <c r="S68" i="8"/>
  <c r="R68" i="8"/>
  <c r="Q68" i="8"/>
  <c r="P68" i="8"/>
  <c r="O68" i="8"/>
  <c r="N68" i="8"/>
  <c r="M68" i="8"/>
  <c r="L68" i="8"/>
  <c r="K68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BI66" i="8"/>
  <c r="BH66" i="8"/>
  <c r="BG66" i="8"/>
  <c r="BF66" i="8"/>
  <c r="BE66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BI65" i="8"/>
  <c r="BH65" i="8"/>
  <c r="BG65" i="8"/>
  <c r="BF65" i="8"/>
  <c r="BE65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BI64" i="8"/>
  <c r="BH64" i="8"/>
  <c r="BG64" i="8"/>
  <c r="BF64" i="8"/>
  <c r="BE64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BI63" i="8"/>
  <c r="BH63" i="8"/>
  <c r="BG63" i="8"/>
  <c r="BF63" i="8"/>
  <c r="BE63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BI54" i="8"/>
  <c r="BH54" i="8"/>
  <c r="BG54" i="8"/>
  <c r="BF54" i="8"/>
  <c r="BE54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BI53" i="8"/>
  <c r="BH53" i="8"/>
  <c r="BG53" i="8"/>
  <c r="BF53" i="8"/>
  <c r="BE53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BI52" i="8"/>
  <c r="BH52" i="8"/>
  <c r="BG52" i="8"/>
  <c r="BF52" i="8"/>
  <c r="BE52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BI51" i="8"/>
  <c r="BH51" i="8"/>
  <c r="BG51" i="8"/>
  <c r="BF51" i="8"/>
  <c r="BE51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BI50" i="8"/>
  <c r="BH50" i="8"/>
  <c r="BG50" i="8"/>
  <c r="BF50" i="8"/>
  <c r="BE50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BI49" i="8"/>
  <c r="BH49" i="8"/>
  <c r="BG49" i="8"/>
  <c r="BF49" i="8"/>
  <c r="BE49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BI48" i="8"/>
  <c r="BH48" i="8"/>
  <c r="BG48" i="8"/>
  <c r="BF48" i="8"/>
  <c r="BE48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BI47" i="8"/>
  <c r="BH47" i="8"/>
  <c r="BG47" i="8"/>
  <c r="BF47" i="8"/>
  <c r="BE47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BI46" i="8"/>
  <c r="BH46" i="8"/>
  <c r="BG46" i="8"/>
  <c r="BF46" i="8"/>
  <c r="BE46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BI45" i="8"/>
  <c r="BH45" i="8"/>
  <c r="BG45" i="8"/>
  <c r="BF45" i="8"/>
  <c r="BE45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BI44" i="8"/>
  <c r="BH44" i="8"/>
  <c r="BG44" i="8"/>
  <c r="BF44" i="8"/>
  <c r="BE44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BI43" i="8"/>
  <c r="BH43" i="8"/>
  <c r="BG43" i="8"/>
  <c r="BF43" i="8"/>
  <c r="BE43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BI42" i="8"/>
  <c r="BH42" i="8"/>
  <c r="BG42" i="8"/>
  <c r="BF42" i="8"/>
  <c r="BE42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BI41" i="8"/>
  <c r="BH41" i="8"/>
  <c r="BG41" i="8"/>
  <c r="BF41" i="8"/>
  <c r="BE41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BI40" i="8"/>
  <c r="BH40" i="8"/>
  <c r="BG40" i="8"/>
  <c r="BF40" i="8"/>
  <c r="BE40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BI39" i="8"/>
  <c r="BH39" i="8"/>
  <c r="BG39" i="8"/>
  <c r="BF39" i="8"/>
  <c r="BE39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BI38" i="8"/>
  <c r="BH38" i="8"/>
  <c r="BG38" i="8"/>
  <c r="BF38" i="8"/>
  <c r="BE38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BI37" i="8"/>
  <c r="BH37" i="8"/>
  <c r="BG37" i="8"/>
  <c r="BF37" i="8"/>
  <c r="BE37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BI36" i="8"/>
  <c r="BH36" i="8"/>
  <c r="BG36" i="8"/>
  <c r="BF36" i="8"/>
  <c r="BE36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BI35" i="8"/>
  <c r="BH35" i="8"/>
  <c r="BG35" i="8"/>
  <c r="BF35" i="8"/>
  <c r="BE35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BI34" i="8"/>
  <c r="BH34" i="8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BI33" i="8"/>
  <c r="BH33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BI32" i="8"/>
  <c r="BH32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BI31" i="8"/>
  <c r="BH31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BI30" i="8"/>
  <c r="BH30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BI27" i="8"/>
  <c r="BH27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BI4" i="8"/>
  <c r="BH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BI3" i="8"/>
  <c r="BH3" i="8"/>
  <c r="BG3" i="8"/>
  <c r="BF3" i="8"/>
  <c r="BE3" i="8"/>
  <c r="BD3" i="8"/>
  <c r="BC3" i="8"/>
  <c r="BB3" i="8"/>
  <c r="BA3" i="8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BI75" i="9"/>
  <c r="BH75" i="9"/>
  <c r="BG75" i="9"/>
  <c r="BF75" i="9"/>
  <c r="BE75" i="9"/>
  <c r="BD75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BI74" i="9"/>
  <c r="BH74" i="9"/>
  <c r="BG74" i="9"/>
  <c r="BF74" i="9"/>
  <c r="BE74" i="9"/>
  <c r="BD74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BI73" i="9"/>
  <c r="BH73" i="9"/>
  <c r="BG73" i="9"/>
  <c r="BF73" i="9"/>
  <c r="BE73" i="9"/>
  <c r="BD73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BI72" i="9"/>
  <c r="BH72" i="9"/>
  <c r="BG72" i="9"/>
  <c r="BF72" i="9"/>
  <c r="BE72" i="9"/>
  <c r="BD72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BI71" i="9"/>
  <c r="BH71" i="9"/>
  <c r="BG71" i="9"/>
  <c r="BF71" i="9"/>
  <c r="BE71" i="9"/>
  <c r="BD71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BI70" i="9"/>
  <c r="BH70" i="9"/>
  <c r="BG70" i="9"/>
  <c r="BF70" i="9"/>
  <c r="BE70" i="9"/>
  <c r="BD70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BI69" i="9"/>
  <c r="BH69" i="9"/>
  <c r="BG69" i="9"/>
  <c r="BF69" i="9"/>
  <c r="BE69" i="9"/>
  <c r="BD69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BI68" i="9"/>
  <c r="BH68" i="9"/>
  <c r="BG68" i="9"/>
  <c r="BF68" i="9"/>
  <c r="BE68" i="9"/>
  <c r="BD68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BI67" i="9"/>
  <c r="BH67" i="9"/>
  <c r="BG67" i="9"/>
  <c r="BF67" i="9"/>
  <c r="BE67" i="9"/>
  <c r="BD67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BI66" i="9"/>
  <c r="BH66" i="9"/>
  <c r="BG66" i="9"/>
  <c r="BF66" i="9"/>
  <c r="BE66" i="9"/>
  <c r="BD66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BI65" i="9"/>
  <c r="BH65" i="9"/>
  <c r="BG65" i="9"/>
  <c r="BF65" i="9"/>
  <c r="BE65" i="9"/>
  <c r="BD65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BI63" i="9"/>
  <c r="BH63" i="9"/>
  <c r="BG63" i="9"/>
  <c r="BF63" i="9"/>
  <c r="BE63" i="9"/>
  <c r="BD63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BI54" i="9"/>
  <c r="BH54" i="9"/>
  <c r="BG54" i="9"/>
  <c r="BF54" i="9"/>
  <c r="BE54" i="9"/>
  <c r="BD54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BI53" i="9"/>
  <c r="BH53" i="9"/>
  <c r="BG53" i="9"/>
  <c r="BF53" i="9"/>
  <c r="BE53" i="9"/>
  <c r="BD53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BI52" i="9"/>
  <c r="BH52" i="9"/>
  <c r="BG52" i="9"/>
  <c r="BF52" i="9"/>
  <c r="BE52" i="9"/>
  <c r="BD52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BI51" i="9"/>
  <c r="BH51" i="9"/>
  <c r="BG51" i="9"/>
  <c r="BF51" i="9"/>
  <c r="BE51" i="9"/>
  <c r="BD51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BI50" i="9"/>
  <c r="BH50" i="9"/>
  <c r="BG50" i="9"/>
  <c r="BF50" i="9"/>
  <c r="BE50" i="9"/>
  <c r="BD50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BI49" i="9"/>
  <c r="BH49" i="9"/>
  <c r="BG49" i="9"/>
  <c r="BF49" i="9"/>
  <c r="BE49" i="9"/>
  <c r="BD49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BI48" i="9"/>
  <c r="BH48" i="9"/>
  <c r="BG48" i="9"/>
  <c r="BF48" i="9"/>
  <c r="BE48" i="9"/>
  <c r="BD48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BI47" i="9"/>
  <c r="BH47" i="9"/>
  <c r="BG47" i="9"/>
  <c r="BF47" i="9"/>
  <c r="BE47" i="9"/>
  <c r="BD47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BI46" i="9"/>
  <c r="BH46" i="9"/>
  <c r="BG46" i="9"/>
  <c r="BF46" i="9"/>
  <c r="BE46" i="9"/>
  <c r="BD46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BI45" i="9"/>
  <c r="BH45" i="9"/>
  <c r="BG45" i="9"/>
  <c r="BF45" i="9"/>
  <c r="BE45" i="9"/>
  <c r="BD45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BI44" i="9"/>
  <c r="BH44" i="9"/>
  <c r="BG44" i="9"/>
  <c r="BF44" i="9"/>
  <c r="BE44" i="9"/>
  <c r="BD44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BI43" i="9"/>
  <c r="BH43" i="9"/>
  <c r="BG43" i="9"/>
  <c r="BF43" i="9"/>
  <c r="BE43" i="9"/>
  <c r="BD43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BI42" i="9"/>
  <c r="BH42" i="9"/>
  <c r="BG42" i="9"/>
  <c r="BF42" i="9"/>
  <c r="BE42" i="9"/>
  <c r="BD42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BI41" i="9"/>
  <c r="BH41" i="9"/>
  <c r="BG41" i="9"/>
  <c r="BF41" i="9"/>
  <c r="BE41" i="9"/>
  <c r="BD41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BI40" i="9"/>
  <c r="BH40" i="9"/>
  <c r="BG40" i="9"/>
  <c r="BF40" i="9"/>
  <c r="BE40" i="9"/>
  <c r="BD40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BI39" i="9"/>
  <c r="BH39" i="9"/>
  <c r="BG39" i="9"/>
  <c r="BF39" i="9"/>
  <c r="BE39" i="9"/>
  <c r="BD39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BI38" i="9"/>
  <c r="BH38" i="9"/>
  <c r="BG38" i="9"/>
  <c r="BF38" i="9"/>
  <c r="BE38" i="9"/>
  <c r="BD38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BI37" i="9"/>
  <c r="BH37" i="9"/>
  <c r="BG37" i="9"/>
  <c r="BF37" i="9"/>
  <c r="BE37" i="9"/>
  <c r="BD37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BI36" i="9"/>
  <c r="BH36" i="9"/>
  <c r="BG36" i="9"/>
  <c r="BF36" i="9"/>
  <c r="BE36" i="9"/>
  <c r="BD36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BI35" i="9"/>
  <c r="BH35" i="9"/>
  <c r="BG35" i="9"/>
  <c r="BF35" i="9"/>
  <c r="BE35" i="9"/>
  <c r="BD35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BI34" i="9"/>
  <c r="BH34" i="9"/>
  <c r="BG34" i="9"/>
  <c r="BF34" i="9"/>
  <c r="BE34" i="9"/>
  <c r="BD34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BI33" i="9"/>
  <c r="BH33" i="9"/>
  <c r="BG33" i="9"/>
  <c r="BF33" i="9"/>
  <c r="BE33" i="9"/>
  <c r="BD33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BI13" i="9"/>
  <c r="BH13" i="9"/>
  <c r="BG13" i="9"/>
  <c r="BF13" i="9"/>
  <c r="BE13" i="9"/>
  <c r="BD13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BI10" i="9"/>
  <c r="BH10" i="9"/>
  <c r="BG10" i="9"/>
  <c r="BF10" i="9"/>
  <c r="BE10" i="9"/>
  <c r="BD10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BI9" i="9"/>
  <c r="BH9" i="9"/>
  <c r="BG9" i="9"/>
  <c r="BF9" i="9"/>
  <c r="BE9" i="9"/>
  <c r="BD9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BI6" i="9"/>
  <c r="BH6" i="9"/>
  <c r="BG6" i="9"/>
  <c r="BF6" i="9"/>
  <c r="BE6" i="9"/>
  <c r="BD6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K76" i="9" s="1"/>
  <c r="I10" i="1" s="1"/>
  <c r="B39" i="11"/>
  <c r="E63" i="17" s="1"/>
  <c r="D38" i="11"/>
  <c r="C38" i="11"/>
  <c r="D37" i="11"/>
  <c r="C37" i="11"/>
  <c r="D36" i="11"/>
  <c r="C36" i="11"/>
  <c r="D35" i="11"/>
  <c r="C35" i="11"/>
  <c r="D34" i="11"/>
  <c r="C34" i="11"/>
  <c r="D33" i="11"/>
  <c r="C33" i="11"/>
  <c r="D32" i="11"/>
  <c r="C32" i="11"/>
  <c r="D31" i="11"/>
  <c r="C31" i="11"/>
  <c r="D30" i="11"/>
  <c r="C30" i="11"/>
  <c r="D29" i="11"/>
  <c r="C29" i="11"/>
  <c r="D28" i="11"/>
  <c r="C28" i="11"/>
  <c r="D27" i="11"/>
  <c r="C27" i="11"/>
  <c r="B24" i="11"/>
  <c r="A24" i="11"/>
  <c r="E21" i="11"/>
  <c r="E18" i="11"/>
  <c r="E15" i="11"/>
  <c r="E12" i="11"/>
  <c r="E9" i="11"/>
  <c r="E6" i="11"/>
  <c r="F3" i="11"/>
  <c r="F24" i="11" s="1"/>
  <c r="F62" i="17" s="1"/>
  <c r="C4" i="22" s="1"/>
  <c r="E3" i="11"/>
  <c r="E57" i="4"/>
  <c r="D57" i="4"/>
  <c r="B57" i="4"/>
  <c r="A21" i="22" s="1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B33" i="4"/>
  <c r="I5" i="1" s="1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B35" i="5"/>
  <c r="I6" i="1" s="1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E68" i="17"/>
  <c r="E67" i="17"/>
  <c r="E43" i="17"/>
  <c r="E42" i="17"/>
  <c r="C7" i="22" s="1"/>
  <c r="E41" i="17"/>
  <c r="E40" i="17"/>
  <c r="E37" i="17"/>
  <c r="E36" i="17"/>
  <c r="E35" i="17"/>
  <c r="E34" i="17"/>
  <c r="E31" i="17"/>
  <c r="E30" i="17"/>
  <c r="E28" i="17"/>
  <c r="G24" i="17"/>
  <c r="E3" i="17"/>
  <c r="E2" i="17"/>
  <c r="B7" i="22" s="1"/>
  <c r="A7" i="22" s="1"/>
  <c r="I4" i="1"/>
  <c r="I3" i="1"/>
  <c r="C11" i="21"/>
  <c r="A21" i="18"/>
  <c r="I18" i="1" s="1"/>
  <c r="A3" i="22" l="1"/>
  <c r="E38" i="17"/>
  <c r="C39" i="11"/>
  <c r="G63" i="17" s="1"/>
  <c r="F57" i="4"/>
  <c r="E39" i="17" s="1"/>
  <c r="N33" i="4"/>
  <c r="E11" i="17" s="1"/>
  <c r="B13" i="22" s="1"/>
  <c r="J33" i="4"/>
  <c r="E15" i="17" s="1"/>
  <c r="B17" i="22" s="1"/>
  <c r="F12" i="21"/>
  <c r="F14" i="21"/>
  <c r="E13" i="21"/>
  <c r="F13" i="21"/>
  <c r="E12" i="21"/>
  <c r="G12" i="21" s="1"/>
  <c r="E14" i="21"/>
  <c r="G4" i="19"/>
  <c r="G5" i="19" s="1"/>
  <c r="G6" i="19" s="1"/>
  <c r="G7" i="19" s="1"/>
  <c r="G8" i="19" s="1"/>
  <c r="G9" i="19" s="1"/>
  <c r="G10" i="19" s="1"/>
  <c r="G11" i="19" s="1"/>
  <c r="G12" i="19" s="1"/>
  <c r="G13" i="19" s="1"/>
  <c r="G14" i="19" s="1"/>
  <c r="G15" i="19" s="1"/>
  <c r="G16" i="19" s="1"/>
  <c r="G17" i="19" s="1"/>
  <c r="G18" i="19" s="1"/>
  <c r="G19" i="19" s="1"/>
  <c r="G20" i="19" s="1"/>
  <c r="G21" i="19" s="1"/>
  <c r="G22" i="19" s="1"/>
  <c r="G23" i="19" s="1"/>
  <c r="G24" i="19" s="1"/>
  <c r="G25" i="19" s="1"/>
  <c r="G26" i="19" s="1"/>
  <c r="G27" i="19" s="1"/>
  <c r="G28" i="19" s="1"/>
  <c r="G29" i="19" s="1"/>
  <c r="G30" i="19" s="1"/>
  <c r="G31" i="19" s="1"/>
  <c r="G32" i="19" s="1"/>
  <c r="G33" i="19" s="1"/>
  <c r="E6" i="21"/>
  <c r="E4" i="17"/>
  <c r="B8" i="22" s="1"/>
  <c r="H33" i="4"/>
  <c r="E8" i="17" s="1"/>
  <c r="B10" i="22" s="1"/>
  <c r="L33" i="4"/>
  <c r="E17" i="17" s="1"/>
  <c r="B19" i="22" s="1"/>
  <c r="P33" i="4"/>
  <c r="E14" i="17" s="1"/>
  <c r="B16" i="22" s="1"/>
  <c r="T33" i="4"/>
  <c r="E5" i="17" s="1"/>
  <c r="I33" i="4"/>
  <c r="E9" i="17" s="1"/>
  <c r="B11" i="22" s="1"/>
  <c r="M33" i="4"/>
  <c r="E10" i="17" s="1"/>
  <c r="B12" i="22" s="1"/>
  <c r="Q33" i="4"/>
  <c r="E13" i="17" s="1"/>
  <c r="B15" i="22" s="1"/>
  <c r="U33" i="4"/>
  <c r="E6" i="17" s="1"/>
  <c r="E20" i="17"/>
  <c r="B2" i="22" s="1"/>
  <c r="I7" i="1"/>
  <c r="M76" i="8"/>
  <c r="P3" i="17" s="1"/>
  <c r="Q76" i="8"/>
  <c r="P27" i="17" s="1"/>
  <c r="U76" i="8"/>
  <c r="P31" i="17" s="1"/>
  <c r="Y76" i="8"/>
  <c r="P10" i="17" s="1"/>
  <c r="AC76" i="8"/>
  <c r="P14" i="17" s="1"/>
  <c r="AG76" i="8"/>
  <c r="P33" i="17" s="1"/>
  <c r="AK76" i="8"/>
  <c r="P37" i="17" s="1"/>
  <c r="AO76" i="8"/>
  <c r="P41" i="17" s="1"/>
  <c r="AS76" i="8"/>
  <c r="P20" i="17" s="1"/>
  <c r="AW76" i="8"/>
  <c r="P44" i="17" s="1"/>
  <c r="BA76" i="8"/>
  <c r="P23" i="17" s="1"/>
  <c r="BE76" i="8"/>
  <c r="P47" i="17" s="1"/>
  <c r="BI76" i="8"/>
  <c r="P51" i="17" s="1"/>
  <c r="D39" i="11"/>
  <c r="G64" i="17" s="1"/>
  <c r="I12" i="1"/>
  <c r="L20" i="14"/>
  <c r="E33" i="17" s="1"/>
  <c r="I14" i="1"/>
  <c r="E24" i="11"/>
  <c r="F61" i="17" s="1"/>
  <c r="B4" i="22" s="1"/>
  <c r="E24" i="10"/>
  <c r="F22" i="17" s="1"/>
  <c r="X76" i="9"/>
  <c r="P64" i="17" s="1"/>
  <c r="AN76" i="9"/>
  <c r="P95" i="17" s="1"/>
  <c r="BD76" i="9"/>
  <c r="P81" i="17" s="1"/>
  <c r="M76" i="9"/>
  <c r="P58" i="17" s="1"/>
  <c r="Q76" i="9"/>
  <c r="P82" i="17" s="1"/>
  <c r="U76" i="9"/>
  <c r="P86" i="17" s="1"/>
  <c r="Y76" i="9"/>
  <c r="P65" i="17" s="1"/>
  <c r="AC76" i="9"/>
  <c r="P69" i="17" s="1"/>
  <c r="AG76" i="9"/>
  <c r="P88" i="17" s="1"/>
  <c r="AK76" i="9"/>
  <c r="P92" i="17" s="1"/>
  <c r="AO76" i="9"/>
  <c r="P96" i="17" s="1"/>
  <c r="AS76" i="9"/>
  <c r="P75" i="17" s="1"/>
  <c r="AW76" i="9"/>
  <c r="P99" i="17" s="1"/>
  <c r="BA76" i="9"/>
  <c r="P78" i="17" s="1"/>
  <c r="BE76" i="9"/>
  <c r="P102" i="17" s="1"/>
  <c r="BI76" i="9"/>
  <c r="P106" i="17" s="1"/>
  <c r="G7" i="21"/>
  <c r="S35" i="5"/>
  <c r="E44" i="17"/>
  <c r="C8" i="22" s="1"/>
  <c r="H35" i="5"/>
  <c r="E48" i="17" s="1"/>
  <c r="C10" i="22" s="1"/>
  <c r="L35" i="5"/>
  <c r="E57" i="17" s="1"/>
  <c r="C19" i="22" s="1"/>
  <c r="P35" i="5"/>
  <c r="E54" i="17" s="1"/>
  <c r="C16" i="22" s="1"/>
  <c r="T35" i="5"/>
  <c r="E46" i="17" s="1"/>
  <c r="L76" i="9"/>
  <c r="P57" i="17" s="1"/>
  <c r="P76" i="9"/>
  <c r="P61" i="17" s="1"/>
  <c r="T76" i="9"/>
  <c r="P85" i="17" s="1"/>
  <c r="AB76" i="9"/>
  <c r="P68" i="17" s="1"/>
  <c r="AF76" i="9"/>
  <c r="P87" i="17" s="1"/>
  <c r="AJ76" i="9"/>
  <c r="P91" i="17" s="1"/>
  <c r="AR76" i="9"/>
  <c r="P74" i="17" s="1"/>
  <c r="AV76" i="9"/>
  <c r="P98" i="17" s="1"/>
  <c r="AZ76" i="9"/>
  <c r="P77" i="17" s="1"/>
  <c r="BH76" i="9"/>
  <c r="P105" i="17" s="1"/>
  <c r="R33" i="4"/>
  <c r="E18" i="17" s="1"/>
  <c r="I35" i="5"/>
  <c r="E49" i="17" s="1"/>
  <c r="C11" i="22" s="1"/>
  <c r="Q35" i="5"/>
  <c r="E53" i="17" s="1"/>
  <c r="C15" i="22" s="1"/>
  <c r="M35" i="5"/>
  <c r="E50" i="17" s="1"/>
  <c r="C12" i="22" s="1"/>
  <c r="E45" i="17"/>
  <c r="N76" i="8"/>
  <c r="P4" i="17" s="1"/>
  <c r="R76" i="8"/>
  <c r="P28" i="17" s="1"/>
  <c r="V76" i="8"/>
  <c r="P7" i="17" s="1"/>
  <c r="Z76" i="8"/>
  <c r="P11" i="17" s="1"/>
  <c r="AD76" i="8"/>
  <c r="P15" i="17" s="1"/>
  <c r="AH76" i="8"/>
  <c r="P34" i="17" s="1"/>
  <c r="AL76" i="8"/>
  <c r="P38" i="17" s="1"/>
  <c r="AP76" i="8"/>
  <c r="P17" i="17" s="1"/>
  <c r="AT76" i="8"/>
  <c r="P21" i="17" s="1"/>
  <c r="AX76" i="8"/>
  <c r="P45" i="17" s="1"/>
  <c r="BB76" i="8"/>
  <c r="P24" i="17" s="1"/>
  <c r="BF76" i="8"/>
  <c r="P48" i="17" s="1"/>
  <c r="N35" i="5"/>
  <c r="E51" i="17" s="1"/>
  <c r="C13" i="22" s="1"/>
  <c r="N76" i="9"/>
  <c r="P59" i="17" s="1"/>
  <c r="R76" i="9"/>
  <c r="P83" i="17" s="1"/>
  <c r="V76" i="9"/>
  <c r="P62" i="17" s="1"/>
  <c r="Z76" i="9"/>
  <c r="P66" i="17" s="1"/>
  <c r="AD76" i="9"/>
  <c r="P70" i="17" s="1"/>
  <c r="AH76" i="9"/>
  <c r="P89" i="17" s="1"/>
  <c r="AL76" i="9"/>
  <c r="P93" i="17" s="1"/>
  <c r="AP76" i="9"/>
  <c r="P72" i="17" s="1"/>
  <c r="AT76" i="9"/>
  <c r="P76" i="17" s="1"/>
  <c r="AX76" i="9"/>
  <c r="P100" i="17" s="1"/>
  <c r="BB76" i="9"/>
  <c r="P79" i="17" s="1"/>
  <c r="BF76" i="9"/>
  <c r="P103" i="17" s="1"/>
  <c r="K76" i="8"/>
  <c r="I9" i="1" s="1"/>
  <c r="O76" i="8"/>
  <c r="P5" i="17" s="1"/>
  <c r="S76" i="8"/>
  <c r="P29" i="17" s="1"/>
  <c r="W76" i="8"/>
  <c r="P8" i="17" s="1"/>
  <c r="AA76" i="8"/>
  <c r="P12" i="17" s="1"/>
  <c r="AE76" i="8"/>
  <c r="P16" i="17" s="1"/>
  <c r="AI76" i="8"/>
  <c r="P35" i="17" s="1"/>
  <c r="AM76" i="8"/>
  <c r="P39" i="17" s="1"/>
  <c r="AQ76" i="8"/>
  <c r="P18" i="17" s="1"/>
  <c r="AU76" i="8"/>
  <c r="P42" i="17" s="1"/>
  <c r="AY76" i="8"/>
  <c r="P46" i="17" s="1"/>
  <c r="BC76" i="8"/>
  <c r="P25" i="17" s="1"/>
  <c r="BG76" i="8"/>
  <c r="P49" i="17" s="1"/>
  <c r="J35" i="5"/>
  <c r="E55" i="17" s="1"/>
  <c r="C17" i="22" s="1"/>
  <c r="R35" i="5"/>
  <c r="E58" i="17" s="1"/>
  <c r="G35" i="5"/>
  <c r="E47" i="17" s="1"/>
  <c r="C9" i="22" s="1"/>
  <c r="K35" i="5"/>
  <c r="E56" i="17" s="1"/>
  <c r="C18" i="22" s="1"/>
  <c r="O35" i="5"/>
  <c r="E52" i="17" s="1"/>
  <c r="C14" i="22" s="1"/>
  <c r="G33" i="4"/>
  <c r="E7" i="17" s="1"/>
  <c r="B9" i="22" s="1"/>
  <c r="K33" i="4"/>
  <c r="E16" i="17" s="1"/>
  <c r="B18" i="22" s="1"/>
  <c r="O33" i="4"/>
  <c r="E12" i="17" s="1"/>
  <c r="B14" i="22" s="1"/>
  <c r="S33" i="4"/>
  <c r="E19" i="17" s="1"/>
  <c r="A19" i="22" s="1"/>
  <c r="O76" i="9"/>
  <c r="P60" i="17" s="1"/>
  <c r="S76" i="9"/>
  <c r="P84" i="17" s="1"/>
  <c r="W76" i="9"/>
  <c r="P63" i="17" s="1"/>
  <c r="AA76" i="9"/>
  <c r="P67" i="17" s="1"/>
  <c r="AE76" i="9"/>
  <c r="P71" i="17" s="1"/>
  <c r="AI76" i="9"/>
  <c r="P90" i="17" s="1"/>
  <c r="AM76" i="9"/>
  <c r="P94" i="17" s="1"/>
  <c r="AQ76" i="9"/>
  <c r="P73" i="17" s="1"/>
  <c r="AU76" i="9"/>
  <c r="P97" i="17" s="1"/>
  <c r="AY76" i="9"/>
  <c r="P101" i="17" s="1"/>
  <c r="BC76" i="9"/>
  <c r="P80" i="17" s="1"/>
  <c r="BG76" i="9"/>
  <c r="P104" i="17" s="1"/>
  <c r="L76" i="8"/>
  <c r="P2" i="17" s="1"/>
  <c r="P76" i="8"/>
  <c r="P6" i="17" s="1"/>
  <c r="T76" i="8"/>
  <c r="P30" i="17" s="1"/>
  <c r="X76" i="8"/>
  <c r="P9" i="17" s="1"/>
  <c r="AB76" i="8"/>
  <c r="P13" i="17" s="1"/>
  <c r="AF76" i="8"/>
  <c r="P32" i="17" s="1"/>
  <c r="AJ76" i="8"/>
  <c r="P36" i="17" s="1"/>
  <c r="AN76" i="8"/>
  <c r="P40" i="17" s="1"/>
  <c r="AR76" i="8"/>
  <c r="P19" i="17" s="1"/>
  <c r="AV76" i="8"/>
  <c r="P43" i="17" s="1"/>
  <c r="AZ76" i="8"/>
  <c r="P22" i="17" s="1"/>
  <c r="BD76" i="8"/>
  <c r="P26" i="17" s="1"/>
  <c r="BH76" i="8"/>
  <c r="P50" i="17" s="1"/>
  <c r="M34" i="20"/>
  <c r="E34" i="20"/>
  <c r="I8" i="1"/>
  <c r="E59" i="17"/>
  <c r="C2" i="22" s="1"/>
  <c r="E34" i="19"/>
  <c r="M34" i="19"/>
  <c r="I13" i="1"/>
  <c r="G5" i="21"/>
  <c r="F8" i="21"/>
  <c r="A12" i="22" l="1"/>
  <c r="A16" i="22"/>
  <c r="B5" i="22"/>
  <c r="A9" i="22"/>
  <c r="A18" i="22"/>
  <c r="A13" i="22"/>
  <c r="A14" i="22"/>
  <c r="A15" i="22"/>
  <c r="A8" i="22"/>
  <c r="C6" i="22"/>
  <c r="A17" i="22"/>
  <c r="B6" i="22"/>
  <c r="C5" i="22"/>
  <c r="A4" i="22"/>
  <c r="A2" i="22"/>
  <c r="A11" i="22"/>
  <c r="A10" i="22"/>
  <c r="E8" i="21"/>
  <c r="G8" i="21" s="1"/>
  <c r="G6" i="21"/>
  <c r="F15" i="21"/>
  <c r="G14" i="21"/>
  <c r="E15" i="21"/>
  <c r="G13" i="21"/>
  <c r="A6" i="22" l="1"/>
  <c r="A5" i="22"/>
  <c r="G15" i="21"/>
</calcChain>
</file>

<file path=xl/sharedStrings.xml><?xml version="1.0" encoding="utf-8"?>
<sst xmlns="http://schemas.openxmlformats.org/spreadsheetml/2006/main" count="819" uniqueCount="268">
  <si>
    <t>المقترحات / التحديات / الملاحظات</t>
  </si>
  <si>
    <t>Report</t>
  </si>
  <si>
    <t>PLW</t>
  </si>
  <si>
    <t>SSSD</t>
  </si>
  <si>
    <t>اليوم</t>
  </si>
  <si>
    <t>السويداء</t>
  </si>
  <si>
    <t>صلخد</t>
  </si>
  <si>
    <t>المجموع</t>
  </si>
  <si>
    <t>عدد البطاقات المسجلة</t>
  </si>
  <si>
    <t>المجموع التراكمي الكلي</t>
  </si>
  <si>
    <t>عدد البطاقات الموزعة</t>
  </si>
  <si>
    <t>عدد البطاقات في طور الطباعة</t>
  </si>
  <si>
    <t>OOSC</t>
  </si>
  <si>
    <t>NOTE</t>
  </si>
  <si>
    <t>Created by TAL</t>
  </si>
  <si>
    <t>Home Page</t>
  </si>
  <si>
    <t>State</t>
  </si>
  <si>
    <t>مواك_أثر</t>
  </si>
  <si>
    <t>مواك_نبض</t>
  </si>
  <si>
    <t>مكتب المساعدة_أثر</t>
  </si>
  <si>
    <t>مكتب المساعدة_ نبض</t>
  </si>
  <si>
    <t>Summary</t>
  </si>
  <si>
    <t>موزع البطاقات_أثر</t>
  </si>
  <si>
    <t>موزع البطاقات_نبض</t>
  </si>
  <si>
    <t>توعية_أثر</t>
  </si>
  <si>
    <t>توعية_نبض</t>
  </si>
  <si>
    <t>مراقبة_ أثر</t>
  </si>
  <si>
    <t>Enrollment</t>
  </si>
  <si>
    <t>Disterbution</t>
  </si>
  <si>
    <t>مراقبة_ نبض</t>
  </si>
  <si>
    <t>SCOPE_ أثر</t>
  </si>
  <si>
    <t>SCOPE_نبض</t>
  </si>
  <si>
    <t>حماية</t>
  </si>
  <si>
    <t>أستقبال _أثر</t>
  </si>
  <si>
    <t>أستقبال_ نبض</t>
  </si>
  <si>
    <t>مقترحات / تحديات / ملاحظات</t>
  </si>
  <si>
    <t>مركز اثر</t>
  </si>
  <si>
    <t>MUAC</t>
  </si>
  <si>
    <t>عدد النساء اللوات تم قياس المواك لهن</t>
  </si>
  <si>
    <t>Awareness/CB</t>
  </si>
  <si>
    <t>مركز أثر</t>
  </si>
  <si>
    <t>تعريفية PLW</t>
  </si>
  <si>
    <t>عدد الجلسات</t>
  </si>
  <si>
    <t>عدد حالات سوء التغذية التي تم تحويلها الى عيادات تنظيم الاسرة</t>
  </si>
  <si>
    <t>عدد الذكور</t>
  </si>
  <si>
    <t xml:space="preserve">Help Disk </t>
  </si>
  <si>
    <t>عدد الشكاوي المستلمة الكلي</t>
  </si>
  <si>
    <t>عدد الإناث</t>
  </si>
  <si>
    <t>عدد الشكاوي المستلمة من الذكور</t>
  </si>
  <si>
    <t xml:space="preserve">الفئة العمرية الاكبر </t>
  </si>
  <si>
    <t>عدد الشكاوي المستلمة من الاناث</t>
  </si>
  <si>
    <t>الفئة العمرية الأصغر</t>
  </si>
  <si>
    <t>هاتفية</t>
  </si>
  <si>
    <t>تغذوية</t>
  </si>
  <si>
    <t>زيارة مباشرة</t>
  </si>
  <si>
    <t>ملاحظة من قبل الموظف المسؤول</t>
  </si>
  <si>
    <t>عدد الاستفسارات عن طلب معلومات</t>
  </si>
  <si>
    <t>عدد الاستفسارات عن الخلل في البطاقة</t>
  </si>
  <si>
    <t>عدد الاستفسارات عن التأخير صدور البطاقة</t>
  </si>
  <si>
    <t>آلية صرف البطاقة</t>
  </si>
  <si>
    <t>عدد الشكوى على معاملة المتجر</t>
  </si>
  <si>
    <t>عدد الشكوى على معاملة الموظفين</t>
  </si>
  <si>
    <t>عدد الشكاوى المعالجة</t>
  </si>
  <si>
    <t>عدد الشكاوى المحالة</t>
  </si>
  <si>
    <t>عدد الشكاوى العالقة</t>
  </si>
  <si>
    <t>الحماية</t>
  </si>
  <si>
    <t>عدد الحالات المحالة الى براعم</t>
  </si>
  <si>
    <t>عدد الحالات المحالة الى GOPA</t>
  </si>
  <si>
    <t>Distribution Vouchers</t>
  </si>
  <si>
    <t>OOSCH</t>
  </si>
  <si>
    <t xml:space="preserve">Monitoring </t>
  </si>
  <si>
    <t>عدد الزيارات للمتجر</t>
  </si>
  <si>
    <t>شوبيكو</t>
  </si>
  <si>
    <t>التشاور</t>
  </si>
  <si>
    <t>سيلفر</t>
  </si>
  <si>
    <t>عدد زيارات الرصد</t>
  </si>
  <si>
    <t>مركز نبض</t>
  </si>
  <si>
    <t>SCOPE</t>
  </si>
  <si>
    <t>الحالات المسجلة لكلا البرنامجين</t>
  </si>
  <si>
    <t>تعريفية OOSCH</t>
  </si>
  <si>
    <t>Protection</t>
  </si>
  <si>
    <t>عدد الجلسات الكلي للموظفين</t>
  </si>
  <si>
    <t>عدد الحضور الكلي</t>
  </si>
  <si>
    <t xml:space="preserve">عدد الذكور </t>
  </si>
  <si>
    <t>عدد الاناث</t>
  </si>
  <si>
    <t>عدد الجلسات الكلي للمستفيدين</t>
  </si>
  <si>
    <t>أهمية التعليم</t>
  </si>
  <si>
    <t>Reception</t>
  </si>
  <si>
    <t>عدد الحالات المستقبلة لبرنامج OOSCH</t>
  </si>
  <si>
    <t>عدد الحالات المحالة من جهات أخرى</t>
  </si>
  <si>
    <t>Training</t>
  </si>
  <si>
    <t>عدد الدورات التدريبية</t>
  </si>
  <si>
    <t>عدد المشاركين الكلي</t>
  </si>
  <si>
    <t>مركز  نبض</t>
  </si>
  <si>
    <t>عدد حالات سوء التغذية الني تم تحويلها الى عيادات تنظيم الاسرة</t>
  </si>
  <si>
    <t>عدد الحالات المحالة الى نبض</t>
  </si>
  <si>
    <t>عدد البطاقات المسجلة في برنامج PLW</t>
  </si>
  <si>
    <t>عدد البطاقات المسجلة في برنامج OOSC</t>
  </si>
  <si>
    <t>Date</t>
  </si>
  <si>
    <t>المجموع التراكمي لسويداء</t>
  </si>
  <si>
    <t>المجموع التراكمي لصلخد</t>
  </si>
  <si>
    <t>المجموع التراكمي في السويداء</t>
  </si>
  <si>
    <t>السبت</t>
  </si>
  <si>
    <t>الاحد</t>
  </si>
  <si>
    <t>الاثنين</t>
  </si>
  <si>
    <t>الخميس</t>
  </si>
  <si>
    <t>الجمعة</t>
  </si>
  <si>
    <t>Total</t>
  </si>
  <si>
    <t xml:space="preserve">مجموع البطاقات المسجلة لـ PLW  في السويداء </t>
  </si>
  <si>
    <t xml:space="preserve">مجموع البطاقات المسجلة لـ OOSC في السويداء </t>
  </si>
  <si>
    <t>مجموع البطاقات المسجلة لـ PLW  في صلخد</t>
  </si>
  <si>
    <t xml:space="preserve">مجموع البطاقات المسجلة لـ OOSC في صلخد </t>
  </si>
  <si>
    <t>عدد البطاقات الموزعة لبرنامج PLW</t>
  </si>
  <si>
    <t>عدد البطاقات الموزعة لبرنامج OOSCH</t>
  </si>
  <si>
    <t>الجموع التراكمي لصلخد</t>
  </si>
  <si>
    <t xml:space="preserve">مجموع البطاقات المستلمة لـ PLW  في السويداء </t>
  </si>
  <si>
    <t xml:space="preserve">مجموع البطاقات المستلمة لـ OOSC في السويداء </t>
  </si>
  <si>
    <t>مجموع البطاقات المستلمة لـ PLW  في صلخد</t>
  </si>
  <si>
    <t xml:space="preserve">مجموع البطاقات المستلمة لـ OOSC في صلخد </t>
  </si>
  <si>
    <t>جدول الشكاوي</t>
  </si>
  <si>
    <t>التاريخ</t>
  </si>
  <si>
    <t>نوع الشكوى</t>
  </si>
  <si>
    <t>فئة الطلب</t>
  </si>
  <si>
    <t>Gender</t>
  </si>
  <si>
    <t>حالة الشكوى</t>
  </si>
  <si>
    <t>Phone</t>
  </si>
  <si>
    <t>personal</t>
  </si>
  <si>
    <t>Observe</t>
  </si>
  <si>
    <t>عدد طلب المعلومات</t>
  </si>
  <si>
    <t>عدد حالات خلل البطاقات</t>
  </si>
  <si>
    <t>تأخير صدور البطاقات</t>
  </si>
  <si>
    <t>شكوى عن معاملة الموظفين</t>
  </si>
  <si>
    <t>شكوى معاملة المتجر</t>
  </si>
  <si>
    <t>Male</t>
  </si>
  <si>
    <t>Female</t>
  </si>
  <si>
    <t>All team</t>
  </si>
  <si>
    <t>تأخير صدور البطاقة</t>
  </si>
  <si>
    <t>f</t>
  </si>
  <si>
    <t>معالجة</t>
  </si>
  <si>
    <t>Admin</t>
  </si>
  <si>
    <t>m</t>
  </si>
  <si>
    <t>محالة</t>
  </si>
  <si>
    <t>طلب معلومات</t>
  </si>
  <si>
    <t>إحالة خدمة</t>
  </si>
  <si>
    <t>نبض</t>
  </si>
  <si>
    <t>عالقة</t>
  </si>
  <si>
    <t>خلل في البطاقة</t>
  </si>
  <si>
    <t>شكوى على معاملة المتجر</t>
  </si>
  <si>
    <t>شكوى على معاملة الموظفين</t>
  </si>
  <si>
    <t>GBV</t>
  </si>
  <si>
    <t>Data entry</t>
  </si>
  <si>
    <t>school offcer</t>
  </si>
  <si>
    <t>عدد الشكاوى المحالة الىGOPA</t>
  </si>
  <si>
    <t>براعم</t>
  </si>
  <si>
    <t>GOPA</t>
  </si>
  <si>
    <t>الدورات التدريبية</t>
  </si>
  <si>
    <t>عنوان الدورة التدريبية</t>
  </si>
  <si>
    <t xml:space="preserve">الجمهور المستهدف </t>
  </si>
  <si>
    <t>إناث</t>
  </si>
  <si>
    <t>ذكور</t>
  </si>
  <si>
    <t>عدد المشاركين</t>
  </si>
  <si>
    <t>الإجمالي</t>
  </si>
  <si>
    <t>جدول المراقبة</t>
  </si>
  <si>
    <t>تاريخ الزيارة</t>
  </si>
  <si>
    <t>الموقع</t>
  </si>
  <si>
    <t xml:space="preserve">الملاحظات المرصودة </t>
  </si>
  <si>
    <t>الإجراءات المتبعة</t>
  </si>
  <si>
    <t>عدد زيارات متجر شوبيكو</t>
  </si>
  <si>
    <t>عدد زيارات متجر سيلفر</t>
  </si>
  <si>
    <t>Silver Shop</t>
  </si>
  <si>
    <t>Shopiko</t>
  </si>
  <si>
    <t>Athar</t>
  </si>
  <si>
    <t>Nabedh</t>
  </si>
  <si>
    <t>جدول الرصد</t>
  </si>
  <si>
    <t>عنوان الجلسة</t>
  </si>
  <si>
    <t>عدد الأناث</t>
  </si>
  <si>
    <t>العمر الأصغر ضمن الجلسة</t>
  </si>
  <si>
    <t>العمر الأكبر ضمن الجلسة</t>
  </si>
  <si>
    <t>نوع الجلسة</t>
  </si>
  <si>
    <t>البرنامج</t>
  </si>
  <si>
    <t>عدد المستفيدين</t>
  </si>
  <si>
    <t>تعريف ببرنامج الـ PLW</t>
  </si>
  <si>
    <t>عدد الذكور في جلسات التعريف بـ PLW</t>
  </si>
  <si>
    <t>عدد الاناث في جلسات التعريف بـPLW</t>
  </si>
  <si>
    <t>الفئة العمرية الكبرى في جلسات التعريف بـPLW</t>
  </si>
  <si>
    <t>الفئة العمرية الصغرى في جلسات التعريف بـPLW</t>
  </si>
  <si>
    <t>تعريف ببرنامج الـ OOSCH</t>
  </si>
  <si>
    <t>عدد الذكور في جلسات التعريف بـ OOSCH</t>
  </si>
  <si>
    <t>عدد الاناث في جلسات التعريف بـOOSCH</t>
  </si>
  <si>
    <t>الفئة العمرية الكبرى في جلسات التعريف بـOOSCH</t>
  </si>
  <si>
    <t>الفئة العمرية الصغرى في جلسات التعريف بـOOSCH2</t>
  </si>
  <si>
    <t>معلومات صحة تغذوية للسيدة الحامل</t>
  </si>
  <si>
    <t>عدد الذكور في جلسات معلومات الصحة التغذوية</t>
  </si>
  <si>
    <t>عدد الاناث في جلسات معلومات الصحة التغذوية</t>
  </si>
  <si>
    <t>فئة عمرية كبرى لجلسات الصحة التغذوية</t>
  </si>
  <si>
    <t>فئة عمرية صغرى لجلسات الصحة التغذوية</t>
  </si>
  <si>
    <t>تعليمات الية صرف البطاقة لـ PLW</t>
  </si>
  <si>
    <t>عدد الذكور في جلسات تعليم آلية صرف البطاقة لـPLW</t>
  </si>
  <si>
    <t>عدد الاناث في جلسات تعليم آلية صرف البطاقة لـPLW</t>
  </si>
  <si>
    <t>فئة عمرية كبرى لجلسات تعليم صرف البطاقة لـPLW</t>
  </si>
  <si>
    <t>فئة عمرية صغرى لجلسات تعليم صرف البطاقة لـPLW</t>
  </si>
  <si>
    <t>أهمية التعليم ومخاطر التسرب</t>
  </si>
  <si>
    <t>عدد الذكور في جلسات أهمية التعليم</t>
  </si>
  <si>
    <t>عدد الاناث في جلسات أهمية التعلم</t>
  </si>
  <si>
    <t>فئة عمرية كبرى لجلسات أهمية التعلم</t>
  </si>
  <si>
    <t>فئة عمرية صغرى لجلسات أهمية التعلم</t>
  </si>
  <si>
    <t>تعليمات آلية صرف البطاقة لـOOSCH</t>
  </si>
  <si>
    <t>عدد الذكور في جلسات تعليم آلية صرف البطاقة لـOOSCH</t>
  </si>
  <si>
    <t>عدد الاناث في جلسات تعليم آلية صرف البطاقة لـOOSCH</t>
  </si>
  <si>
    <t>فئة عمرية كبرى لجلسات تعليم صرف البطاقة لـOOSCH</t>
  </si>
  <si>
    <t>فئة عمرية صغرى لجلسات تعليم صرف البطاقة لHـOOSC</t>
  </si>
  <si>
    <t>حماية PLW</t>
  </si>
  <si>
    <t>عدد الذكور في جلسات حماية PLW</t>
  </si>
  <si>
    <t>عدد الاناث في جلسات حماية PLW</t>
  </si>
  <si>
    <t>فئة عمرية كبرى في جلسات حماية PLW</t>
  </si>
  <si>
    <t>فئة عمرية صغرى في جلسات حماية PLW</t>
  </si>
  <si>
    <t>حماية OOSCH</t>
  </si>
  <si>
    <t>عدد الذكور في جلسات حماية OOSCH</t>
  </si>
  <si>
    <t>عدد الاناث في جلسات حماية OOSCH</t>
  </si>
  <si>
    <t>فئة عمرية كبرى في جلسات حماية OOSCH</t>
  </si>
  <si>
    <t>فئة عمرية صغرى في جلسات حماية OOSCH</t>
  </si>
  <si>
    <t>تشاور PLW</t>
  </si>
  <si>
    <t>عدد الذكور في جلسات التشاور لبرنامج PLW</t>
  </si>
  <si>
    <t>عدد الاناث في جلسات التشاور PLW</t>
  </si>
  <si>
    <t>فئة عمرية كبرى لجلسات التشاور PLW</t>
  </si>
  <si>
    <t>فئة عمرية صغرى لجلسات التشاور PLW</t>
  </si>
  <si>
    <t>تشاور OOSCH</t>
  </si>
  <si>
    <t>عدد الذكور في جلسات التشاور لبرنامج OOSCH</t>
  </si>
  <si>
    <t>عدد الاناث في جلسات التشاور OOSCH</t>
  </si>
  <si>
    <t>فئة عمرية كبرى لجلسات التشاور OOSCH</t>
  </si>
  <si>
    <t>فئة عمرية صغرى لجلسات التشاور OOSCH</t>
  </si>
  <si>
    <t>نوع الجلسات</t>
  </si>
  <si>
    <t>تعريف بالبرنامج</t>
  </si>
  <si>
    <t>تعليمات لآلية صرف البطاقة</t>
  </si>
  <si>
    <t>تشاور</t>
  </si>
  <si>
    <t>عدد السيدات اللوات تم قياس مواك لهن</t>
  </si>
  <si>
    <t>عدد حالات سوء التغذية التي تم تم تحويلهم الى عيادات تنظيم الاسرة</t>
  </si>
  <si>
    <t>مكان الجلسة</t>
  </si>
  <si>
    <t>(عدد الجلسات التدريبية/جلسات التوعية حول مسألة النوع والمنفذة لمصلحة موظفي الشريك ولجان إدارة المشروع</t>
  </si>
  <si>
    <t>موضوع الجلسة</t>
  </si>
  <si>
    <t>عدد الحضور</t>
  </si>
  <si>
    <t>(عدد الجلسات التدريبية/جلسات التوعية حول مسألة النوع والمنفذة لمصلحة السكان المتضررين</t>
  </si>
  <si>
    <t>موضوع لجلسة</t>
  </si>
  <si>
    <t>الذكور</t>
  </si>
  <si>
    <t>الاناث</t>
  </si>
  <si>
    <t>عدد لحضور</t>
  </si>
  <si>
    <t>     عدد المسائل المتعلقة بالنوع والتي تم تحديدها ورفعها لاتخاذ الإجراء المناسب</t>
  </si>
  <si>
    <t>عدد الحالات المستقبلة لبرنامج PLW</t>
  </si>
  <si>
    <t>عدد الحالات المحالة الينا من جهات أخرى</t>
  </si>
  <si>
    <t>الثلاثاء</t>
  </si>
  <si>
    <t xml:space="preserve">الأربعاء </t>
  </si>
  <si>
    <t>أثر</t>
  </si>
  <si>
    <t>المهمة</t>
  </si>
  <si>
    <t>توزيع بطاقات</t>
  </si>
  <si>
    <t>زيارات المتاجر</t>
  </si>
  <si>
    <t>نوع البرنامج</t>
  </si>
  <si>
    <t>full</t>
  </si>
  <si>
    <t>عدد الجلسات التوعوية الكلي</t>
  </si>
  <si>
    <t>عدد قياسات المواك</t>
  </si>
  <si>
    <t>مواك</t>
  </si>
  <si>
    <t>توعية</t>
  </si>
  <si>
    <t>مراقبة</t>
  </si>
  <si>
    <t>عدد زيارات المركز</t>
  </si>
  <si>
    <t>رصد</t>
  </si>
  <si>
    <t>مكتب مساعدة</t>
  </si>
  <si>
    <t>تفصيل الشكوى</t>
  </si>
  <si>
    <t>شكوى عن  المتجر</t>
  </si>
  <si>
    <t>عدد الشكوى على  المتجر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</si>
</sst>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[$-F800]dddd\,\ mmmm\ dd\,\ yyyy"/>
  </numFmts>
  <fonts count="2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0"/>
      <name val="Calibri Light"/>
      <family val="1"/>
      <scheme val="maj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b/>
      <u/>
      <sz val="12"/>
      <color theme="10"/>
      <name val="Calibri"/>
      <family val="2"/>
      <scheme val="minor"/>
    </font>
    <font>
      <b/>
      <u/>
      <sz val="14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Times New Roman"/>
      <family val="1"/>
    </font>
    <font>
      <b/>
      <sz val="20"/>
      <color theme="0"/>
      <name val="Arabic Typesetting"/>
      <family val="4"/>
    </font>
    <font>
      <b/>
      <sz val="20"/>
      <color theme="1"/>
      <name val="Arabic Typesetting"/>
      <family val="4"/>
    </font>
    <font>
      <b/>
      <sz val="22"/>
      <color theme="1"/>
      <name val="Arabic Typesetting"/>
      <family val="4"/>
    </font>
    <font>
      <b/>
      <sz val="18"/>
      <color theme="1"/>
      <name val="Calibri Light"/>
      <family val="1"/>
      <scheme val="major"/>
    </font>
    <font>
      <b/>
      <u/>
      <sz val="16"/>
      <color theme="10"/>
      <name val="Calibri"/>
      <family val="2"/>
      <scheme val="minor"/>
    </font>
    <font>
      <b/>
      <u/>
      <sz val="18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6"/>
      <color theme="10"/>
      <name val="Times New Roman"/>
      <family val="1"/>
    </font>
    <font>
      <b/>
      <sz val="11"/>
      <color theme="1"/>
      <name val="Bahnschrift SemiBold SemiConden"/>
      <family val="2"/>
    </font>
    <font>
      <b/>
      <sz val="20"/>
      <color theme="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A7E2"/>
        <bgColor indexed="64"/>
      </patternFill>
    </fill>
    <fill>
      <patternFill patternType="solid">
        <fgColor rgb="FFC5C5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5E2D3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ECD9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theme="4" tint="0.79998168889431442"/>
      </patternFill>
    </fill>
    <fill>
      <patternFill patternType="solid">
        <fgColor rgb="FFC9FFC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6D5F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F9FFF"/>
        <bgColor indexed="64"/>
      </patternFill>
    </fill>
    <fill>
      <patternFill patternType="solid">
        <fgColor rgb="FFD9E09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43FF98"/>
        <bgColor indexed="64"/>
      </patternFill>
    </fill>
    <fill>
      <patternFill patternType="solid">
        <fgColor rgb="FFD9E098"/>
        <bgColor theme="0" tint="-0.14999847407452621"/>
      </patternFill>
    </fill>
    <fill>
      <patternFill patternType="solid">
        <fgColor rgb="FF43FF98"/>
        <bgColor theme="0" tint="-0.14999847407452621"/>
      </patternFill>
    </fill>
    <fill>
      <patternFill patternType="solid">
        <fgColor rgb="FFFFCCFF"/>
        <bgColor theme="0" tint="-0.14999847407452621"/>
      </patternFill>
    </fill>
    <fill>
      <patternFill patternType="solid">
        <fgColor rgb="FFC9FFC9"/>
        <bgColor theme="0" tint="-0.14999847407452621"/>
      </patternFill>
    </fill>
    <fill>
      <patternFill patternType="solid">
        <fgColor theme="5" tint="0.59999389629810485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CD9FF"/>
        <bgColor theme="0" tint="-0.14999847407452621"/>
      </patternFill>
    </fill>
    <fill>
      <patternFill patternType="solid">
        <fgColor rgb="FFA9B0EF"/>
        <bgColor theme="0" tint="-0.14999847407452621"/>
      </patternFill>
    </fill>
    <fill>
      <patternFill patternType="solid">
        <fgColor rgb="FFA9B0EF"/>
        <bgColor indexed="64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rgb="FF99FF99"/>
        <bgColor theme="0" tint="-0.14999847407452621"/>
      </patternFill>
    </fill>
    <fill>
      <patternFill patternType="solid">
        <fgColor rgb="FFFF99FF"/>
        <bgColor indexed="64"/>
      </patternFill>
    </fill>
    <fill>
      <patternFill patternType="solid">
        <fgColor rgb="FFFF99FF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4" fillId="0" borderId="0" xfId="0" applyFont="1"/>
    <xf numFmtId="0" fontId="5" fillId="3" borderId="1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0" fillId="0" borderId="1" xfId="0" applyBorder="1" applyAlignment="1" applyProtection="1">
      <alignment horizontal="center" vertical="center"/>
      <protection hidden="1"/>
    </xf>
    <xf numFmtId="0" fontId="3" fillId="0" borderId="1" xfId="0" applyFont="1" applyBorder="1"/>
    <xf numFmtId="0" fontId="2" fillId="0" borderId="1" xfId="0" applyFont="1" applyBorder="1"/>
    <xf numFmtId="0" fontId="0" fillId="0" borderId="8" xfId="0" applyBorder="1" applyAlignment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  <protection hidden="1"/>
    </xf>
    <xf numFmtId="0" fontId="3" fillId="5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3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 applyProtection="1">
      <alignment horizontal="center" vertical="center"/>
      <protection hidden="1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 applyProtection="1">
      <alignment horizontal="center" vertical="center"/>
      <protection hidden="1"/>
    </xf>
    <xf numFmtId="0" fontId="3" fillId="9" borderId="1" xfId="0" applyFont="1" applyFill="1" applyBorder="1" applyAlignment="1" applyProtection="1">
      <alignment horizontal="center" vertical="center"/>
      <protection hidden="1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vertical="center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6" xfId="0" applyFont="1" applyBorder="1" applyAlignment="1" applyProtection="1">
      <alignment horizontal="center" vertical="center"/>
      <protection hidden="1"/>
    </xf>
    <xf numFmtId="0" fontId="3" fillId="0" borderId="3" xfId="0" applyFont="1" applyBorder="1" applyAlignment="1" applyProtection="1">
      <alignment horizontal="center" vertical="center"/>
      <protection hidden="1"/>
    </xf>
    <xf numFmtId="0" fontId="3" fillId="0" borderId="9" xfId="0" applyFont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2" fillId="0" borderId="8" xfId="0" applyFont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12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/>
      <protection hidden="1"/>
    </xf>
    <xf numFmtId="0" fontId="13" fillId="11" borderId="5" xfId="0" applyFont="1" applyFill="1" applyBorder="1" applyAlignment="1">
      <alignment horizontal="center" vertical="center"/>
    </xf>
    <xf numFmtId="0" fontId="2" fillId="12" borderId="5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7" borderId="1" xfId="0" applyFont="1" applyFill="1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/>
      <protection hidden="1"/>
    </xf>
    <xf numFmtId="0" fontId="13" fillId="11" borderId="9" xfId="0" applyFont="1" applyFill="1" applyBorder="1" applyAlignment="1">
      <alignment horizontal="center" vertical="center"/>
    </xf>
    <xf numFmtId="0" fontId="13" fillId="11" borderId="9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16" fillId="14" borderId="0" xfId="0" applyFont="1" applyFill="1" applyAlignment="1">
      <alignment horizontal="center" vertical="center"/>
    </xf>
    <xf numFmtId="0" fontId="16" fillId="14" borderId="14" xfId="0" applyFont="1" applyFill="1" applyBorder="1" applyAlignment="1">
      <alignment horizontal="center" vertical="center"/>
    </xf>
    <xf numFmtId="0" fontId="16" fillId="14" borderId="11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0" fillId="15" borderId="1" xfId="0" applyFill="1" applyBorder="1" applyAlignment="1" applyProtection="1">
      <alignment horizontal="center" vertical="center"/>
      <protection hidden="1"/>
    </xf>
    <xf numFmtId="0" fontId="0" fillId="15" borderId="1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5" borderId="11" xfId="0" applyFill="1" applyBorder="1" applyAlignment="1" applyProtection="1">
      <alignment horizontal="center" vertical="center"/>
      <protection hidden="1"/>
    </xf>
    <xf numFmtId="0" fontId="0" fillId="15" borderId="8" xfId="0" applyFill="1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 applyProtection="1">
      <alignment horizontal="center" vertical="center"/>
      <protection locked="0"/>
    </xf>
    <xf numFmtId="164" fontId="17" fillId="0" borderId="1" xfId="0" applyNumberFormat="1" applyFont="1" applyBorder="1" applyAlignment="1" applyProtection="1">
      <alignment horizontal="center" vertical="center"/>
      <protection locked="0"/>
    </xf>
    <xf numFmtId="164" fontId="17" fillId="0" borderId="1" xfId="0" applyNumberFormat="1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0" fillId="0" borderId="26" xfId="0" applyBorder="1"/>
    <xf numFmtId="0" fontId="17" fillId="0" borderId="2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4" fillId="14" borderId="9" xfId="0" applyFont="1" applyFill="1" applyBorder="1" applyAlignment="1">
      <alignment horizontal="center" vertical="center"/>
    </xf>
    <xf numFmtId="0" fontId="0" fillId="23" borderId="9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3" fillId="25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3" fillId="23" borderId="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3" fillId="10" borderId="20" xfId="0" applyFont="1" applyFill="1" applyBorder="1" applyAlignment="1" applyProtection="1">
      <alignment horizontal="center" vertical="center"/>
      <protection hidden="1"/>
    </xf>
    <xf numFmtId="0" fontId="3" fillId="10" borderId="22" xfId="0" applyFont="1" applyFill="1" applyBorder="1" applyAlignment="1" applyProtection="1">
      <alignment horizontal="center" vertical="center"/>
      <protection hidden="1"/>
    </xf>
    <xf numFmtId="0" fontId="2" fillId="10" borderId="24" xfId="0" applyFont="1" applyFill="1" applyBorder="1" applyAlignment="1">
      <alignment horizontal="center" vertical="center"/>
    </xf>
    <xf numFmtId="0" fontId="3" fillId="10" borderId="25" xfId="0" applyFont="1" applyFill="1" applyBorder="1" applyAlignment="1" applyProtection="1">
      <alignment horizontal="center" vertical="center"/>
      <protection hidden="1"/>
    </xf>
    <xf numFmtId="0" fontId="3" fillId="33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3" fillId="37" borderId="1" xfId="0" applyFont="1" applyFill="1" applyBorder="1" applyAlignment="1">
      <alignment horizontal="center" vertical="center"/>
    </xf>
    <xf numFmtId="0" fontId="3" fillId="34" borderId="1" xfId="0" applyFont="1" applyFill="1" applyBorder="1" applyAlignment="1">
      <alignment horizontal="center" vertical="center"/>
    </xf>
    <xf numFmtId="0" fontId="3" fillId="30" borderId="1" xfId="0" applyFont="1" applyFill="1" applyBorder="1" applyAlignment="1">
      <alignment horizontal="center" vertical="center"/>
    </xf>
    <xf numFmtId="0" fontId="3" fillId="35" borderId="1" xfId="0" applyFont="1" applyFill="1" applyBorder="1" applyAlignment="1">
      <alignment horizontal="center" vertical="center"/>
    </xf>
    <xf numFmtId="0" fontId="3" fillId="32" borderId="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3" borderId="5" xfId="0" applyFont="1" applyFill="1" applyBorder="1" applyAlignment="1">
      <alignment horizontal="center" vertical="center"/>
    </xf>
    <xf numFmtId="0" fontId="3" fillId="34" borderId="5" xfId="0" applyFont="1" applyFill="1" applyBorder="1" applyAlignment="1">
      <alignment horizontal="center" vertical="center"/>
    </xf>
    <xf numFmtId="0" fontId="3" fillId="30" borderId="5" xfId="0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35" borderId="5" xfId="0" applyFont="1" applyFill="1" applyBorder="1" applyAlignment="1">
      <alignment horizontal="center" vertical="center"/>
    </xf>
    <xf numFmtId="0" fontId="3" fillId="32" borderId="5" xfId="0" applyFont="1" applyFill="1" applyBorder="1" applyAlignment="1">
      <alignment horizontal="center" vertical="center"/>
    </xf>
    <xf numFmtId="0" fontId="3" fillId="36" borderId="5" xfId="0" applyFont="1" applyFill="1" applyBorder="1" applyAlignment="1">
      <alignment horizontal="center" vertical="center"/>
    </xf>
    <xf numFmtId="0" fontId="3" fillId="31" borderId="5" xfId="0" applyFont="1" applyFill="1" applyBorder="1" applyAlignment="1">
      <alignment horizontal="center" vertical="center"/>
    </xf>
    <xf numFmtId="0" fontId="3" fillId="37" borderId="5" xfId="0" applyFont="1" applyFill="1" applyBorder="1" applyAlignment="1">
      <alignment horizontal="center" vertical="center"/>
    </xf>
    <xf numFmtId="0" fontId="14" fillId="11" borderId="46" xfId="0" applyFont="1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" fillId="32" borderId="19" xfId="0" applyFont="1" applyFill="1" applyBorder="1" applyAlignment="1">
      <alignment horizontal="center" vertical="center"/>
    </xf>
    <xf numFmtId="0" fontId="3" fillId="32" borderId="20" xfId="0" applyFont="1" applyFill="1" applyBorder="1" applyAlignment="1" applyProtection="1">
      <alignment horizontal="center" vertical="center"/>
      <protection hidden="1"/>
    </xf>
    <xf numFmtId="0" fontId="2" fillId="32" borderId="1" xfId="0" applyFont="1" applyFill="1" applyBorder="1" applyAlignment="1">
      <alignment horizontal="center" vertical="center"/>
    </xf>
    <xf numFmtId="0" fontId="3" fillId="32" borderId="22" xfId="0" applyFont="1" applyFill="1" applyBorder="1" applyAlignment="1" applyProtection="1">
      <alignment horizontal="center" vertical="center"/>
      <protection hidden="1"/>
    </xf>
    <xf numFmtId="0" fontId="2" fillId="32" borderId="24" xfId="0" applyFont="1" applyFill="1" applyBorder="1" applyAlignment="1">
      <alignment horizontal="center" vertical="center"/>
    </xf>
    <xf numFmtId="0" fontId="3" fillId="32" borderId="25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0" fillId="23" borderId="11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4" fillId="14" borderId="14" xfId="0" applyFont="1" applyFill="1" applyBorder="1" applyAlignment="1">
      <alignment horizontal="center" vertical="center"/>
    </xf>
    <xf numFmtId="0" fontId="0" fillId="23" borderId="14" xfId="0" applyFill="1" applyBorder="1" applyAlignment="1">
      <alignment horizontal="center" vertical="center"/>
    </xf>
    <xf numFmtId="0" fontId="20" fillId="0" borderId="0" xfId="1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25" fillId="0" borderId="0" xfId="0" applyFont="1"/>
    <xf numFmtId="0" fontId="9" fillId="0" borderId="0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4" fillId="0" borderId="0" xfId="1" applyFont="1" applyBorder="1" applyAlignment="1">
      <alignment vertical="center"/>
    </xf>
    <xf numFmtId="0" fontId="20" fillId="0" borderId="47" xfId="1" applyFont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5" borderId="7" xfId="0" applyFill="1" applyBorder="1" applyAlignment="1" applyProtection="1">
      <alignment horizontal="center" vertical="center"/>
      <protection hidden="1"/>
    </xf>
    <xf numFmtId="0" fontId="0" fillId="17" borderId="1" xfId="0" applyFill="1" applyBorder="1" applyAlignment="1">
      <alignment horizontal="center" vertical="center"/>
    </xf>
    <xf numFmtId="0" fontId="2" fillId="38" borderId="30" xfId="0" applyFont="1" applyFill="1" applyBorder="1" applyAlignment="1">
      <alignment horizontal="center" vertical="center" wrapText="1"/>
    </xf>
    <xf numFmtId="0" fontId="2" fillId="35" borderId="11" xfId="0" applyFont="1" applyFill="1" applyBorder="1" applyAlignment="1">
      <alignment horizontal="center" vertical="center" wrapText="1"/>
    </xf>
    <xf numFmtId="0" fontId="2" fillId="38" borderId="37" xfId="0" applyFont="1" applyFill="1" applyBorder="1" applyAlignment="1">
      <alignment horizontal="center" vertical="center"/>
    </xf>
    <xf numFmtId="0" fontId="2" fillId="37" borderId="37" xfId="0" applyFont="1" applyFill="1" applyBorder="1" applyAlignment="1">
      <alignment horizontal="center" vertical="center"/>
    </xf>
    <xf numFmtId="0" fontId="2" fillId="40" borderId="37" xfId="0" applyFont="1" applyFill="1" applyBorder="1" applyAlignment="1">
      <alignment horizontal="center" vertical="center"/>
    </xf>
    <xf numFmtId="0" fontId="2" fillId="26" borderId="37" xfId="0" applyFont="1" applyFill="1" applyBorder="1" applyAlignment="1">
      <alignment horizontal="center" vertical="center"/>
    </xf>
    <xf numFmtId="0" fontId="2" fillId="42" borderId="37" xfId="0" applyFont="1" applyFill="1" applyBorder="1" applyAlignment="1">
      <alignment horizontal="center" vertical="center"/>
    </xf>
    <xf numFmtId="0" fontId="2" fillId="21" borderId="37" xfId="0" applyFont="1" applyFill="1" applyBorder="1" applyAlignment="1">
      <alignment horizontal="center" vertical="center"/>
    </xf>
    <xf numFmtId="0" fontId="2" fillId="45" borderId="37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40" borderId="37" xfId="0" applyFont="1" applyFill="1" applyBorder="1" applyAlignment="1">
      <alignment horizontal="center" vertical="center" wrapText="1"/>
    </xf>
    <xf numFmtId="0" fontId="2" fillId="30" borderId="48" xfId="0" applyFont="1" applyFill="1" applyBorder="1" applyAlignment="1">
      <alignment horizontal="center" vertical="center" wrapText="1"/>
    </xf>
    <xf numFmtId="0" fontId="2" fillId="40" borderId="49" xfId="0" applyFont="1" applyFill="1" applyBorder="1" applyAlignment="1">
      <alignment horizontal="center" vertical="center" wrapText="1"/>
    </xf>
    <xf numFmtId="0" fontId="2" fillId="26" borderId="37" xfId="0" applyFont="1" applyFill="1" applyBorder="1" applyAlignment="1">
      <alignment horizontal="center" vertical="center" wrapText="1"/>
    </xf>
    <xf numFmtId="0" fontId="2" fillId="41" borderId="48" xfId="0" applyFont="1" applyFill="1" applyBorder="1" applyAlignment="1">
      <alignment horizontal="center" vertical="center" wrapText="1"/>
    </xf>
    <xf numFmtId="0" fontId="2" fillId="26" borderId="49" xfId="0" applyFont="1" applyFill="1" applyBorder="1" applyAlignment="1">
      <alignment horizontal="center" vertical="center" wrapText="1"/>
    </xf>
    <xf numFmtId="0" fontId="2" fillId="45" borderId="37" xfId="0" applyFont="1" applyFill="1" applyBorder="1" applyAlignment="1">
      <alignment horizontal="center" vertical="center" wrapText="1"/>
    </xf>
    <xf numFmtId="0" fontId="2" fillId="45" borderId="48" xfId="0" applyFont="1" applyFill="1" applyBorder="1" applyAlignment="1">
      <alignment horizontal="center" vertical="center" wrapText="1"/>
    </xf>
    <xf numFmtId="0" fontId="2" fillId="46" borderId="49" xfId="0" applyFont="1" applyFill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2" fillId="38" borderId="33" xfId="0" applyFont="1" applyFill="1" applyBorder="1" applyAlignment="1">
      <alignment horizontal="center" vertical="center" wrapText="1"/>
    </xf>
    <xf numFmtId="0" fontId="2" fillId="37" borderId="29" xfId="0" applyFont="1" applyFill="1" applyBorder="1" applyAlignment="1">
      <alignment horizontal="center" vertical="center" wrapText="1"/>
    </xf>
    <xf numFmtId="0" fontId="2" fillId="39" borderId="51" xfId="0" applyFont="1" applyFill="1" applyBorder="1" applyAlignment="1">
      <alignment horizontal="center" vertical="center" wrapText="1"/>
    </xf>
    <xf numFmtId="0" fontId="2" fillId="37" borderId="52" xfId="0" applyFont="1" applyFill="1" applyBorder="1" applyAlignment="1">
      <alignment horizontal="center" vertical="center" wrapText="1"/>
    </xf>
    <xf numFmtId="0" fontId="2" fillId="40" borderId="29" xfId="0" applyFont="1" applyFill="1" applyBorder="1" applyAlignment="1">
      <alignment horizontal="center" vertical="center" wrapText="1"/>
    </xf>
    <xf numFmtId="0" fontId="2" fillId="30" borderId="51" xfId="0" applyFont="1" applyFill="1" applyBorder="1" applyAlignment="1">
      <alignment horizontal="center" vertical="center" wrapText="1"/>
    </xf>
    <xf numFmtId="0" fontId="2" fillId="40" borderId="52" xfId="0" applyFont="1" applyFill="1" applyBorder="1" applyAlignment="1">
      <alignment horizontal="center" vertical="center" wrapText="1"/>
    </xf>
    <xf numFmtId="0" fontId="2" fillId="26" borderId="29" xfId="0" applyFont="1" applyFill="1" applyBorder="1" applyAlignment="1">
      <alignment horizontal="center" vertical="center" wrapText="1"/>
    </xf>
    <xf numFmtId="0" fontId="2" fillId="41" borderId="51" xfId="0" applyFont="1" applyFill="1" applyBorder="1" applyAlignment="1">
      <alignment horizontal="center" vertical="center" wrapText="1"/>
    </xf>
    <xf numFmtId="0" fontId="2" fillId="26" borderId="52" xfId="0" applyFont="1" applyFill="1" applyBorder="1" applyAlignment="1">
      <alignment horizontal="center" vertical="center" wrapText="1"/>
    </xf>
    <xf numFmtId="0" fontId="2" fillId="42" borderId="29" xfId="0" applyFont="1" applyFill="1" applyBorder="1" applyAlignment="1">
      <alignment horizontal="center" vertical="center" wrapText="1"/>
    </xf>
    <xf numFmtId="0" fontId="2" fillId="43" borderId="51" xfId="0" applyFont="1" applyFill="1" applyBorder="1" applyAlignment="1">
      <alignment horizontal="center" vertical="center" wrapText="1"/>
    </xf>
    <xf numFmtId="0" fontId="2" fillId="42" borderId="52" xfId="0" applyFont="1" applyFill="1" applyBorder="1" applyAlignment="1">
      <alignment horizontal="center" vertical="center" wrapText="1"/>
    </xf>
    <xf numFmtId="0" fontId="2" fillId="21" borderId="29" xfId="0" applyFont="1" applyFill="1" applyBorder="1" applyAlignment="1">
      <alignment horizontal="center" vertical="center" wrapText="1"/>
    </xf>
    <xf numFmtId="0" fontId="2" fillId="44" borderId="51" xfId="0" applyFont="1" applyFill="1" applyBorder="1" applyAlignment="1">
      <alignment horizontal="center" vertical="center" wrapText="1"/>
    </xf>
    <xf numFmtId="0" fontId="2" fillId="21" borderId="52" xfId="0" applyFont="1" applyFill="1" applyBorder="1" applyAlignment="1">
      <alignment horizontal="center" vertical="center" wrapText="1"/>
    </xf>
    <xf numFmtId="0" fontId="2" fillId="45" borderId="29" xfId="0" applyFont="1" applyFill="1" applyBorder="1" applyAlignment="1">
      <alignment horizontal="center" vertical="center" wrapText="1"/>
    </xf>
    <xf numFmtId="0" fontId="2" fillId="45" borderId="51" xfId="0" applyFont="1" applyFill="1" applyBorder="1" applyAlignment="1">
      <alignment horizontal="center" vertical="center" wrapText="1"/>
    </xf>
    <xf numFmtId="0" fontId="2" fillId="46" borderId="52" xfId="0" applyFont="1" applyFill="1" applyBorder="1" applyAlignment="1">
      <alignment horizontal="center" vertical="center" wrapText="1"/>
    </xf>
    <xf numFmtId="0" fontId="2" fillId="35" borderId="48" xfId="0" applyFont="1" applyFill="1" applyBorder="1" applyAlignment="1">
      <alignment horizontal="center" vertical="center"/>
    </xf>
    <xf numFmtId="0" fontId="2" fillId="38" borderId="49" xfId="0" applyFont="1" applyFill="1" applyBorder="1" applyAlignment="1">
      <alignment horizontal="center" vertical="center"/>
    </xf>
    <xf numFmtId="0" fontId="2" fillId="39" borderId="48" xfId="0" applyFont="1" applyFill="1" applyBorder="1" applyAlignment="1">
      <alignment horizontal="center" vertical="center"/>
    </xf>
    <xf numFmtId="0" fontId="2" fillId="37" borderId="49" xfId="0" applyFont="1" applyFill="1" applyBorder="1" applyAlignment="1">
      <alignment horizontal="center" vertical="center"/>
    </xf>
    <xf numFmtId="0" fontId="2" fillId="30" borderId="48" xfId="0" applyFont="1" applyFill="1" applyBorder="1" applyAlignment="1">
      <alignment horizontal="center" vertical="center"/>
    </xf>
    <xf numFmtId="0" fontId="2" fillId="40" borderId="49" xfId="0" applyFont="1" applyFill="1" applyBorder="1" applyAlignment="1">
      <alignment horizontal="center" vertical="center"/>
    </xf>
    <xf numFmtId="0" fontId="2" fillId="41" borderId="48" xfId="0" applyFont="1" applyFill="1" applyBorder="1" applyAlignment="1">
      <alignment horizontal="center" vertical="center"/>
    </xf>
    <xf numFmtId="0" fontId="2" fillId="26" borderId="49" xfId="0" applyFont="1" applyFill="1" applyBorder="1" applyAlignment="1">
      <alignment horizontal="center" vertical="center"/>
    </xf>
    <xf numFmtId="0" fontId="2" fillId="43" borderId="48" xfId="0" applyFont="1" applyFill="1" applyBorder="1" applyAlignment="1">
      <alignment horizontal="center" vertical="center"/>
    </xf>
    <xf numFmtId="0" fontId="2" fillId="42" borderId="49" xfId="0" applyFont="1" applyFill="1" applyBorder="1" applyAlignment="1">
      <alignment horizontal="center" vertical="center"/>
    </xf>
    <xf numFmtId="0" fontId="2" fillId="44" borderId="48" xfId="0" applyFont="1" applyFill="1" applyBorder="1" applyAlignment="1">
      <alignment horizontal="center" vertical="center"/>
    </xf>
    <xf numFmtId="0" fontId="2" fillId="21" borderId="49" xfId="0" applyFont="1" applyFill="1" applyBorder="1" applyAlignment="1">
      <alignment horizontal="center" vertical="center"/>
    </xf>
    <xf numFmtId="0" fontId="2" fillId="45" borderId="48" xfId="0" applyFont="1" applyFill="1" applyBorder="1" applyAlignment="1">
      <alignment horizontal="center" vertical="center"/>
    </xf>
    <xf numFmtId="0" fontId="2" fillId="46" borderId="49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13" borderId="37" xfId="0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vertical="center" wrapText="1"/>
    </xf>
    <xf numFmtId="0" fontId="2" fillId="47" borderId="48" xfId="0" applyFont="1" applyFill="1" applyBorder="1" applyAlignment="1">
      <alignment horizontal="center" vertical="center" wrapText="1"/>
    </xf>
    <xf numFmtId="0" fontId="2" fillId="47" borderId="48" xfId="0" applyFont="1" applyFill="1" applyBorder="1" applyAlignment="1">
      <alignment horizontal="center" vertical="center"/>
    </xf>
    <xf numFmtId="0" fontId="2" fillId="13" borderId="49" xfId="0" applyFont="1" applyFill="1" applyBorder="1" applyAlignment="1">
      <alignment horizontal="center" vertical="center" wrapText="1"/>
    </xf>
    <xf numFmtId="0" fontId="2" fillId="13" borderId="49" xfId="0" applyFont="1" applyFill="1" applyBorder="1" applyAlignment="1">
      <alignment horizontal="center" vertical="center"/>
    </xf>
    <xf numFmtId="0" fontId="2" fillId="48" borderId="37" xfId="0" applyFont="1" applyFill="1" applyBorder="1" applyAlignment="1">
      <alignment horizontal="center" vertical="center"/>
    </xf>
    <xf numFmtId="0" fontId="2" fillId="48" borderId="37" xfId="0" applyFont="1" applyFill="1" applyBorder="1" applyAlignment="1">
      <alignment horizontal="center" vertical="center" wrapText="1"/>
    </xf>
    <xf numFmtId="0" fontId="2" fillId="19" borderId="48" xfId="0" applyFont="1" applyFill="1" applyBorder="1" applyAlignment="1">
      <alignment horizontal="center" vertical="center" wrapText="1"/>
    </xf>
    <xf numFmtId="0" fontId="2" fillId="19" borderId="48" xfId="0" applyFont="1" applyFill="1" applyBorder="1" applyAlignment="1">
      <alignment horizontal="center" vertical="center"/>
    </xf>
    <xf numFmtId="0" fontId="2" fillId="48" borderId="49" xfId="0" applyFont="1" applyFill="1" applyBorder="1" applyAlignment="1">
      <alignment horizontal="center" vertical="center" wrapText="1"/>
    </xf>
    <xf numFmtId="0" fontId="2" fillId="48" borderId="49" xfId="0" applyFont="1" applyFill="1" applyBorder="1" applyAlignment="1">
      <alignment horizontal="center" vertical="center"/>
    </xf>
    <xf numFmtId="0" fontId="2" fillId="49" borderId="37" xfId="0" applyFont="1" applyFill="1" applyBorder="1" applyAlignment="1">
      <alignment horizontal="center" vertical="center"/>
    </xf>
    <xf numFmtId="0" fontId="2" fillId="49" borderId="37" xfId="0" applyFont="1" applyFill="1" applyBorder="1" applyAlignment="1">
      <alignment horizontal="center" vertical="center" wrapText="1"/>
    </xf>
    <xf numFmtId="0" fontId="2" fillId="50" borderId="48" xfId="0" applyFont="1" applyFill="1" applyBorder="1" applyAlignment="1">
      <alignment horizontal="center" vertical="center" wrapText="1"/>
    </xf>
    <xf numFmtId="0" fontId="2" fillId="50" borderId="48" xfId="0" applyFont="1" applyFill="1" applyBorder="1" applyAlignment="1">
      <alignment horizontal="center" vertical="center"/>
    </xf>
    <xf numFmtId="0" fontId="2" fillId="49" borderId="49" xfId="0" applyFont="1" applyFill="1" applyBorder="1" applyAlignment="1">
      <alignment horizontal="center" vertical="center" wrapText="1"/>
    </xf>
    <xf numFmtId="0" fontId="2" fillId="49" borderId="49" xfId="0" applyFont="1" applyFill="1" applyBorder="1" applyAlignment="1">
      <alignment horizontal="center" vertical="center"/>
    </xf>
    <xf numFmtId="0" fontId="2" fillId="38" borderId="37" xfId="0" applyFont="1" applyFill="1" applyBorder="1" applyAlignment="1">
      <alignment horizontal="center" vertical="center" wrapText="1"/>
    </xf>
    <xf numFmtId="0" fontId="2" fillId="35" borderId="48" xfId="0" applyFont="1" applyFill="1" applyBorder="1" applyAlignment="1">
      <alignment horizontal="center" vertical="center" wrapText="1"/>
    </xf>
    <xf numFmtId="0" fontId="2" fillId="38" borderId="49" xfId="0" applyFont="1" applyFill="1" applyBorder="1" applyAlignment="1">
      <alignment horizontal="center" vertical="center" wrapText="1"/>
    </xf>
    <xf numFmtId="0" fontId="0" fillId="15" borderId="2" xfId="0" applyFill="1" applyBorder="1" applyAlignment="1" applyProtection="1">
      <alignment horizontal="center" vertical="center"/>
      <protection hidden="1"/>
    </xf>
    <xf numFmtId="14" fontId="3" fillId="26" borderId="7" xfId="0" applyNumberFormat="1" applyFont="1" applyFill="1" applyBorder="1" applyAlignment="1">
      <alignment horizontal="center" vertical="center" wrapText="1"/>
    </xf>
    <xf numFmtId="0" fontId="3" fillId="26" borderId="8" xfId="0" applyFont="1" applyFill="1" applyBorder="1" applyAlignment="1">
      <alignment horizontal="center" vertical="center" wrapText="1"/>
    </xf>
    <xf numFmtId="0" fontId="3" fillId="21" borderId="8" xfId="0" applyFont="1" applyFill="1" applyBorder="1" applyAlignment="1">
      <alignment horizontal="center" vertical="center" wrapText="1"/>
    </xf>
    <xf numFmtId="0" fontId="3" fillId="35" borderId="9" xfId="0" applyFont="1" applyFill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/>
    </xf>
    <xf numFmtId="0" fontId="7" fillId="0" borderId="13" xfId="0" applyFont="1" applyBorder="1" applyAlignment="1" applyProtection="1">
      <alignment horizontal="center" vertical="center" wrapText="1"/>
      <protection locked="0"/>
    </xf>
    <xf numFmtId="0" fontId="22" fillId="0" borderId="1" xfId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4" fontId="3" fillId="51" borderId="2" xfId="0" applyNumberFormat="1" applyFont="1" applyFill="1" applyBorder="1" applyAlignment="1">
      <alignment horizontal="center" vertical="center"/>
    </xf>
    <xf numFmtId="0" fontId="3" fillId="52" borderId="1" xfId="0" applyFont="1" applyFill="1" applyBorder="1" applyAlignment="1">
      <alignment horizontal="center" vertical="center"/>
    </xf>
    <xf numFmtId="0" fontId="3" fillId="53" borderId="1" xfId="0" applyFont="1" applyFill="1" applyBorder="1" applyAlignment="1">
      <alignment horizontal="center" vertical="center"/>
    </xf>
    <xf numFmtId="0" fontId="3" fillId="54" borderId="3" xfId="0" applyFont="1" applyFill="1" applyBorder="1" applyAlignment="1">
      <alignment horizontal="center" vertical="center"/>
    </xf>
    <xf numFmtId="14" fontId="3" fillId="18" borderId="2" xfId="0" applyNumberFormat="1" applyFont="1" applyFill="1" applyBorder="1" applyAlignment="1">
      <alignment horizontal="center" vertical="center"/>
    </xf>
    <xf numFmtId="0" fontId="3" fillId="55" borderId="1" xfId="0" applyFont="1" applyFill="1" applyBorder="1" applyAlignment="1">
      <alignment horizontal="center" vertical="center"/>
    </xf>
    <xf numFmtId="0" fontId="3" fillId="34" borderId="3" xfId="0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vertical="center"/>
    </xf>
    <xf numFmtId="14" fontId="0" fillId="16" borderId="1" xfId="0" applyNumberForma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56" borderId="1" xfId="0" applyFont="1" applyFill="1" applyBorder="1" applyAlignment="1">
      <alignment horizontal="center" vertical="center"/>
    </xf>
    <xf numFmtId="0" fontId="3" fillId="57" borderId="1" xfId="0" applyFont="1" applyFill="1" applyBorder="1" applyAlignment="1">
      <alignment horizontal="center" vertical="center"/>
    </xf>
    <xf numFmtId="0" fontId="3" fillId="49" borderId="1" xfId="0" applyFont="1" applyFill="1" applyBorder="1" applyAlignment="1">
      <alignment horizontal="center" vertical="center"/>
    </xf>
    <xf numFmtId="0" fontId="3" fillId="57" borderId="5" xfId="0" applyFont="1" applyFill="1" applyBorder="1" applyAlignment="1">
      <alignment horizontal="center" vertical="center"/>
    </xf>
    <xf numFmtId="0" fontId="3" fillId="58" borderId="1" xfId="0" applyFont="1" applyFill="1" applyBorder="1" applyAlignment="1">
      <alignment horizontal="center" vertical="center"/>
    </xf>
    <xf numFmtId="0" fontId="19" fillId="20" borderId="40" xfId="0" applyFont="1" applyFill="1" applyBorder="1" applyAlignment="1">
      <alignment horizontal="center" vertical="center" textRotation="90"/>
    </xf>
    <xf numFmtId="0" fontId="19" fillId="20" borderId="42" xfId="0" applyFont="1" applyFill="1" applyBorder="1" applyAlignment="1">
      <alignment horizontal="center" vertical="center" textRotation="90"/>
    </xf>
    <xf numFmtId="0" fontId="19" fillId="20" borderId="44" xfId="0" applyFont="1" applyFill="1" applyBorder="1" applyAlignment="1">
      <alignment horizontal="center" vertical="center" textRotation="90"/>
    </xf>
    <xf numFmtId="0" fontId="17" fillId="0" borderId="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21" borderId="40" xfId="0" applyFont="1" applyFill="1" applyBorder="1" applyAlignment="1">
      <alignment horizontal="center" vertical="center" textRotation="90"/>
    </xf>
    <xf numFmtId="0" fontId="19" fillId="21" borderId="42" xfId="0" applyFont="1" applyFill="1" applyBorder="1" applyAlignment="1">
      <alignment horizontal="center" vertical="center" textRotation="90"/>
    </xf>
    <xf numFmtId="0" fontId="19" fillId="21" borderId="44" xfId="0" applyFont="1" applyFill="1" applyBorder="1" applyAlignment="1">
      <alignment horizontal="center" vertical="center" textRotation="90"/>
    </xf>
    <xf numFmtId="0" fontId="0" fillId="19" borderId="33" xfId="0" applyFill="1" applyBorder="1" applyAlignment="1">
      <alignment horizontal="center"/>
    </xf>
    <xf numFmtId="0" fontId="0" fillId="19" borderId="31" xfId="0" applyFill="1" applyBorder="1" applyAlignment="1">
      <alignment horizontal="center"/>
    </xf>
    <xf numFmtId="0" fontId="0" fillId="19" borderId="32" xfId="0" applyFill="1" applyBorder="1" applyAlignment="1">
      <alignment horizontal="center"/>
    </xf>
    <xf numFmtId="0" fontId="18" fillId="0" borderId="19" xfId="0" applyFont="1" applyBorder="1" applyAlignment="1">
      <alignment horizontal="center" vertical="center" textRotation="45"/>
    </xf>
    <xf numFmtId="0" fontId="18" fillId="0" borderId="1" xfId="0" applyFont="1" applyBorder="1" applyAlignment="1">
      <alignment horizontal="center" vertical="center" textRotation="45"/>
    </xf>
    <xf numFmtId="0" fontId="19" fillId="22" borderId="37" xfId="0" applyFont="1" applyFill="1" applyBorder="1" applyAlignment="1" applyProtection="1">
      <alignment horizontal="center" vertical="center" textRotation="90" readingOrder="1"/>
      <protection locked="0"/>
    </xf>
    <xf numFmtId="0" fontId="19" fillId="22" borderId="38" xfId="0" applyFont="1" applyFill="1" applyBorder="1" applyAlignment="1" applyProtection="1">
      <alignment horizontal="center" vertical="center" textRotation="90" readingOrder="1"/>
      <protection locked="0"/>
    </xf>
    <xf numFmtId="0" fontId="19" fillId="22" borderId="39" xfId="0" applyFont="1" applyFill="1" applyBorder="1" applyAlignment="1" applyProtection="1">
      <alignment horizontal="center" vertical="center" textRotation="90" readingOrder="1"/>
      <protection locked="0"/>
    </xf>
    <xf numFmtId="0" fontId="3" fillId="22" borderId="30" xfId="0" applyFont="1" applyFill="1" applyBorder="1" applyAlignment="1" applyProtection="1">
      <alignment horizontal="center" vertical="center" readingOrder="2"/>
      <protection locked="0"/>
    </xf>
    <xf numFmtId="0" fontId="3" fillId="22" borderId="34" xfId="0" applyFont="1" applyFill="1" applyBorder="1" applyAlignment="1" applyProtection="1">
      <alignment horizontal="center" vertical="center" readingOrder="2"/>
      <protection locked="0"/>
    </xf>
    <xf numFmtId="0" fontId="3" fillId="22" borderId="0" xfId="0" applyFont="1" applyFill="1" applyAlignment="1" applyProtection="1">
      <alignment horizontal="center" vertical="center" readingOrder="2"/>
      <protection locked="0"/>
    </xf>
    <xf numFmtId="0" fontId="3" fillId="22" borderId="35" xfId="0" applyFont="1" applyFill="1" applyBorder="1" applyAlignment="1" applyProtection="1">
      <alignment horizontal="center" vertical="center" readingOrder="2"/>
      <protection locked="0"/>
    </xf>
    <xf numFmtId="0" fontId="3" fillId="22" borderId="28" xfId="0" applyFont="1" applyFill="1" applyBorder="1" applyAlignment="1" applyProtection="1">
      <alignment horizontal="center" vertical="center" readingOrder="2"/>
      <protection locked="0"/>
    </xf>
    <xf numFmtId="0" fontId="3" fillId="22" borderId="36" xfId="0" applyFont="1" applyFill="1" applyBorder="1" applyAlignment="1" applyProtection="1">
      <alignment horizontal="center" vertical="center" readingOrder="2"/>
      <protection locked="0"/>
    </xf>
    <xf numFmtId="0" fontId="18" fillId="0" borderId="20" xfId="0" applyFont="1" applyBorder="1" applyAlignment="1">
      <alignment horizontal="center" vertical="center" textRotation="45"/>
    </xf>
    <xf numFmtId="0" fontId="18" fillId="0" borderId="22" xfId="0" applyFont="1" applyBorder="1" applyAlignment="1">
      <alignment horizontal="center" vertical="center" textRotation="45"/>
    </xf>
    <xf numFmtId="0" fontId="17" fillId="0" borderId="55" xfId="0" applyFont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20" fillId="0" borderId="37" xfId="1" applyFont="1" applyFill="1" applyBorder="1" applyAlignment="1">
      <alignment horizontal="center" vertical="center"/>
    </xf>
    <xf numFmtId="0" fontId="20" fillId="0" borderId="39" xfId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58" borderId="10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56" borderId="1" xfId="0" applyFont="1" applyFill="1" applyBorder="1" applyAlignment="1">
      <alignment horizontal="center" vertical="center"/>
    </xf>
    <xf numFmtId="0" fontId="3" fillId="57" borderId="1" xfId="0" applyFont="1" applyFill="1" applyBorder="1" applyAlignment="1">
      <alignment horizontal="center" vertical="center"/>
    </xf>
    <xf numFmtId="0" fontId="20" fillId="27" borderId="29" xfId="1" applyFont="1" applyFill="1" applyBorder="1" applyAlignment="1">
      <alignment horizontal="center" vertical="center"/>
    </xf>
    <xf numFmtId="0" fontId="20" fillId="27" borderId="34" xfId="1" applyFont="1" applyFill="1" applyBorder="1" applyAlignment="1">
      <alignment horizontal="center" vertical="center"/>
    </xf>
    <xf numFmtId="0" fontId="20" fillId="27" borderId="26" xfId="1" applyFont="1" applyFill="1" applyBorder="1" applyAlignment="1">
      <alignment horizontal="center" vertical="center"/>
    </xf>
    <xf numFmtId="0" fontId="20" fillId="27" borderId="35" xfId="1" applyFont="1" applyFill="1" applyBorder="1" applyAlignment="1">
      <alignment horizontal="center" vertical="center"/>
    </xf>
    <xf numFmtId="0" fontId="20" fillId="27" borderId="27" xfId="1" applyFont="1" applyFill="1" applyBorder="1" applyAlignment="1">
      <alignment horizontal="center" vertical="center"/>
    </xf>
    <xf numFmtId="0" fontId="20" fillId="27" borderId="36" xfId="1" applyFont="1" applyFill="1" applyBorder="1" applyAlignment="1">
      <alignment horizontal="center" vertical="center"/>
    </xf>
    <xf numFmtId="0" fontId="20" fillId="28" borderId="29" xfId="1" applyFont="1" applyFill="1" applyBorder="1" applyAlignment="1">
      <alignment horizontal="center" vertical="center"/>
    </xf>
    <xf numFmtId="0" fontId="20" fillId="28" borderId="34" xfId="1" applyFont="1" applyFill="1" applyBorder="1" applyAlignment="1">
      <alignment horizontal="center" vertical="center"/>
    </xf>
    <xf numFmtId="0" fontId="20" fillId="28" borderId="26" xfId="1" applyFont="1" applyFill="1" applyBorder="1" applyAlignment="1">
      <alignment horizontal="center" vertical="center"/>
    </xf>
    <xf numFmtId="0" fontId="20" fillId="28" borderId="35" xfId="1" applyFont="1" applyFill="1" applyBorder="1" applyAlignment="1">
      <alignment horizontal="center" vertical="center"/>
    </xf>
    <xf numFmtId="0" fontId="20" fillId="28" borderId="27" xfId="1" applyFont="1" applyFill="1" applyBorder="1" applyAlignment="1">
      <alignment horizontal="center" vertical="center"/>
    </xf>
    <xf numFmtId="0" fontId="20" fillId="28" borderId="36" xfId="1" applyFont="1" applyFill="1" applyBorder="1" applyAlignment="1">
      <alignment horizontal="center" vertical="center"/>
    </xf>
    <xf numFmtId="0" fontId="20" fillId="29" borderId="29" xfId="1" applyFont="1" applyFill="1" applyBorder="1" applyAlignment="1">
      <alignment horizontal="center" vertical="center"/>
    </xf>
    <xf numFmtId="0" fontId="20" fillId="29" borderId="30" xfId="1" applyFont="1" applyFill="1" applyBorder="1" applyAlignment="1">
      <alignment horizontal="center" vertical="center"/>
    </xf>
    <xf numFmtId="0" fontId="20" fillId="29" borderId="34" xfId="1" applyFont="1" applyFill="1" applyBorder="1" applyAlignment="1">
      <alignment horizontal="center" vertical="center"/>
    </xf>
    <xf numFmtId="0" fontId="20" fillId="29" borderId="26" xfId="1" applyFont="1" applyFill="1" applyBorder="1" applyAlignment="1">
      <alignment horizontal="center" vertical="center"/>
    </xf>
    <xf numFmtId="0" fontId="20" fillId="29" borderId="0" xfId="1" applyFont="1" applyFill="1" applyBorder="1" applyAlignment="1">
      <alignment horizontal="center" vertical="center"/>
    </xf>
    <xf numFmtId="0" fontId="20" fillId="29" borderId="35" xfId="1" applyFont="1" applyFill="1" applyBorder="1" applyAlignment="1">
      <alignment horizontal="center" vertical="center"/>
    </xf>
    <xf numFmtId="0" fontId="20" fillId="29" borderId="27" xfId="1" applyFont="1" applyFill="1" applyBorder="1" applyAlignment="1">
      <alignment horizontal="center" vertical="center"/>
    </xf>
    <xf numFmtId="0" fontId="20" fillId="29" borderId="28" xfId="1" applyFont="1" applyFill="1" applyBorder="1" applyAlignment="1">
      <alignment horizontal="center" vertical="center"/>
    </xf>
    <xf numFmtId="0" fontId="20" fillId="29" borderId="36" xfId="1" applyFont="1" applyFill="1" applyBorder="1" applyAlignment="1">
      <alignment horizontal="center" vertical="center"/>
    </xf>
    <xf numFmtId="0" fontId="20" fillId="26" borderId="29" xfId="1" applyFont="1" applyFill="1" applyBorder="1" applyAlignment="1">
      <alignment horizontal="center" vertical="center"/>
    </xf>
    <xf numFmtId="0" fontId="20" fillId="26" borderId="30" xfId="1" applyFont="1" applyFill="1" applyBorder="1" applyAlignment="1">
      <alignment horizontal="center" vertical="center"/>
    </xf>
    <xf numFmtId="0" fontId="20" fillId="26" borderId="34" xfId="1" applyFont="1" applyFill="1" applyBorder="1" applyAlignment="1">
      <alignment horizontal="center" vertical="center"/>
    </xf>
    <xf numFmtId="0" fontId="20" fillId="26" borderId="26" xfId="1" applyFont="1" applyFill="1" applyBorder="1" applyAlignment="1">
      <alignment horizontal="center" vertical="center"/>
    </xf>
    <xf numFmtId="0" fontId="20" fillId="26" borderId="0" xfId="1" applyFont="1" applyFill="1" applyBorder="1" applyAlignment="1">
      <alignment horizontal="center" vertical="center"/>
    </xf>
    <xf numFmtId="0" fontId="20" fillId="26" borderId="35" xfId="1" applyFont="1" applyFill="1" applyBorder="1" applyAlignment="1">
      <alignment horizontal="center" vertical="center"/>
    </xf>
    <xf numFmtId="0" fontId="20" fillId="26" borderId="27" xfId="1" applyFont="1" applyFill="1" applyBorder="1" applyAlignment="1">
      <alignment horizontal="center" vertical="center"/>
    </xf>
    <xf numFmtId="0" fontId="20" fillId="26" borderId="28" xfId="1" applyFont="1" applyFill="1" applyBorder="1" applyAlignment="1">
      <alignment horizontal="center" vertical="center"/>
    </xf>
    <xf numFmtId="0" fontId="20" fillId="26" borderId="36" xfId="1" applyFont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1" fillId="0" borderId="5" xfId="1" applyFill="1" applyBorder="1" applyAlignment="1">
      <alignment horizontal="center" vertical="center"/>
    </xf>
    <xf numFmtId="0" fontId="7" fillId="0" borderId="18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23" fillId="0" borderId="40" xfId="0" applyFont="1" applyBorder="1" applyAlignment="1">
      <alignment horizontal="center" vertical="center" wrapText="1"/>
    </xf>
    <xf numFmtId="0" fontId="23" fillId="0" borderId="42" xfId="0" applyFont="1" applyBorder="1" applyAlignment="1">
      <alignment horizontal="center" vertical="center" wrapText="1"/>
    </xf>
    <xf numFmtId="0" fontId="23" fillId="0" borderId="44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9" fillId="10" borderId="8" xfId="1" applyFont="1" applyFill="1" applyBorder="1" applyAlignment="1">
      <alignment horizontal="center" vertical="center"/>
    </xf>
    <xf numFmtId="0" fontId="9" fillId="10" borderId="10" xfId="1" applyFont="1" applyFill="1" applyBorder="1" applyAlignment="1">
      <alignment horizontal="center" vertical="center"/>
    </xf>
    <xf numFmtId="0" fontId="9" fillId="10" borderId="5" xfId="1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9" fillId="10" borderId="1" xfId="1" applyFont="1" applyFill="1" applyBorder="1" applyAlignment="1">
      <alignment horizontal="center" vertical="center"/>
    </xf>
    <xf numFmtId="0" fontId="23" fillId="0" borderId="57" xfId="0" applyFont="1" applyBorder="1" applyAlignment="1">
      <alignment horizontal="center" vertical="center" textRotation="90" wrapText="1"/>
    </xf>
    <xf numFmtId="0" fontId="23" fillId="0" borderId="43" xfId="0" applyFont="1" applyBorder="1" applyAlignment="1">
      <alignment horizontal="center" vertical="center" textRotation="90" wrapText="1"/>
    </xf>
    <xf numFmtId="0" fontId="23" fillId="0" borderId="58" xfId="0" applyFont="1" applyBorder="1" applyAlignment="1">
      <alignment horizontal="center" vertical="center" textRotation="90" wrapText="1"/>
    </xf>
    <xf numFmtId="0" fontId="23" fillId="0" borderId="3" xfId="0" applyFont="1" applyBorder="1" applyAlignment="1">
      <alignment horizontal="center" vertical="center" textRotation="90" wrapText="1"/>
    </xf>
    <xf numFmtId="0" fontId="23" fillId="32" borderId="3" xfId="0" applyFont="1" applyFill="1" applyBorder="1" applyAlignment="1">
      <alignment horizontal="center" vertical="center" textRotation="90" wrapText="1"/>
    </xf>
    <xf numFmtId="0" fontId="7" fillId="32" borderId="18" xfId="0" applyFont="1" applyFill="1" applyBorder="1" applyAlignment="1">
      <alignment horizontal="center" vertical="center" wrapText="1"/>
    </xf>
    <xf numFmtId="0" fontId="7" fillId="32" borderId="21" xfId="0" applyFont="1" applyFill="1" applyBorder="1" applyAlignment="1">
      <alignment horizontal="center" vertical="center" wrapText="1"/>
    </xf>
    <xf numFmtId="0" fontId="7" fillId="32" borderId="23" xfId="0" applyFont="1" applyFill="1" applyBorder="1" applyAlignment="1">
      <alignment horizontal="center" vertical="center" wrapText="1"/>
    </xf>
    <xf numFmtId="0" fontId="23" fillId="32" borderId="18" xfId="0" applyFont="1" applyFill="1" applyBorder="1" applyAlignment="1">
      <alignment horizontal="center" vertical="center" wrapText="1"/>
    </xf>
    <xf numFmtId="0" fontId="23" fillId="32" borderId="21" xfId="0" applyFont="1" applyFill="1" applyBorder="1" applyAlignment="1">
      <alignment horizontal="center" vertical="center" wrapText="1"/>
    </xf>
    <xf numFmtId="0" fontId="23" fillId="32" borderId="2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20" fillId="0" borderId="29" xfId="1" applyFont="1" applyBorder="1" applyAlignment="1">
      <alignment horizontal="center" vertical="center"/>
    </xf>
    <xf numFmtId="0" fontId="20" fillId="0" borderId="34" xfId="1" applyFont="1" applyBorder="1" applyAlignment="1">
      <alignment horizontal="center" vertical="center"/>
    </xf>
    <xf numFmtId="0" fontId="20" fillId="0" borderId="26" xfId="1" applyFont="1" applyBorder="1" applyAlignment="1">
      <alignment horizontal="center" vertical="center"/>
    </xf>
    <xf numFmtId="0" fontId="20" fillId="0" borderId="35" xfId="1" applyFont="1" applyBorder="1" applyAlignment="1">
      <alignment horizontal="center" vertical="center"/>
    </xf>
    <xf numFmtId="0" fontId="20" fillId="0" borderId="27" xfId="1" applyFont="1" applyBorder="1" applyAlignment="1">
      <alignment horizontal="center" vertical="center"/>
    </xf>
    <xf numFmtId="0" fontId="20" fillId="0" borderId="36" xfId="1" applyFont="1" applyBorder="1" applyAlignment="1">
      <alignment horizontal="center" vertical="center"/>
    </xf>
    <xf numFmtId="0" fontId="1" fillId="7" borderId="8" xfId="1" applyFill="1" applyBorder="1" applyAlignment="1">
      <alignment horizontal="center" vertical="center"/>
    </xf>
    <xf numFmtId="0" fontId="1" fillId="7" borderId="10" xfId="1" applyFill="1" applyBorder="1" applyAlignment="1">
      <alignment horizontal="center" vertical="center"/>
    </xf>
    <xf numFmtId="0" fontId="1" fillId="7" borderId="5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9" fillId="5" borderId="8" xfId="1" applyFont="1" applyFill="1" applyBorder="1" applyAlignment="1">
      <alignment horizontal="center" vertical="center"/>
    </xf>
    <xf numFmtId="0" fontId="9" fillId="5" borderId="10" xfId="1" applyFont="1" applyFill="1" applyBorder="1" applyAlignment="1">
      <alignment horizontal="center" vertical="center"/>
    </xf>
    <xf numFmtId="0" fontId="9" fillId="5" borderId="5" xfId="1" applyFont="1" applyFill="1" applyBorder="1" applyAlignment="1">
      <alignment horizontal="center" vertical="center"/>
    </xf>
    <xf numFmtId="0" fontId="1" fillId="13" borderId="8" xfId="1" applyFill="1" applyBorder="1" applyAlignment="1">
      <alignment horizontal="center" vertical="center"/>
    </xf>
    <xf numFmtId="0" fontId="1" fillId="13" borderId="10" xfId="1" applyFill="1" applyBorder="1" applyAlignment="1">
      <alignment horizontal="center" vertical="center"/>
    </xf>
    <xf numFmtId="0" fontId="1" fillId="13" borderId="5" xfId="1" applyFill="1" applyBorder="1" applyAlignment="1">
      <alignment horizontal="center" vertical="center"/>
    </xf>
    <xf numFmtId="0" fontId="1" fillId="4" borderId="8" xfId="1" applyFill="1" applyBorder="1" applyAlignment="1">
      <alignment horizontal="center" vertical="center"/>
    </xf>
    <xf numFmtId="0" fontId="1" fillId="4" borderId="5" xfId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0" fillId="23" borderId="8" xfId="0" applyNumberFormat="1" applyFill="1" applyBorder="1" applyAlignment="1">
      <alignment horizontal="center" vertical="center"/>
    </xf>
    <xf numFmtId="14" fontId="0" fillId="23" borderId="10" xfId="0" applyNumberFormat="1" applyFill="1" applyBorder="1" applyAlignment="1">
      <alignment horizontal="center" vertical="center"/>
    </xf>
    <xf numFmtId="14" fontId="0" fillId="23" borderId="5" xfId="0" applyNumberFormat="1" applyFill="1" applyBorder="1" applyAlignment="1">
      <alignment horizontal="center" vertical="center"/>
    </xf>
    <xf numFmtId="0" fontId="0" fillId="23" borderId="8" xfId="0" applyFill="1" applyBorder="1" applyAlignment="1">
      <alignment horizontal="center" vertical="center" wrapText="1"/>
    </xf>
    <xf numFmtId="0" fontId="0" fillId="23" borderId="10" xfId="0" applyFill="1" applyBorder="1" applyAlignment="1">
      <alignment horizontal="center" vertical="center" wrapText="1"/>
    </xf>
    <xf numFmtId="0" fontId="0" fillId="23" borderId="5" xfId="0" applyFill="1" applyBorder="1" applyAlignment="1">
      <alignment horizontal="center" vertical="center" wrapText="1"/>
    </xf>
    <xf numFmtId="14" fontId="2" fillId="13" borderId="37" xfId="0" applyNumberFormat="1" applyFont="1" applyFill="1" applyBorder="1" applyAlignment="1">
      <alignment horizontal="center" vertical="center"/>
    </xf>
    <xf numFmtId="14" fontId="2" fillId="13" borderId="38" xfId="0" applyNumberFormat="1" applyFont="1" applyFill="1" applyBorder="1" applyAlignment="1">
      <alignment horizontal="center" vertical="center"/>
    </xf>
    <xf numFmtId="14" fontId="2" fillId="13" borderId="39" xfId="0" applyNumberFormat="1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vertical="center"/>
    </xf>
    <xf numFmtId="0" fontId="2" fillId="13" borderId="38" xfId="0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14" fontId="2" fillId="49" borderId="37" xfId="0" applyNumberFormat="1" applyFont="1" applyFill="1" applyBorder="1" applyAlignment="1">
      <alignment horizontal="center" vertical="center"/>
    </xf>
    <xf numFmtId="14" fontId="2" fillId="49" borderId="38" xfId="0" applyNumberFormat="1" applyFont="1" applyFill="1" applyBorder="1" applyAlignment="1">
      <alignment horizontal="center" vertical="center"/>
    </xf>
    <xf numFmtId="14" fontId="2" fillId="49" borderId="39" xfId="0" applyNumberFormat="1" applyFont="1" applyFill="1" applyBorder="1" applyAlignment="1">
      <alignment horizontal="center" vertical="center"/>
    </xf>
    <xf numFmtId="0" fontId="2" fillId="49" borderId="37" xfId="0" applyFont="1" applyFill="1" applyBorder="1" applyAlignment="1">
      <alignment horizontal="center" vertical="center"/>
    </xf>
    <xf numFmtId="0" fontId="2" fillId="49" borderId="38" xfId="0" applyFont="1" applyFill="1" applyBorder="1" applyAlignment="1">
      <alignment horizontal="center" vertical="center"/>
    </xf>
    <xf numFmtId="0" fontId="2" fillId="49" borderId="39" xfId="0" applyFont="1" applyFill="1" applyBorder="1" applyAlignment="1">
      <alignment horizontal="center" vertical="center"/>
    </xf>
    <xf numFmtId="0" fontId="2" fillId="12" borderId="53" xfId="0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2" fillId="12" borderId="54" xfId="0" applyFont="1" applyFill="1" applyBorder="1" applyAlignment="1">
      <alignment horizontal="center" vertical="center"/>
    </xf>
    <xf numFmtId="0" fontId="2" fillId="12" borderId="41" xfId="0" applyFont="1" applyFill="1" applyBorder="1" applyAlignment="1">
      <alignment horizontal="center" vertical="center"/>
    </xf>
    <xf numFmtId="0" fontId="2" fillId="12" borderId="43" xfId="0" applyFont="1" applyFill="1" applyBorder="1" applyAlignment="1">
      <alignment horizontal="center" vertical="center"/>
    </xf>
    <xf numFmtId="0" fontId="2" fillId="12" borderId="45" xfId="0" applyFont="1" applyFill="1" applyBorder="1" applyAlignment="1">
      <alignment horizontal="center" vertical="center"/>
    </xf>
    <xf numFmtId="14" fontId="2" fillId="48" borderId="37" xfId="0" applyNumberFormat="1" applyFont="1" applyFill="1" applyBorder="1" applyAlignment="1">
      <alignment horizontal="center" vertical="center"/>
    </xf>
    <xf numFmtId="14" fontId="2" fillId="48" borderId="38" xfId="0" applyNumberFormat="1" applyFont="1" applyFill="1" applyBorder="1" applyAlignment="1">
      <alignment horizontal="center" vertical="center"/>
    </xf>
    <xf numFmtId="14" fontId="2" fillId="48" borderId="39" xfId="0" applyNumberFormat="1" applyFont="1" applyFill="1" applyBorder="1" applyAlignment="1">
      <alignment horizontal="center" vertical="center"/>
    </xf>
    <xf numFmtId="0" fontId="2" fillId="48" borderId="37" xfId="0" applyFont="1" applyFill="1" applyBorder="1" applyAlignment="1">
      <alignment horizontal="center" vertical="center"/>
    </xf>
    <xf numFmtId="0" fontId="2" fillId="48" borderId="38" xfId="0" applyFont="1" applyFill="1" applyBorder="1" applyAlignment="1">
      <alignment horizontal="center" vertical="center"/>
    </xf>
    <xf numFmtId="0" fontId="2" fillId="48" borderId="39" xfId="0" applyFont="1" applyFill="1" applyBorder="1" applyAlignment="1">
      <alignment horizontal="center" vertical="center"/>
    </xf>
    <xf numFmtId="14" fontId="2" fillId="38" borderId="37" xfId="0" applyNumberFormat="1" applyFont="1" applyFill="1" applyBorder="1" applyAlignment="1">
      <alignment horizontal="center" vertical="center"/>
    </xf>
    <xf numFmtId="14" fontId="2" fillId="38" borderId="38" xfId="0" applyNumberFormat="1" applyFont="1" applyFill="1" applyBorder="1" applyAlignment="1">
      <alignment horizontal="center" vertical="center"/>
    </xf>
    <xf numFmtId="14" fontId="2" fillId="38" borderId="39" xfId="0" applyNumberFormat="1" applyFont="1" applyFill="1" applyBorder="1" applyAlignment="1">
      <alignment horizontal="center" vertical="center"/>
    </xf>
    <xf numFmtId="0" fontId="2" fillId="38" borderId="37" xfId="0" applyFont="1" applyFill="1" applyBorder="1" applyAlignment="1">
      <alignment horizontal="center" vertical="center"/>
    </xf>
    <xf numFmtId="0" fontId="2" fillId="38" borderId="38" xfId="0" applyFont="1" applyFill="1" applyBorder="1" applyAlignment="1">
      <alignment horizontal="center" vertical="center"/>
    </xf>
    <xf numFmtId="0" fontId="2" fillId="38" borderId="39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14" fontId="2" fillId="26" borderId="37" xfId="0" applyNumberFormat="1" applyFont="1" applyFill="1" applyBorder="1" applyAlignment="1">
      <alignment horizontal="center" vertical="center"/>
    </xf>
    <xf numFmtId="14" fontId="2" fillId="26" borderId="38" xfId="0" applyNumberFormat="1" applyFont="1" applyFill="1" applyBorder="1" applyAlignment="1">
      <alignment horizontal="center" vertical="center"/>
    </xf>
    <xf numFmtId="14" fontId="2" fillId="26" borderId="39" xfId="0" applyNumberFormat="1" applyFont="1" applyFill="1" applyBorder="1" applyAlignment="1">
      <alignment horizontal="center" vertical="center"/>
    </xf>
    <xf numFmtId="0" fontId="2" fillId="26" borderId="37" xfId="0" applyFont="1" applyFill="1" applyBorder="1" applyAlignment="1">
      <alignment horizontal="center" vertical="center"/>
    </xf>
    <xf numFmtId="0" fontId="2" fillId="26" borderId="38" xfId="0" applyFont="1" applyFill="1" applyBorder="1" applyAlignment="1">
      <alignment horizontal="center" vertical="center"/>
    </xf>
    <xf numFmtId="0" fontId="2" fillId="26" borderId="39" xfId="0" applyFont="1" applyFill="1" applyBorder="1" applyAlignment="1">
      <alignment horizontal="center" vertical="center"/>
    </xf>
    <xf numFmtId="14" fontId="2" fillId="45" borderId="37" xfId="0" applyNumberFormat="1" applyFont="1" applyFill="1" applyBorder="1" applyAlignment="1">
      <alignment horizontal="center" vertical="center"/>
    </xf>
    <xf numFmtId="14" fontId="2" fillId="45" borderId="38" xfId="0" applyNumberFormat="1" applyFont="1" applyFill="1" applyBorder="1" applyAlignment="1">
      <alignment horizontal="center" vertical="center"/>
    </xf>
    <xf numFmtId="14" fontId="2" fillId="45" borderId="39" xfId="0" applyNumberFormat="1" applyFont="1" applyFill="1" applyBorder="1" applyAlignment="1">
      <alignment horizontal="center" vertical="center"/>
    </xf>
    <xf numFmtId="0" fontId="2" fillId="45" borderId="37" xfId="0" applyFont="1" applyFill="1" applyBorder="1" applyAlignment="1">
      <alignment horizontal="center" vertical="center"/>
    </xf>
    <xf numFmtId="0" fontId="2" fillId="45" borderId="38" xfId="0" applyFont="1" applyFill="1" applyBorder="1" applyAlignment="1">
      <alignment horizontal="center" vertical="center"/>
    </xf>
    <xf numFmtId="0" fontId="2" fillId="45" borderId="39" xfId="0" applyFont="1" applyFill="1" applyBorder="1" applyAlignment="1">
      <alignment horizontal="center" vertical="center"/>
    </xf>
    <xf numFmtId="14" fontId="2" fillId="40" borderId="37" xfId="0" applyNumberFormat="1" applyFont="1" applyFill="1" applyBorder="1" applyAlignment="1">
      <alignment horizontal="center" vertical="center"/>
    </xf>
    <xf numFmtId="14" fontId="2" fillId="40" borderId="38" xfId="0" applyNumberFormat="1" applyFont="1" applyFill="1" applyBorder="1" applyAlignment="1">
      <alignment horizontal="center" vertical="center"/>
    </xf>
    <xf numFmtId="14" fontId="2" fillId="40" borderId="39" xfId="0" applyNumberFormat="1" applyFont="1" applyFill="1" applyBorder="1" applyAlignment="1">
      <alignment horizontal="center" vertical="center"/>
    </xf>
    <xf numFmtId="0" fontId="2" fillId="40" borderId="37" xfId="0" applyFont="1" applyFill="1" applyBorder="1" applyAlignment="1">
      <alignment horizontal="center" vertical="center"/>
    </xf>
    <xf numFmtId="0" fontId="2" fillId="40" borderId="38" xfId="0" applyFont="1" applyFill="1" applyBorder="1" applyAlignment="1">
      <alignment horizontal="center" vertical="center"/>
    </xf>
    <xf numFmtId="0" fontId="2" fillId="40" borderId="39" xfId="0" applyFont="1" applyFill="1" applyBorder="1" applyAlignment="1">
      <alignment horizontal="center" vertical="center"/>
    </xf>
    <xf numFmtId="0" fontId="24" fillId="0" borderId="29" xfId="1" applyFont="1" applyBorder="1" applyAlignment="1">
      <alignment horizontal="center" vertical="center"/>
    </xf>
    <xf numFmtId="0" fontId="24" fillId="0" borderId="34" xfId="1" applyFont="1" applyBorder="1" applyAlignment="1">
      <alignment horizontal="center" vertical="center"/>
    </xf>
    <xf numFmtId="0" fontId="24" fillId="0" borderId="27" xfId="1" applyFont="1" applyBorder="1" applyAlignment="1">
      <alignment horizontal="center" vertical="center"/>
    </xf>
    <xf numFmtId="0" fontId="24" fillId="0" borderId="36" xfId="1" applyFont="1" applyBorder="1" applyAlignment="1">
      <alignment horizontal="center" vertical="center"/>
    </xf>
    <xf numFmtId="0" fontId="10" fillId="0" borderId="29" xfId="1" applyFont="1" applyBorder="1" applyAlignment="1">
      <alignment horizontal="center" vertical="center"/>
    </xf>
    <xf numFmtId="0" fontId="10" fillId="0" borderId="34" xfId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0" fontId="10" fillId="0" borderId="35" xfId="1" applyFont="1" applyBorder="1" applyAlignment="1">
      <alignment horizontal="center" vertical="center"/>
    </xf>
    <xf numFmtId="0" fontId="10" fillId="0" borderId="27" xfId="1" applyFont="1" applyBorder="1" applyAlignment="1">
      <alignment horizontal="center" vertical="center"/>
    </xf>
    <xf numFmtId="0" fontId="10" fillId="0" borderId="36" xfId="1" applyFont="1" applyBorder="1" applyAlignment="1">
      <alignment horizontal="center" vertical="center"/>
    </xf>
    <xf numFmtId="0" fontId="22" fillId="0" borderId="37" xfId="1" applyFont="1" applyBorder="1" applyAlignment="1">
      <alignment horizontal="center" vertical="center"/>
    </xf>
    <xf numFmtId="0" fontId="22" fillId="0" borderId="38" xfId="1" applyFont="1" applyBorder="1" applyAlignment="1">
      <alignment horizontal="center" vertical="center"/>
    </xf>
    <xf numFmtId="0" fontId="22" fillId="0" borderId="39" xfId="1" applyFont="1" applyBorder="1" applyAlignment="1">
      <alignment horizontal="center" vertical="center"/>
    </xf>
    <xf numFmtId="165" fontId="2" fillId="38" borderId="29" xfId="0" applyNumberFormat="1" applyFont="1" applyFill="1" applyBorder="1" applyAlignment="1">
      <alignment horizontal="center" vertical="center"/>
    </xf>
    <xf numFmtId="165" fontId="2" fillId="38" borderId="26" xfId="0" applyNumberFormat="1" applyFont="1" applyFill="1" applyBorder="1" applyAlignment="1">
      <alignment horizontal="center" vertical="center"/>
    </xf>
    <xf numFmtId="165" fontId="2" fillId="38" borderId="27" xfId="0" applyNumberFormat="1" applyFont="1" applyFill="1" applyBorder="1" applyAlignment="1">
      <alignment horizontal="center" vertical="center"/>
    </xf>
    <xf numFmtId="165" fontId="2" fillId="37" borderId="29" xfId="0" applyNumberFormat="1" applyFont="1" applyFill="1" applyBorder="1" applyAlignment="1">
      <alignment horizontal="center" vertical="center"/>
    </xf>
    <xf numFmtId="165" fontId="2" fillId="37" borderId="26" xfId="0" applyNumberFormat="1" applyFont="1" applyFill="1" applyBorder="1" applyAlignment="1">
      <alignment horizontal="center" vertical="center"/>
    </xf>
    <xf numFmtId="165" fontId="2" fillId="37" borderId="27" xfId="0" applyNumberFormat="1" applyFont="1" applyFill="1" applyBorder="1" applyAlignment="1">
      <alignment horizontal="center" vertical="center"/>
    </xf>
    <xf numFmtId="165" fontId="2" fillId="40" borderId="29" xfId="0" applyNumberFormat="1" applyFont="1" applyFill="1" applyBorder="1" applyAlignment="1">
      <alignment horizontal="center" vertical="center"/>
    </xf>
    <xf numFmtId="165" fontId="2" fillId="40" borderId="26" xfId="0" applyNumberFormat="1" applyFont="1" applyFill="1" applyBorder="1" applyAlignment="1">
      <alignment horizontal="center" vertical="center"/>
    </xf>
    <xf numFmtId="165" fontId="2" fillId="40" borderId="27" xfId="0" applyNumberFormat="1" applyFont="1" applyFill="1" applyBorder="1" applyAlignment="1">
      <alignment horizontal="center" vertical="center"/>
    </xf>
    <xf numFmtId="165" fontId="2" fillId="26" borderId="29" xfId="0" applyNumberFormat="1" applyFont="1" applyFill="1" applyBorder="1" applyAlignment="1">
      <alignment horizontal="center" vertical="center"/>
    </xf>
    <xf numFmtId="165" fontId="2" fillId="26" borderId="26" xfId="0" applyNumberFormat="1" applyFont="1" applyFill="1" applyBorder="1" applyAlignment="1">
      <alignment horizontal="center" vertical="center"/>
    </xf>
    <xf numFmtId="165" fontId="2" fillId="26" borderId="27" xfId="0" applyNumberFormat="1" applyFont="1" applyFill="1" applyBorder="1" applyAlignment="1">
      <alignment horizontal="center" vertical="center"/>
    </xf>
    <xf numFmtId="165" fontId="2" fillId="42" borderId="29" xfId="0" applyNumberFormat="1" applyFont="1" applyFill="1" applyBorder="1" applyAlignment="1">
      <alignment horizontal="center" vertical="center"/>
    </xf>
    <xf numFmtId="165" fontId="2" fillId="42" borderId="26" xfId="0" applyNumberFormat="1" applyFont="1" applyFill="1" applyBorder="1" applyAlignment="1">
      <alignment horizontal="center" vertical="center"/>
    </xf>
    <xf numFmtId="165" fontId="2" fillId="42" borderId="27" xfId="0" applyNumberFormat="1" applyFont="1" applyFill="1" applyBorder="1" applyAlignment="1">
      <alignment horizontal="center" vertical="center"/>
    </xf>
    <xf numFmtId="165" fontId="2" fillId="21" borderId="29" xfId="0" applyNumberFormat="1" applyFont="1" applyFill="1" applyBorder="1" applyAlignment="1">
      <alignment horizontal="center" vertical="center"/>
    </xf>
    <xf numFmtId="165" fontId="2" fillId="21" borderId="26" xfId="0" applyNumberFormat="1" applyFont="1" applyFill="1" applyBorder="1" applyAlignment="1">
      <alignment horizontal="center" vertical="center"/>
    </xf>
    <xf numFmtId="165" fontId="2" fillId="21" borderId="27" xfId="0" applyNumberFormat="1" applyFont="1" applyFill="1" applyBorder="1" applyAlignment="1">
      <alignment horizontal="center" vertical="center"/>
    </xf>
    <xf numFmtId="165" fontId="2" fillId="45" borderId="29" xfId="0" applyNumberFormat="1" applyFont="1" applyFill="1" applyBorder="1" applyAlignment="1">
      <alignment horizontal="center" vertical="center"/>
    </xf>
    <xf numFmtId="165" fontId="2" fillId="45" borderId="26" xfId="0" applyNumberFormat="1" applyFont="1" applyFill="1" applyBorder="1" applyAlignment="1">
      <alignment horizontal="center" vertical="center"/>
    </xf>
    <xf numFmtId="165" fontId="2" fillId="45" borderId="27" xfId="0" applyNumberFormat="1" applyFont="1" applyFill="1" applyBorder="1" applyAlignment="1">
      <alignment horizontal="center" vertical="center"/>
    </xf>
    <xf numFmtId="0" fontId="2" fillId="37" borderId="37" xfId="0" applyFont="1" applyFill="1" applyBorder="1" applyAlignment="1">
      <alignment horizontal="center" vertical="center"/>
    </xf>
    <xf numFmtId="0" fontId="2" fillId="37" borderId="38" xfId="0" applyFont="1" applyFill="1" applyBorder="1" applyAlignment="1">
      <alignment horizontal="center" vertical="center"/>
    </xf>
    <xf numFmtId="0" fontId="2" fillId="37" borderId="39" xfId="0" applyFont="1" applyFill="1" applyBorder="1" applyAlignment="1">
      <alignment horizontal="center" vertical="center"/>
    </xf>
    <xf numFmtId="0" fontId="2" fillId="42" borderId="37" xfId="0" applyFont="1" applyFill="1" applyBorder="1" applyAlignment="1">
      <alignment horizontal="center" vertical="center"/>
    </xf>
    <xf numFmtId="0" fontId="2" fillId="42" borderId="38" xfId="0" applyFont="1" applyFill="1" applyBorder="1" applyAlignment="1">
      <alignment horizontal="center" vertical="center"/>
    </xf>
    <xf numFmtId="0" fontId="2" fillId="42" borderId="39" xfId="0" applyFont="1" applyFill="1" applyBorder="1" applyAlignment="1">
      <alignment horizontal="center" vertical="center"/>
    </xf>
    <xf numFmtId="0" fontId="2" fillId="21" borderId="37" xfId="0" applyFont="1" applyFill="1" applyBorder="1" applyAlignment="1">
      <alignment horizontal="center" vertical="center"/>
    </xf>
    <xf numFmtId="0" fontId="2" fillId="21" borderId="38" xfId="0" applyFont="1" applyFill="1" applyBorder="1" applyAlignment="1">
      <alignment horizontal="center" vertical="center"/>
    </xf>
    <xf numFmtId="0" fontId="2" fillId="21" borderId="39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10" fillId="24" borderId="29" xfId="1" applyFont="1" applyFill="1" applyBorder="1" applyAlignment="1">
      <alignment horizontal="center" vertical="center"/>
    </xf>
    <xf numFmtId="0" fontId="10" fillId="24" borderId="34" xfId="1" applyFont="1" applyFill="1" applyBorder="1" applyAlignment="1">
      <alignment horizontal="center" vertical="center"/>
    </xf>
    <xf numFmtId="0" fontId="10" fillId="24" borderId="26" xfId="1" applyFont="1" applyFill="1" applyBorder="1" applyAlignment="1">
      <alignment horizontal="center" vertical="center"/>
    </xf>
    <xf numFmtId="0" fontId="10" fillId="24" borderId="35" xfId="1" applyFont="1" applyFill="1" applyBorder="1" applyAlignment="1">
      <alignment horizontal="center" vertical="center"/>
    </xf>
    <xf numFmtId="0" fontId="10" fillId="24" borderId="27" xfId="1" applyFont="1" applyFill="1" applyBorder="1" applyAlignment="1">
      <alignment horizontal="center" vertical="center"/>
    </xf>
    <xf numFmtId="0" fontId="10" fillId="24" borderId="36" xfId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0" fillId="0" borderId="37" xfId="1" applyFont="1" applyBorder="1" applyAlignment="1">
      <alignment horizontal="center" vertical="center"/>
    </xf>
    <xf numFmtId="0" fontId="10" fillId="0" borderId="38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2">
    <cellStyle name="Normal" xfId="0" builtinId="0"/>
    <cellStyle name="ارتباط تشعبي" xfId="1" builtinId="8"/>
  </cellStyles>
  <dxfs count="465">
    <dxf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bgColor auto="1"/>
        </patternFill>
      </fill>
    </dxf>
    <dxf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numFmt numFmtId="166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6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Arabic Typesetting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Arabic Typesetting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numFmt numFmtId="166" formatCode="dd/mm/yyyy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9E09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ECD9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ECD9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ECD9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ECD9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C9FFC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C9FFC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C9FFC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C9FFC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C9FFC9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6" formatCode="dd/mm/yyyy"/>
      <fill>
        <patternFill patternType="solid">
          <fgColor indexed="64"/>
          <bgColor rgb="FFC9FFC9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43FF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43FF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43FF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43FF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43FF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43FF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43FF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43FF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43FF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43FF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9E0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9E0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9E0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9E0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9E0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9E0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9E0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9E0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9E0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9E0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43FF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43FF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43FF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43FF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43FF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43FF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43FF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43FF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43FF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43FF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9E0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9E0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9E0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9E0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9E0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9E0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9E0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9E0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9E0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9E0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left style="thin">
          <color theme="1"/>
        </left>
        <right style="thin">
          <color theme="1"/>
        </right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  <numFmt numFmtId="166" formatCode="dd/mm/yyyy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minor"/>
      </font>
      <fill>
        <patternFill patternType="solid">
          <fgColor theme="1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fill>
        <patternFill patternType="solid">
          <fgColor theme="4" tint="0.79998168889431442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solid">
          <fgColor indexed="64"/>
          <bgColor rgb="FFDF9F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</font>
      <numFmt numFmtId="166" formatCode="dd/mm/yyyy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textRotation="0" wrapText="0" indent="0" justifyLastLine="0" shrinkToFit="0" readingOrder="0"/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1"/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1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</font>
      <numFmt numFmtId="166" formatCode="dd/mm/yyyy"/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alignment horizontal="center" textRotation="0" wrapText="0" indent="0" justifyLastLine="0" shrinkToFit="0" readingOrder="0"/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Arabic Typesetting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0"/>
        <name val="Arabic Typesetting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  <protection locked="0" hidden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20"/>
        <color theme="1"/>
        <name val="Arial"/>
        <scheme val="minor"/>
      </font>
      <alignment horizontal="center" vertical="center" textRotation="0" wrapText="0" indent="0" justifyLastLine="0" shrinkToFit="0" readingOrder="0"/>
      <protection locked="1" hidden="0"/>
    </dxf>
  </dxfs>
  <tableStyles count="2" defaultTableStyle="TableStyleMedium2" defaultPivotStyle="PivotStyleLight16">
    <tableStyle name="نمط الجدول 1" pivot="0" count="0"/>
    <tableStyle name="نمط الجدول 2" pivot="0" count="0"/>
  </tableStyles>
  <colors>
    <mruColors>
      <color rgb="FFFF99FF"/>
      <color rgb="FFFFCCFF"/>
      <color rgb="FFDF9FFF"/>
      <color rgb="FF66FF33"/>
      <color rgb="FFD9E098"/>
      <color rgb="FFC9FFC9"/>
      <color rgb="FFECD9FF"/>
      <color rgb="FF99FF99"/>
      <color rgb="FFFFFFFF"/>
      <color rgb="FFA9B0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Home Page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Home Page'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Home Page'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Home Page'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'Home Page'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'Home Page'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'Home Page'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'Home Page'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'Home Page'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'Home Page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Home Page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jpg"/><Relationship Id="rId1" Type="http://schemas.openxmlformats.org/officeDocument/2006/relationships/hyperlink" Target="#'Home Page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Home Page'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Home Page'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Home Page'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Home Pag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583116</xdr:colOff>
      <xdr:row>0</xdr:row>
      <xdr:rowOff>326979</xdr:rowOff>
    </xdr:from>
    <xdr:to>
      <xdr:col>3</xdr:col>
      <xdr:colOff>806098</xdr:colOff>
      <xdr:row>0</xdr:row>
      <xdr:rowOff>1365250</xdr:rowOff>
    </xdr:to>
    <xdr:sp macro="" textlink="">
      <xdr:nvSpPr>
        <xdr:cNvPr id="3" name="سهم: لليمي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flipH="1">
          <a:off x="10838366" y="326979"/>
          <a:ext cx="905607" cy="1038271"/>
        </a:xfrm>
        <a:prstGeom prst="rightArrow">
          <a:avLst/>
        </a:prstGeom>
        <a:solidFill>
          <a:srgbClr val="5B9BD5"/>
        </a:solidFill>
        <a:ln w="12700" cap="flat" cmpd="sng" algn="ctr">
          <a:noFill/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ar-SY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232746</xdr:colOff>
      <xdr:row>0</xdr:row>
      <xdr:rowOff>227134</xdr:rowOff>
    </xdr:from>
    <xdr:to>
      <xdr:col>8</xdr:col>
      <xdr:colOff>95250</xdr:colOff>
      <xdr:row>3</xdr:row>
      <xdr:rowOff>28575</xdr:rowOff>
    </xdr:to>
    <xdr:sp macro="" textlink="">
      <xdr:nvSpPr>
        <xdr:cNvPr id="2" name="سهم: لليمي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flipH="1">
          <a:off x="15215571" y="227134"/>
          <a:ext cx="776904" cy="706316"/>
        </a:xfrm>
        <a:prstGeom prst="rightArrow">
          <a:avLst/>
        </a:prstGeom>
        <a:solidFill>
          <a:srgbClr val="5B9BD5"/>
        </a:solidFill>
        <a:ln w="12700" cap="flat" cmpd="sng" algn="ctr">
          <a:noFill/>
          <a:prstDash val="solid"/>
          <a:miter lim="800000"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ar-SY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</xdr:row>
      <xdr:rowOff>85725</xdr:rowOff>
    </xdr:from>
    <xdr:to>
      <xdr:col>1</xdr:col>
      <xdr:colOff>561977</xdr:colOff>
      <xdr:row>2</xdr:row>
      <xdr:rowOff>190500</xdr:rowOff>
    </xdr:to>
    <xdr:sp macro="" textlink="">
      <xdr:nvSpPr>
        <xdr:cNvPr id="3" name="سهم: لليمين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 flipH="1">
          <a:off x="581025" y="485775"/>
          <a:ext cx="676277" cy="504825"/>
        </a:xfrm>
        <a:prstGeom prst="rightArrow">
          <a:avLst/>
        </a:prstGeom>
        <a:solidFill>
          <a:srgbClr val="5B9BD5"/>
        </a:solidFill>
        <a:ln w="12700" cap="flat" cmpd="sng" algn="ctr">
          <a:noFill/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ar-SY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</xdr:row>
      <xdr:rowOff>85725</xdr:rowOff>
    </xdr:from>
    <xdr:to>
      <xdr:col>1</xdr:col>
      <xdr:colOff>657227</xdr:colOff>
      <xdr:row>2</xdr:row>
      <xdr:rowOff>190500</xdr:rowOff>
    </xdr:to>
    <xdr:sp macro="" textlink="">
      <xdr:nvSpPr>
        <xdr:cNvPr id="3" name="سهم: لليمين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flipH="1">
          <a:off x="676275" y="485775"/>
          <a:ext cx="676277" cy="504825"/>
        </a:xfrm>
        <a:prstGeom prst="rightArrow">
          <a:avLst/>
        </a:prstGeom>
        <a:solidFill>
          <a:srgbClr val="5B9BD5"/>
        </a:solidFill>
        <a:ln w="12700" cap="flat" cmpd="sng" algn="ctr">
          <a:noFill/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ar-SY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57150</xdr:rowOff>
    </xdr:from>
    <xdr:to>
      <xdr:col>3</xdr:col>
      <xdr:colOff>514350</xdr:colOff>
      <xdr:row>1</xdr:row>
      <xdr:rowOff>0</xdr:rowOff>
    </xdr:to>
    <xdr:sp macro="" textlink="">
      <xdr:nvSpPr>
        <xdr:cNvPr id="2" name="سهم: لليمي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 flipH="1">
          <a:off x="2590800" y="57150"/>
          <a:ext cx="838200" cy="895350"/>
        </a:xfrm>
        <a:prstGeom prst="rightArrow">
          <a:avLst/>
        </a:prstGeom>
        <a:ln>
          <a:noFill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endParaRPr lang="ar-SY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0</xdr:row>
      <xdr:rowOff>66675</xdr:rowOff>
    </xdr:from>
    <xdr:to>
      <xdr:col>4</xdr:col>
      <xdr:colOff>57150</xdr:colOff>
      <xdr:row>0</xdr:row>
      <xdr:rowOff>904875</xdr:rowOff>
    </xdr:to>
    <xdr:sp macro="" textlink="">
      <xdr:nvSpPr>
        <xdr:cNvPr id="3" name="سهم: لليمين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flipH="1">
          <a:off x="2295524" y="66675"/>
          <a:ext cx="962026" cy="838200"/>
        </a:xfrm>
        <a:prstGeom prst="rightArrow">
          <a:avLst/>
        </a:prstGeom>
        <a:solidFill>
          <a:srgbClr val="5B9BD5"/>
        </a:solidFill>
        <a:ln w="12700" cap="flat" cmpd="sng" algn="ctr">
          <a:noFill/>
          <a:prstDash val="solid"/>
          <a:miter lim="800000"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ar-SY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586738</xdr:colOff>
      <xdr:row>0</xdr:row>
      <xdr:rowOff>419101</xdr:rowOff>
    </xdr:from>
    <xdr:to>
      <xdr:col>14</xdr:col>
      <xdr:colOff>600075</xdr:colOff>
      <xdr:row>1</xdr:row>
      <xdr:rowOff>95250</xdr:rowOff>
    </xdr:to>
    <xdr:sp macro="" textlink="">
      <xdr:nvSpPr>
        <xdr:cNvPr id="2" name="سهم: لليمي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 flipH="1">
          <a:off x="13378813" y="419101"/>
          <a:ext cx="699137" cy="657224"/>
        </a:xfrm>
        <a:prstGeom prst="rightArrow">
          <a:avLst/>
        </a:prstGeom>
        <a:solidFill>
          <a:srgbClr val="5B9BD5"/>
        </a:solidFill>
        <a:ln w="12700" cap="flat" cmpd="sng" algn="ctr">
          <a:noFill/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ar-SY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232746</xdr:colOff>
      <xdr:row>0</xdr:row>
      <xdr:rowOff>531934</xdr:rowOff>
    </xdr:from>
    <xdr:to>
      <xdr:col>8</xdr:col>
      <xdr:colOff>561730</xdr:colOff>
      <xdr:row>2</xdr:row>
      <xdr:rowOff>317499</xdr:rowOff>
    </xdr:to>
    <xdr:sp macro="" textlink="">
      <xdr:nvSpPr>
        <xdr:cNvPr id="2" name="سهم: لليمي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 flipH="1">
          <a:off x="17353323" y="531934"/>
          <a:ext cx="1012830" cy="1153257"/>
        </a:xfrm>
        <a:prstGeom prst="rightArrow">
          <a:avLst/>
        </a:prstGeom>
        <a:solidFill>
          <a:srgbClr val="5B9BD5"/>
        </a:solidFill>
        <a:ln w="12700" cap="flat" cmpd="sng" algn="ctr">
          <a:noFill/>
          <a:prstDash val="solid"/>
          <a:miter lim="800000"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ar-SY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561973</xdr:colOff>
      <xdr:row>0</xdr:row>
      <xdr:rowOff>123825</xdr:rowOff>
    </xdr:from>
    <xdr:to>
      <xdr:col>5</xdr:col>
      <xdr:colOff>790574</xdr:colOff>
      <xdr:row>1</xdr:row>
      <xdr:rowOff>104775</xdr:rowOff>
    </xdr:to>
    <xdr:sp macro="" textlink="">
      <xdr:nvSpPr>
        <xdr:cNvPr id="2" name="سهم: لليمي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 flipH="1">
          <a:off x="3467098" y="123825"/>
          <a:ext cx="838201" cy="933450"/>
        </a:xfrm>
        <a:prstGeom prst="rightArrow">
          <a:avLst/>
        </a:prstGeom>
        <a:solidFill>
          <a:srgbClr val="5B9BD5"/>
        </a:solidFill>
        <a:ln w="12700" cap="flat" cmpd="sng" algn="ctr">
          <a:noFill/>
          <a:prstDash val="solid"/>
          <a:miter lim="800000"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ar-SY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57147</xdr:colOff>
      <xdr:row>0</xdr:row>
      <xdr:rowOff>190500</xdr:rowOff>
    </xdr:from>
    <xdr:to>
      <xdr:col>5</xdr:col>
      <xdr:colOff>828674</xdr:colOff>
      <xdr:row>1</xdr:row>
      <xdr:rowOff>114300</xdr:rowOff>
    </xdr:to>
    <xdr:sp macro="" textlink="">
      <xdr:nvSpPr>
        <xdr:cNvPr id="3" name="سهم: لليمين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 flipH="1">
          <a:off x="3838572" y="190500"/>
          <a:ext cx="771527" cy="685800"/>
        </a:xfrm>
        <a:prstGeom prst="rightArrow">
          <a:avLst/>
        </a:prstGeom>
        <a:solidFill>
          <a:srgbClr val="5B9BD5"/>
        </a:solidFill>
        <a:ln w="12700" cap="flat" cmpd="sng" algn="ctr">
          <a:noFill/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ar-SY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49325</xdr:colOff>
      <xdr:row>2</xdr:row>
      <xdr:rowOff>108856</xdr:rowOff>
    </xdr:from>
    <xdr:to>
      <xdr:col>10</xdr:col>
      <xdr:colOff>1102178</xdr:colOff>
      <xdr:row>4</xdr:row>
      <xdr:rowOff>81642</xdr:rowOff>
    </xdr:to>
    <xdr:sp macro="" textlink="">
      <xdr:nvSpPr>
        <xdr:cNvPr id="5" name="سهم: لليمين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flipH="1">
          <a:off x="7152254" y="503463"/>
          <a:ext cx="1052853" cy="734786"/>
        </a:xfrm>
        <a:prstGeom prst="rightArrow">
          <a:avLst/>
        </a:prstGeom>
        <a:solidFill>
          <a:srgbClr val="5B9BD5"/>
        </a:solidFill>
        <a:ln w="12700" cap="flat" cmpd="sng" algn="ctr">
          <a:noFill/>
          <a:prstDash val="solid"/>
          <a:miter lim="800000"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ar-SY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47625</xdr:colOff>
      <xdr:row>2</xdr:row>
      <xdr:rowOff>0</xdr:rowOff>
    </xdr:from>
    <xdr:to>
      <xdr:col>9</xdr:col>
      <xdr:colOff>209549</xdr:colOff>
      <xdr:row>6</xdr:row>
      <xdr:rowOff>83343</xdr:rowOff>
    </xdr:to>
    <xdr:grpSp>
      <xdr:nvGrpSpPr>
        <xdr:cNvPr id="2" name="مجموعة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6038850" y="381000"/>
          <a:ext cx="1381124" cy="845343"/>
          <a:chOff x="7884300" y="311925"/>
          <a:chExt cx="4157205" cy="2023605"/>
        </a:xfrm>
      </xdr:grpSpPr>
      <xdr:pic>
        <xdr:nvPicPr>
          <xdr:cNvPr id="3" name="صورة 2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29825" y="323850"/>
            <a:ext cx="2011680" cy="2011680"/>
          </a:xfrm>
          <a:prstGeom prst="rect">
            <a:avLst/>
          </a:prstGeom>
        </xdr:spPr>
      </xdr:pic>
      <xdr:pic>
        <xdr:nvPicPr>
          <xdr:cNvPr id="4" name="صورة 3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84300" y="311925"/>
            <a:ext cx="2011680" cy="201168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435750</xdr:colOff>
      <xdr:row>0</xdr:row>
      <xdr:rowOff>264300</xdr:rowOff>
    </xdr:from>
    <xdr:to>
      <xdr:col>15</xdr:col>
      <xdr:colOff>592455</xdr:colOff>
      <xdr:row>8</xdr:row>
      <xdr:rowOff>144780</xdr:rowOff>
    </xdr:to>
    <xdr:grpSp>
      <xdr:nvGrpSpPr>
        <xdr:cNvPr id="4" name="مجموعة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8036700" y="264300"/>
          <a:ext cx="4157205" cy="2033130"/>
          <a:chOff x="7884300" y="311925"/>
          <a:chExt cx="4157205" cy="2023605"/>
        </a:xfrm>
      </xdr:grpSpPr>
      <xdr:pic>
        <xdr:nvPicPr>
          <xdr:cNvPr id="2" name="صورة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29825" y="323850"/>
            <a:ext cx="2011680" cy="2011680"/>
          </a:xfrm>
          <a:prstGeom prst="rect">
            <a:avLst/>
          </a:prstGeom>
        </xdr:spPr>
      </xdr:pic>
      <xdr:pic>
        <xdr:nvPicPr>
          <xdr:cNvPr id="3" name="صورة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84300" y="311925"/>
            <a:ext cx="2011680" cy="201168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269870</xdr:colOff>
      <xdr:row>1</xdr:row>
      <xdr:rowOff>150814</xdr:rowOff>
    </xdr:from>
    <xdr:to>
      <xdr:col>8</xdr:col>
      <xdr:colOff>371474</xdr:colOff>
      <xdr:row>5</xdr:row>
      <xdr:rowOff>131763</xdr:rowOff>
    </xdr:to>
    <xdr:sp macro="" textlink="">
      <xdr:nvSpPr>
        <xdr:cNvPr id="2" name="سهم: لليمين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 flipH="1">
          <a:off x="8866183" y="377033"/>
          <a:ext cx="792166" cy="790574"/>
        </a:xfrm>
        <a:prstGeom prst="rightArrow">
          <a:avLst/>
        </a:prstGeom>
        <a:solidFill>
          <a:srgbClr val="5B9BD5"/>
        </a:solidFill>
        <a:ln w="12700" cap="flat" cmpd="sng" algn="ctr">
          <a:noFill/>
          <a:prstDash val="solid"/>
          <a:miter lim="800000"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ar-SY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6</xdr:col>
      <xdr:colOff>297658</xdr:colOff>
      <xdr:row>12</xdr:row>
      <xdr:rowOff>130969</xdr:rowOff>
    </xdr:from>
    <xdr:to>
      <xdr:col>9</xdr:col>
      <xdr:colOff>47626</xdr:colOff>
      <xdr:row>16</xdr:row>
      <xdr:rowOff>178593</xdr:rowOff>
    </xdr:to>
    <xdr:grpSp>
      <xdr:nvGrpSpPr>
        <xdr:cNvPr id="3" name="مجموعة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7798596" y="2607469"/>
          <a:ext cx="1381124" cy="845343"/>
          <a:chOff x="7884300" y="311925"/>
          <a:chExt cx="4157205" cy="2023605"/>
        </a:xfrm>
      </xdr:grpSpPr>
      <xdr:pic>
        <xdr:nvPicPr>
          <xdr:cNvPr id="4" name="صورة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29825" y="323850"/>
            <a:ext cx="2011680" cy="2011680"/>
          </a:xfrm>
          <a:prstGeom prst="rect">
            <a:avLst/>
          </a:prstGeom>
        </xdr:spPr>
      </xdr:pic>
      <xdr:pic>
        <xdr:nvPicPr>
          <xdr:cNvPr id="5" name="صورة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884300" y="311925"/>
            <a:ext cx="2011680" cy="2011680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609600</xdr:colOff>
      <xdr:row>1</xdr:row>
      <xdr:rowOff>142875</xdr:rowOff>
    </xdr:to>
    <xdr:sp macro="" textlink="">
      <xdr:nvSpPr>
        <xdr:cNvPr id="3" name="سهم: لليمين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flipH="1">
          <a:off x="9972675" y="0"/>
          <a:ext cx="609600" cy="504825"/>
        </a:xfrm>
        <a:prstGeom prst="rightArrow">
          <a:avLst/>
        </a:prstGeom>
        <a:solidFill>
          <a:srgbClr val="5B9BD5"/>
        </a:solidFill>
        <a:ln w="12700" cap="flat" cmpd="sng" algn="ctr">
          <a:noFill/>
          <a:prstDash val="solid"/>
          <a:miter lim="800000"/>
        </a:ln>
        <a:effectLst>
          <a:outerShdw blurRad="149987" dist="250190" dir="8460000" algn="ctr">
            <a:srgbClr val="000000">
              <a:alpha val="28000"/>
            </a:srgbClr>
          </a:outerShdw>
        </a:effectLst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ar-SY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9525</xdr:rowOff>
    </xdr:from>
    <xdr:to>
      <xdr:col>7</xdr:col>
      <xdr:colOff>638175</xdr:colOff>
      <xdr:row>1</xdr:row>
      <xdr:rowOff>152400</xdr:rowOff>
    </xdr:to>
    <xdr:sp macro="" textlink="">
      <xdr:nvSpPr>
        <xdr:cNvPr id="3" name="سهم: لليمين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 flipH="1">
          <a:off x="10001250" y="9525"/>
          <a:ext cx="609600" cy="504825"/>
        </a:xfrm>
        <a:prstGeom prst="rightArrow">
          <a:avLst/>
        </a:prstGeom>
        <a:solidFill>
          <a:srgbClr val="5B9BD5"/>
        </a:solidFill>
        <a:ln w="12700" cap="flat" cmpd="sng" algn="ctr">
          <a:noFill/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ar-SY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159385</xdr:colOff>
      <xdr:row>0</xdr:row>
      <xdr:rowOff>0</xdr:rowOff>
    </xdr:from>
    <xdr:to>
      <xdr:col>6</xdr:col>
      <xdr:colOff>690076</xdr:colOff>
      <xdr:row>2</xdr:row>
      <xdr:rowOff>165229</xdr:rowOff>
    </xdr:to>
    <xdr:sp macro="" textlink="">
      <xdr:nvSpPr>
        <xdr:cNvPr id="3" name="سهم: لليمين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flipH="1">
          <a:off x="10578569" y="0"/>
          <a:ext cx="530691" cy="534566"/>
        </a:xfrm>
        <a:prstGeom prst="rightArrow">
          <a:avLst/>
        </a:prstGeom>
        <a:solidFill>
          <a:srgbClr val="5B9BD5"/>
        </a:solidFill>
        <a:ln w="12700" cap="flat" cmpd="sng" algn="ctr">
          <a:noFill/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ar-SY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0</xdr:row>
      <xdr:rowOff>0</xdr:rowOff>
    </xdr:from>
    <xdr:to>
      <xdr:col>3</xdr:col>
      <xdr:colOff>1971675</xdr:colOff>
      <xdr:row>0</xdr:row>
      <xdr:rowOff>466724</xdr:rowOff>
    </xdr:to>
    <xdr:sp macro="" textlink="">
      <xdr:nvSpPr>
        <xdr:cNvPr id="6" name="سهم: لليمين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 flipH="1">
          <a:off x="8839200" y="0"/>
          <a:ext cx="514350" cy="466724"/>
        </a:xfrm>
        <a:prstGeom prst="rightArrow">
          <a:avLst/>
        </a:prstGeom>
        <a:solidFill>
          <a:srgbClr val="5B9BD5"/>
        </a:solidFill>
        <a:ln w="12700" cap="flat" cmpd="sng" algn="ctr">
          <a:noFill/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500000"/>
          </a:lightRig>
        </a:scene3d>
        <a:sp3d prstMaterial="metal">
          <a:bevelT w="88900" h="88900"/>
        </a:sp3d>
      </xdr:spPr>
      <xdr:txBody>
        <a:bodyPr vertOverflow="clip" horzOverflow="clip" rtlCol="1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ar-SY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Arial" panose="020B06040202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8" name="Table8" displayName="Table8" ref="A1:A21" totalsRowCount="1" headerRowDxfId="464" dataDxfId="462" totalsRowDxfId="460" headerRowBorderDxfId="463" tableBorderDxfId="461" totalsRowBorderDxfId="459">
  <autoFilter ref="A1:A20"/>
  <tableColumns count="1">
    <tableColumn id="1" name="المقترحات / التحديات / الملاحظات" totalsRowFunction="count" dataDxfId="458" totalsRowDxfId="45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4" name="الجدول145" displayName="الجدول145" ref="D1:BI76" totalsRowCount="1" headerRowDxfId="333" dataDxfId="331" totalsRowDxfId="329" headerRowBorderDxfId="332" tableBorderDxfId="330">
  <autoFilter ref="D1:BI75"/>
  <tableColumns count="58">
    <tableColumn id="1" name="عنوان الجلسة" totalsRowLabel="الإجمالي" dataDxfId="328" totalsRowDxfId="327"/>
    <tableColumn id="2" name="عدد الذكور" dataDxfId="326" totalsRowDxfId="325"/>
    <tableColumn id="3" name="عدد الأناث" dataDxfId="324" totalsRowDxfId="323"/>
    <tableColumn id="4" name="العمر الأصغر ضمن الجلسة" dataDxfId="322" totalsRowDxfId="321"/>
    <tableColumn id="5" name="العمر الأكبر ضمن الجلسة" dataDxfId="320" totalsRowDxfId="319"/>
    <tableColumn id="6" name="نوع الجلسة" dataDxfId="318" totalsRowDxfId="317"/>
    <tableColumn id="7" name="البرنامج" dataDxfId="316" totalsRowDxfId="315"/>
    <tableColumn id="8" name="عدد المستفيدين" totalsRowFunction="sum" dataDxfId="314" totalsRowDxfId="313">
      <calculatedColumnFormula>SUM(الجدول145[[#This Row],[عدد الذكور]:[عدد الأناث]])</calculatedColumnFormula>
    </tableColumn>
    <tableColumn id="35" name="تعريف ببرنامج الـ PLW" totalsRowFunction="sum" dataDxfId="312" totalsRowDxfId="311">
      <calculatedColumnFormula>IF(AND(الجدول145[[#This Row],[البرنامج]]="PLW",الجدول145[[#This Row],[نوع الجلسة]]=$BZ$2),1,0)</calculatedColumnFormula>
    </tableColumn>
    <tableColumn id="36" name="عدد الذكور في جلسات التعريف بـ PLW" totalsRowFunction="sum" dataDxfId="310" totalsRowDxfId="309">
      <calculatedColumnFormula>IF(AND(الجدول145[[#This Row],[نوع الجلسة]]=$BZ$2,الجدول145[[#This Row],[البرنامج]]="PLW"),الجدول145[[#This Row],[عدد الذكور]],0)</calculatedColumnFormula>
    </tableColumn>
    <tableColumn id="37" name="عدد الاناث في جلسات التعريف بـPLW" totalsRowFunction="sum" dataDxfId="308" totalsRowDxfId="307">
      <calculatedColumnFormula>IF(AND(الجدول145[[#This Row],[نوع الجلسة]]=$BZ$2,الجدول145[[#This Row],[البرنامج]]="PLW"),الجدول145[[#This Row],[عدد الأناث]],0)</calculatedColumnFormula>
    </tableColumn>
    <tableColumn id="38" name="الفئة العمرية الكبرى في جلسات التعريف بـPLW" totalsRowFunction="max" dataDxfId="306" totalsRowDxfId="305">
      <calculatedColumnFormula>IF(AND(الجدول145[[#This Row],[نوع الجلسة]]=$BZ$2,الجدول145[[#This Row],[البرنامج]]="PLW"),الجدول145[[#This Row],[العمر الأكبر ضمن الجلسة]]," ")</calculatedColumnFormula>
    </tableColumn>
    <tableColumn id="39" name="الفئة العمرية الصغرى في جلسات التعريف بـPLW" totalsRowFunction="min" dataDxfId="304" totalsRowDxfId="303">
      <calculatedColumnFormula>IF(AND(الجدول145[[#This Row],[نوع الجلسة]]=$BZ$2,الجدول145[[#This Row],[البرنامج]]="PLW"),الجدول145[[#This Row],[العمر الأصغر ضمن الجلسة]]," ")</calculatedColumnFormula>
    </tableColumn>
    <tableColumn id="30" name="تعريف ببرنامج الـ OOSCH" totalsRowFunction="sum" dataDxfId="302" totalsRowDxfId="301">
      <calculatedColumnFormula>IF(AND(الجدول145[[#This Row],[البرنامج]]="OOSCH",الجدول145[[#This Row],[نوع الجلسة]]=$BZ$2),1,0)</calculatedColumnFormula>
    </tableColumn>
    <tableColumn id="34" name="عدد الذكور في جلسات التعريف بـ OOSCH" totalsRowFunction="sum" dataDxfId="300" totalsRowDxfId="299">
      <calculatedColumnFormula>IF(AND(الجدول145[[#This Row],[البرنامج]]="OOSCH",الجدول145[[#This Row],[نوع الجلسة]]=$BZ$2),الجدول145[[#This Row],[عدد الذكور]],0)</calculatedColumnFormula>
    </tableColumn>
    <tableColumn id="33" name="عدد الاناث في جلسات التعريف بـOOSCH" totalsRowFunction="sum" dataDxfId="298" totalsRowDxfId="297">
      <calculatedColumnFormula>IF(AND(الجدول145[[#This Row],[البرنامج]]="OOSCH",الجدول145[[#This Row],[نوع الجلسة]]=$BZ$2),الجدول145[[#This Row],[عدد الأناث]],0)</calculatedColumnFormula>
    </tableColumn>
    <tableColumn id="32" name="الفئة العمرية الكبرى في جلسات التعريف بـOOSCH" totalsRowFunction="max" dataDxfId="296" totalsRowDxfId="295">
      <calculatedColumnFormula>IF(AND(الجدول145[[#This Row],[البرنامج]]="OOSCH",الجدول145[[#This Row],[نوع الجلسة]]=$BZ$2),الجدول145[[#This Row],[العمر الأكبر ضمن الجلسة]]," ")</calculatedColumnFormula>
    </tableColumn>
    <tableColumn id="31" name="الفئة العمرية الصغرى في جلسات التعريف بـOOSCH2" totalsRowFunction="min" dataDxfId="294" totalsRowDxfId="293">
      <calculatedColumnFormula>IF(AND(الجدول145[[#This Row],[البرنامج]]="OOSCH",الجدول145[[#This Row],[نوع الجلسة]]=$BZ$2),الجدول145[[#This Row],[العمر الأصغر ضمن الجلسة]]," ")</calculatedColumnFormula>
    </tableColumn>
    <tableColumn id="21" name="معلومات صحة تغذوية للسيدة الحامل" totalsRowFunction="sum" dataDxfId="292" totalsRowDxfId="291">
      <calculatedColumnFormula>IF(AND(الجدول145[[#This Row],[البرنامج]]="PLW",الجدول145[[#This Row],[نوع الجلسة]]="معلومات صحة تغذوية للسيدة الحامل"),1,0)</calculatedColumnFormula>
    </tableColumn>
    <tableColumn id="9" name="عدد الذكور في جلسات معلومات الصحة التغذوية" totalsRowFunction="sum" dataDxfId="290" totalsRowDxfId="289">
      <calculatedColumnFormula>IF(AND(الجدول145[[#This Row],[نوع الجلسة]]=$BZ$3,الجدول145[[#This Row],[البرنامج]]="PLW"),الجدول145[[#This Row],[عدد الذكور]],0)</calculatedColumnFormula>
    </tableColumn>
    <tableColumn id="10" name="عدد الاناث في جلسات معلومات الصحة التغذوية" totalsRowFunction="sum" dataDxfId="288" totalsRowDxfId="287">
      <calculatedColumnFormula>IF(AND(الجدول145[[#This Row],[نوع الجلسة]]=$BZ$3,الجدول145[[#This Row],[البرنامج]]="PLW"),الجدول145[[#This Row],[عدد الأناث]],0)</calculatedColumnFormula>
    </tableColumn>
    <tableColumn id="11" name="فئة عمرية كبرى لجلسات الصحة التغذوية" totalsRowFunction="max" dataDxfId="286" totalsRowDxfId="285">
      <calculatedColumnFormula>IF(AND(الجدول145[[#This Row],[نوع الجلسة]]=$BZ$3,الجدول145[[#This Row],[البرنامج]]="PLW"),الجدول145[[#This Row],[العمر الأكبر ضمن الجلسة]]," ")</calculatedColumnFormula>
    </tableColumn>
    <tableColumn id="12" name="فئة عمرية صغرى لجلسات الصحة التغذوية" totalsRowFunction="min" dataDxfId="284" totalsRowDxfId="283">
      <calculatedColumnFormula>IF(AND(الجدول145[[#This Row],[نوع الجلسة]]=$BZ$3,الجدول145[[#This Row],[البرنامج]]="PLW"),الجدول145[[#This Row],[العمر الأصغر ضمن الجلسة]]," ")</calculatedColumnFormula>
    </tableColumn>
    <tableColumn id="28" name="تعليمات الية صرف البطاقة لـ PLW" totalsRowFunction="sum" dataDxfId="282" totalsRowDxfId="281">
      <calculatedColumnFormula>IF(AND(الجدول145[[#This Row],[البرنامج]]="PLW",الجدول145[[#This Row],[نوع الجلسة]]=$BZ$4),1,0)</calculatedColumnFormula>
    </tableColumn>
    <tableColumn id="13" name="عدد الذكور في جلسات تعليم آلية صرف البطاقة لـPLW" totalsRowFunction="sum" dataDxfId="280" totalsRowDxfId="279">
      <calculatedColumnFormula>IF(AND(الجدول145[[#This Row],[البرنامج]]="PLW",الجدول145[[#This Row],[نوع الجلسة]]=$BZ$4),الجدول145[[#This Row],[عدد الذكور]],0)</calculatedColumnFormula>
    </tableColumn>
    <tableColumn id="14" name="عدد الاناث في جلسات تعليم آلية صرف البطاقة لـPLW" totalsRowFunction="sum" dataDxfId="278" totalsRowDxfId="277">
      <calculatedColumnFormula>IF(AND(الجدول145[[#This Row],[البرنامج]]="PLW",الجدول145[[#This Row],[نوع الجلسة]]=$BZ$4),الجدول145[[#This Row],[عدد الأناث]],0)</calculatedColumnFormula>
    </tableColumn>
    <tableColumn id="15" name="فئة عمرية كبرى لجلسات تعليم صرف البطاقة لـPLW" totalsRowFunction="max" dataDxfId="276" totalsRowDxfId="275">
      <calculatedColumnFormula>IF(AND(الجدول145[[#This Row],[البرنامج]]="PLW",الجدول145[[#This Row],[نوع الجلسة]]=$BZ$4),الجدول145[[#This Row],[العمر الأكبر ضمن الجلسة]]," ")</calculatedColumnFormula>
    </tableColumn>
    <tableColumn id="16" name="فئة عمرية صغرى لجلسات تعليم صرف البطاقة لـPLW" totalsRowFunction="min" dataDxfId="274" totalsRowDxfId="273">
      <calculatedColumnFormula>IF(AND(الجدول145[[#This Row],[البرنامج]]="PLW",الجدول145[[#This Row],[نوع الجلسة]]=$BZ$4),الجدول145[[#This Row],[العمر الأصغر ضمن الجلسة]]," ")</calculatedColumnFormula>
    </tableColumn>
    <tableColumn id="40" name="أهمية التعليم ومخاطر التسرب" totalsRowFunction="sum" dataDxfId="272" totalsRowDxfId="271">
      <calculatedColumnFormula>IF(AND(الجدول145[[#This Row],[البرنامج]]="OOSCH",الجدول145[[#This Row],[نوع الجلسة]]=$BZ$7),1,0)</calculatedColumnFormula>
    </tableColumn>
    <tableColumn id="41" name="عدد الذكور في جلسات أهمية التعليم" totalsRowFunction="sum" dataDxfId="270" totalsRowDxfId="269">
      <calculatedColumnFormula>IF(AND(الجدول145[[#This Row],[البرنامج]]="OOSCH",الجدول145[[#This Row],[نوع الجلسة]]=$BZ$7),الجدول145[[#This Row],[عدد الذكور]],0)</calculatedColumnFormula>
    </tableColumn>
    <tableColumn id="42" name="عدد الاناث في جلسات أهمية التعلم" totalsRowFunction="sum" dataDxfId="268" totalsRowDxfId="267">
      <calculatedColumnFormula>IF(AND(الجدول145[[#This Row],[البرنامج]]="OOSCH",الجدول145[[#This Row],[نوع الجلسة]]=$BZ$7),الجدول145[[#This Row],[عدد الأناث]],0)</calculatedColumnFormula>
    </tableColumn>
    <tableColumn id="43" name="فئة عمرية كبرى لجلسات أهمية التعلم" totalsRowFunction="max" dataDxfId="266" totalsRowDxfId="265">
      <calculatedColumnFormula>IF(AND(الجدول145[[#This Row],[البرنامج]]="OOSCH",الجدول145[[#This Row],[نوع الجلسة]]=$BZ$7),الجدول145[[#This Row],[العمر الأكبر ضمن الجلسة]]," ")</calculatedColumnFormula>
    </tableColumn>
    <tableColumn id="44" name="فئة عمرية صغرى لجلسات أهمية التعلم" totalsRowFunction="min" dataDxfId="264" totalsRowDxfId="263">
      <calculatedColumnFormula>IF(AND(الجدول145[[#This Row],[البرنامج]]="OOSCH",الجدول145[[#This Row],[نوع الجلسة]]=$BZ$7),الجدول145[[#This Row],[العمر الأصغر ضمن الجلسة]]," ")</calculatedColumnFormula>
    </tableColumn>
    <tableColumn id="29" name="تعليمات آلية صرف البطاقة لـOOSCH" totalsRowFunction="sum" dataDxfId="262" totalsRowDxfId="261">
      <calculatedColumnFormula>IF(AND(الجدول145[[#This Row],[البرنامج]]="OOSCH",الجدول145[[#This Row],[نوع الجلسة]]=$BZ$4),1,0)</calculatedColumnFormula>
    </tableColumn>
    <tableColumn id="17" name="عدد الذكور في جلسات تعليم آلية صرف البطاقة لـOOSCH" totalsRowFunction="sum" dataDxfId="260" totalsRowDxfId="259">
      <calculatedColumnFormula>IF(AND(الجدول145[[#This Row],[البرنامج]]="OOSCH",الجدول145[[#This Row],[نوع الجلسة]]=$BZ$4),الجدول145[[#This Row],[عدد الذكور]],0)</calculatedColumnFormula>
    </tableColumn>
    <tableColumn id="18" name="عدد الاناث في جلسات تعليم آلية صرف البطاقة لـOOSCH" totalsRowFunction="sum" dataDxfId="258" totalsRowDxfId="257">
      <calculatedColumnFormula>IF(AND(الجدول145[[#This Row],[البرنامج]]="OOSCH",الجدول145[[#This Row],[نوع الجلسة]]=$BZ$4),الجدول145[[#This Row],[عدد الأناث]],0)</calculatedColumnFormula>
    </tableColumn>
    <tableColumn id="19" name="فئة عمرية كبرى لجلسات تعليم صرف البطاقة لـOOSCH" totalsRowFunction="max" dataDxfId="256" totalsRowDxfId="255">
      <calculatedColumnFormula>IF(AND(الجدول145[[#This Row],[البرنامج]]="OOSCH",الجدول145[[#This Row],[نوع الجلسة]]=$BZ$4),الجدول145[[#This Row],[العمر الأكبر ضمن الجلسة]]," ")</calculatedColumnFormula>
    </tableColumn>
    <tableColumn id="20" name="فئة عمرية صغرى لجلسات تعليم صرف البطاقة لHـOOSC" totalsRowFunction="min" dataDxfId="254" totalsRowDxfId="253">
      <calculatedColumnFormula>IF(AND(الجدول145[[#This Row],[البرنامج]]="OOSCH",الجدول145[[#This Row],[نوع الجلسة]]=$BZ$4),الجدول145[[#This Row],[العمر الأصغر ضمن الجلسة]]," ")</calculatedColumnFormula>
    </tableColumn>
    <tableColumn id="23" name="حماية PLW" totalsRowFunction="sum" dataDxfId="252" totalsRowDxfId="251">
      <calculatedColumnFormula>IF(AND(الجدول145[[#This Row],[نوع الجلسة]]=$BZ$5,الجدول145[[#This Row],[البرنامج]]=$BX$3),1,0)</calculatedColumnFormula>
    </tableColumn>
    <tableColumn id="26" name="عدد الذكور في جلسات حماية PLW" totalsRowFunction="sum" dataDxfId="250" totalsRowDxfId="249">
      <calculatedColumnFormula>IF(AND(الجدول145[[#This Row],[البرنامج]]="PLW",الجدول145[[#This Row],[نوع الجلسة]]=$BZ$5),الجدول145[[#This Row],[عدد الذكور]],0)</calculatedColumnFormula>
    </tableColumn>
    <tableColumn id="27" name="عدد الاناث في جلسات حماية PLW" totalsRowFunction="sum" dataDxfId="248" totalsRowDxfId="247">
      <calculatedColumnFormula>IF(AND(الجدول145[[#This Row],[البرنامج]]="PLW",الجدول145[[#This Row],[نوع الجلسة]]=$BZ$5),الجدول145[[#This Row],[عدد الأناث]],0)</calculatedColumnFormula>
    </tableColumn>
    <tableColumn id="25" name="فئة عمرية كبرى في جلسات حماية PLW" totalsRowFunction="max" dataDxfId="246" totalsRowDxfId="245">
      <calculatedColumnFormula>IF(AND(الجدول145[[#This Row],[البرنامج]]="PLW",الجدول145[[#This Row],[نوع الجلسة]]=$BZ$5),الجدول145[[#This Row],[العمر الأكبر ضمن الجلسة]]," ")</calculatedColumnFormula>
    </tableColumn>
    <tableColumn id="24" name="فئة عمرية صغرى في جلسات حماية PLW" totalsRowFunction="min" dataDxfId="244" totalsRowDxfId="243">
      <calculatedColumnFormula>IF(AND(الجدول145[[#This Row],[البرنامج]]="PLW",الجدول145[[#This Row],[نوع الجلسة]]=$BZ$5),الجدول145[[#This Row],[العمر الأصغر ضمن الجلسة]]," ")</calculatedColumnFormula>
    </tableColumn>
    <tableColumn id="45" name="حماية OOSCH" totalsRowFunction="sum" dataDxfId="242" totalsRowDxfId="241">
      <calculatedColumnFormula>IF(AND(الجدول145[[#This Row],[نوع الجلسة]]=$BZ$5,الجدول145[[#This Row],[البرنامج]]=$BX$2),1,0)</calculatedColumnFormula>
    </tableColumn>
    <tableColumn id="46" name="عدد الذكور في جلسات حماية OOSCH" totalsRowFunction="sum" dataDxfId="240" totalsRowDxfId="239">
      <calculatedColumnFormula>IF(AND(الجدول145[[#This Row],[البرنامج]]="OOSCH",الجدول145[[#This Row],[نوع الجلسة]]=$BZ$5),الجدول145[[#This Row],[عدد الذكور]],0)</calculatedColumnFormula>
    </tableColumn>
    <tableColumn id="49" name="عدد الاناث في جلسات حماية OOSCH" totalsRowFunction="sum" dataDxfId="238" totalsRowDxfId="237">
      <calculatedColumnFormula>IF(AND(الجدول145[[#This Row],[البرنامج]]="OOSCH",الجدول145[[#This Row],[نوع الجلسة]]=$BZ$5),الجدول145[[#This Row],[عدد الأناث]],0)</calculatedColumnFormula>
    </tableColumn>
    <tableColumn id="47" name="فئة عمرية كبرى في جلسات حماية OOSCH" totalsRowFunction="max" dataDxfId="236" totalsRowDxfId="235">
      <calculatedColumnFormula>IF(AND(الجدول145[[#This Row],[البرنامج]]="OOSCH",الجدول145[[#This Row],[نوع الجلسة]]=$BZ$5),الجدول145[[#This Row],[العمر الأكبر ضمن الجلسة]]," ")</calculatedColumnFormula>
    </tableColumn>
    <tableColumn id="48" name="فئة عمرية صغرى في جلسات حماية OOSCH" totalsRowFunction="min" dataDxfId="234" totalsRowDxfId="233">
      <calculatedColumnFormula>IF(AND(الجدول145[[#This Row],[البرنامج]]="OOSCH",الجدول145[[#This Row],[نوع الجلسة]]=$BZ$5),الجدول145[[#This Row],[العمر الأصغر ضمن الجلسة]]," ")</calculatedColumnFormula>
    </tableColumn>
    <tableColumn id="53" name="تشاور PLW" totalsRowFunction="sum" dataDxfId="232" totalsRowDxfId="231">
      <calculatedColumnFormula>IF(AND(الجدول145[[#This Row],[نوع الجلسة]]=$BZ$6,الجدول145[[#This Row],[البرنامج]]=$BX$3),1,0)</calculatedColumnFormula>
    </tableColumn>
    <tableColumn id="54" name="عدد الذكور في جلسات التشاور لبرنامج PLW" totalsRowFunction="sum" dataDxfId="230" totalsRowDxfId="229">
      <calculatedColumnFormula>IF(AND(الجدول145[[#This Row],[البرنامج]]="PLW",الجدول145[[#This Row],[نوع الجلسة]]=$BZ$6),الجدول145[[#This Row],[عدد الذكور]],0)</calculatedColumnFormula>
    </tableColumn>
    <tableColumn id="55" name="عدد الاناث في جلسات التشاور PLW" totalsRowFunction="sum" dataDxfId="228" totalsRowDxfId="227">
      <calculatedColumnFormula>IF(AND(الجدول145[[#This Row],[البرنامج]]="PLW",الجدول145[[#This Row],[نوع الجلسة]]=$BZ$6),الجدول145[[#This Row],[عدد الأناث]],0)</calculatedColumnFormula>
    </tableColumn>
    <tableColumn id="50" name="فئة عمرية كبرى لجلسات التشاور PLW" totalsRowFunction="max" dataDxfId="226" totalsRowDxfId="225">
      <calculatedColumnFormula>IF(AND(الجدول145[[#This Row],[البرنامج]]="PLW",الجدول145[[#This Row],[نوع الجلسة]]=$BZ$6),الجدول145[[#This Row],[العمر الأكبر ضمن الجلسة]]," ")</calculatedColumnFormula>
    </tableColumn>
    <tableColumn id="51" name="فئة عمرية صغرى لجلسات التشاور PLW" totalsRowFunction="min" dataDxfId="224" totalsRowDxfId="223">
      <calculatedColumnFormula>IF(AND(الجدول145[[#This Row],[البرنامج]]="PLW",الجدول145[[#This Row],[نوع الجلسة]]=$BZ$6),الجدول145[[#This Row],[العمر الأصغر ضمن الجلسة]]," ")</calculatedColumnFormula>
    </tableColumn>
    <tableColumn id="52" name="تشاور OOSCH" totalsRowFunction="sum" dataDxfId="222" totalsRowDxfId="221">
      <calculatedColumnFormula>IF(AND(الجدول145[[#This Row],[نوع الجلسة]]=$BZ$6,الجدول145[[#This Row],[البرنامج]]=$BX$2),1,0)</calculatedColumnFormula>
    </tableColumn>
    <tableColumn id="58" name="عدد الذكور في جلسات التشاور لبرنامج OOSCH" totalsRowFunction="sum" dataDxfId="220" totalsRowDxfId="219">
      <calculatedColumnFormula>IF(AND(الجدول145[[#This Row],[البرنامج]]="OOSCH",الجدول145[[#This Row],[نوع الجلسة]]=$BZ$6),الجدول145[[#This Row],[عدد الذكور]],0)</calculatedColumnFormula>
    </tableColumn>
    <tableColumn id="59" name="عدد الاناث في جلسات التشاور OOSCH" totalsRowFunction="sum" dataDxfId="218" totalsRowDxfId="217">
      <calculatedColumnFormula>IF(AND(الجدول145[[#This Row],[البرنامج]]="OOSCH",الجدول145[[#This Row],[نوع الجلسة]]=$BZ$6),الجدول145[[#This Row],[عدد الأناث]],0)</calculatedColumnFormula>
    </tableColumn>
    <tableColumn id="56" name="فئة عمرية كبرى لجلسات التشاور OOSCH" totalsRowFunction="max" dataDxfId="216" totalsRowDxfId="215">
      <calculatedColumnFormula>IF(AND(الجدول145[[#This Row],[البرنامج]]="OOSCH",الجدول145[[#This Row],[نوع الجلسة]]=$BZ$6),الجدول145[[#This Row],[العمر الأكبر ضمن الجلسة]]," ")</calculatedColumnFormula>
    </tableColumn>
    <tableColumn id="57" name="فئة عمرية صغرى لجلسات التشاور OOSCH" totalsRowFunction="min" dataDxfId="214" totalsRowDxfId="213">
      <calculatedColumnFormula>IF(AND(الجدول145[[#This Row],[البرنامج]]="OOSCH",الجدول145[[#This Row],[نوع الجلسة]]=$BZ$6),الجدول145[[#This Row],[العمر الأصغر ضمن الجلسة]]," ")</calculatedColumnFormula>
    </tableColumn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14" name="الجدول14" displayName="الجدول14" ref="D1:BI76" totalsRowCount="1" headerRowDxfId="209" dataDxfId="207" totalsRowDxfId="205" headerRowBorderDxfId="208" tableBorderDxfId="206">
  <autoFilter ref="D1:BI7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4" hiddenButton="1"/>
    <filterColumn colId="25" hiddenButton="1"/>
    <filterColumn colId="26" hiddenButton="1"/>
    <filterColumn colId="27" hiddenButton="1"/>
    <filterColumn colId="34" hiddenButton="1"/>
    <filterColumn colId="35" hiddenButton="1"/>
    <filterColumn colId="36" hiddenButton="1"/>
    <filterColumn colId="37" hiddenButton="1"/>
    <filterColumn colId="38" hiddenButton="1"/>
  </autoFilter>
  <tableColumns count="58">
    <tableColumn id="1" name="عنوان الجلسة" totalsRowLabel="الإجمالي" dataDxfId="204" totalsRowDxfId="203"/>
    <tableColumn id="2" name="عدد الذكور" dataDxfId="202" totalsRowDxfId="201"/>
    <tableColumn id="3" name="عدد الأناث" dataDxfId="200" totalsRowDxfId="199"/>
    <tableColumn id="4" name="العمر الأصغر ضمن الجلسة" dataDxfId="198" totalsRowDxfId="197"/>
    <tableColumn id="5" name="العمر الأكبر ضمن الجلسة" dataDxfId="196" totalsRowDxfId="195"/>
    <tableColumn id="6" name="نوع الجلسة" dataDxfId="194" totalsRowDxfId="193"/>
    <tableColumn id="7" name="البرنامج" dataDxfId="192" totalsRowDxfId="191"/>
    <tableColumn id="8" name="عدد المستفيدين" totalsRowFunction="sum" dataDxfId="190" totalsRowDxfId="189">
      <calculatedColumnFormula>SUM(الجدول14[[#This Row],[عدد الذكور]:[عدد الأناث]])</calculatedColumnFormula>
    </tableColumn>
    <tableColumn id="35" name="تعريف ببرنامج الـ PLW" totalsRowFunction="sum" dataDxfId="188" totalsRowDxfId="187">
      <calculatedColumnFormula>IF(AND(الجدول14[[#This Row],[البرنامج]]="PLW",الجدول14[[#This Row],[نوع الجلسة]]=$BZ$2),1,0)</calculatedColumnFormula>
    </tableColumn>
    <tableColumn id="36" name="عدد الذكور في جلسات التعريف بـ PLW" totalsRowFunction="sum" dataDxfId="186" totalsRowDxfId="185">
      <calculatedColumnFormula>IF(AND(الجدول14[[#This Row],[نوع الجلسة]]=$BZ$2,الجدول14[[#This Row],[البرنامج]]="PLW"),الجدول14[[#This Row],[عدد الذكور]],0)</calculatedColumnFormula>
    </tableColumn>
    <tableColumn id="37" name="عدد الاناث في جلسات التعريف بـPLW" totalsRowFunction="sum" dataDxfId="184" totalsRowDxfId="183">
      <calculatedColumnFormula>IF(AND(الجدول14[[#This Row],[نوع الجلسة]]=$BZ$2,الجدول14[[#This Row],[البرنامج]]="PLW"),الجدول14[[#This Row],[عدد الأناث]],0)</calculatedColumnFormula>
    </tableColumn>
    <tableColumn id="38" name="الفئة العمرية الكبرى في جلسات التعريف بـPLW" totalsRowFunction="max" dataDxfId="182" totalsRowDxfId="181">
      <calculatedColumnFormula>IF(AND(الجدول14[[#This Row],[نوع الجلسة]]=$BZ$2,الجدول14[[#This Row],[البرنامج]]="PLW"),الجدول14[[#This Row],[العمر الأكبر ضمن الجلسة]]," ")</calculatedColumnFormula>
    </tableColumn>
    <tableColumn id="39" name="الفئة العمرية الصغرى في جلسات التعريف بـPLW" totalsRowFunction="min" dataDxfId="180" totalsRowDxfId="179">
      <calculatedColumnFormula>IF(AND(الجدول14[[#This Row],[نوع الجلسة]]=$BZ$2,الجدول14[[#This Row],[البرنامج]]="PLW"),الجدول14[[#This Row],[العمر الأصغر ضمن الجلسة]]," ")</calculatedColumnFormula>
    </tableColumn>
    <tableColumn id="30" name="تعريف ببرنامج الـ OOSCH" totalsRowFunction="sum" dataDxfId="178" totalsRowDxfId="177">
      <calculatedColumnFormula>IF(AND(الجدول14[[#This Row],[البرنامج]]="OOSCH",الجدول14[[#This Row],[نوع الجلسة]]=$BZ$2),1,0)</calculatedColumnFormula>
    </tableColumn>
    <tableColumn id="34" name="عدد الذكور في جلسات التعريف بـ OOSCH" totalsRowFunction="sum" dataDxfId="176" totalsRowDxfId="175">
      <calculatedColumnFormula>IF(AND(الجدول14[[#This Row],[البرنامج]]="OOSCH",الجدول14[[#This Row],[نوع الجلسة]]=$BZ$2),الجدول14[[#This Row],[عدد الذكور]],0)</calculatedColumnFormula>
    </tableColumn>
    <tableColumn id="33" name="عدد الاناث في جلسات التعريف بـOOSCH" totalsRowFunction="sum" dataDxfId="174" totalsRowDxfId="173">
      <calculatedColumnFormula>IF(AND(الجدول14[[#This Row],[البرنامج]]="OOSCH",الجدول14[[#This Row],[نوع الجلسة]]=$BZ$2),الجدول14[[#This Row],[عدد الأناث]],0)</calculatedColumnFormula>
    </tableColumn>
    <tableColumn id="32" name="الفئة العمرية الكبرى في جلسات التعريف بـOOSCH" totalsRowFunction="max" dataDxfId="172" totalsRowDxfId="171">
      <calculatedColumnFormula>IF(AND(الجدول14[[#This Row],[البرنامج]]="OOSCH",الجدول14[[#This Row],[نوع الجلسة]]=$BZ$2),الجدول14[[#This Row],[العمر الأكبر ضمن الجلسة]]," ")</calculatedColumnFormula>
    </tableColumn>
    <tableColumn id="31" name="الفئة العمرية الصغرى في جلسات التعريف بـOOSCH2" totalsRowFunction="min" dataDxfId="170" totalsRowDxfId="169">
      <calculatedColumnFormula>IF(AND(الجدول14[[#This Row],[البرنامج]]="OOSCH",الجدول14[[#This Row],[نوع الجلسة]]=$BZ$2),الجدول14[[#This Row],[العمر الأصغر ضمن الجلسة]]," ")</calculatedColumnFormula>
    </tableColumn>
    <tableColumn id="21" name="معلومات صحة تغذوية للسيدة الحامل" totalsRowFunction="sum" dataDxfId="168" totalsRowDxfId="167">
      <calculatedColumnFormula>IF(AND(الجدول14[[#This Row],[البرنامج]]="PLW",الجدول14[[#This Row],[نوع الجلسة]]="معلومات صحة تغذوية للسيدة الحامل"),1,0)</calculatedColumnFormula>
    </tableColumn>
    <tableColumn id="9" name="عدد الذكور في جلسات معلومات الصحة التغذوية" totalsRowFunction="sum" dataDxfId="166" totalsRowDxfId="165">
      <calculatedColumnFormula>IF(AND(الجدول14[[#This Row],[نوع الجلسة]]=$BZ$3,الجدول14[[#This Row],[البرنامج]]="PLW"),الجدول14[[#This Row],[عدد الذكور]],0)</calculatedColumnFormula>
    </tableColumn>
    <tableColumn id="10" name="عدد الاناث في جلسات معلومات الصحة التغذوية" totalsRowFunction="sum" dataDxfId="164" totalsRowDxfId="163">
      <calculatedColumnFormula>IF(AND(الجدول14[[#This Row],[نوع الجلسة]]=$BZ$3,الجدول14[[#This Row],[البرنامج]]="PLW"),الجدول14[[#This Row],[عدد الأناث]],0)</calculatedColumnFormula>
    </tableColumn>
    <tableColumn id="11" name="فئة عمرية كبرى لجلسات الصحة التغذوية" totalsRowFunction="max" dataDxfId="162" totalsRowDxfId="161">
      <calculatedColumnFormula>IF(AND(الجدول14[[#This Row],[نوع الجلسة]]=$BZ$3,الجدول14[[#This Row],[البرنامج]]="PLW"),الجدول14[[#This Row],[العمر الأكبر ضمن الجلسة]]," ")</calculatedColumnFormula>
    </tableColumn>
    <tableColumn id="12" name="فئة عمرية صغرى لجلسات الصحة التغذوية" totalsRowFunction="min" dataDxfId="160" totalsRowDxfId="159">
      <calculatedColumnFormula>IF(AND(الجدول14[[#This Row],[نوع الجلسة]]=$BZ$3,الجدول14[[#This Row],[البرنامج]]="PLW"),الجدول14[[#This Row],[العمر الأصغر ضمن الجلسة]]," ")</calculatedColumnFormula>
    </tableColumn>
    <tableColumn id="28" name="تعليمات الية صرف البطاقة لـ PLW" totalsRowFunction="sum" dataDxfId="158" totalsRowDxfId="157">
      <calculatedColumnFormula>IF(AND(الجدول14[[#This Row],[البرنامج]]="PLW",الجدول14[[#This Row],[نوع الجلسة]]=$BZ$4),1,0)</calculatedColumnFormula>
    </tableColumn>
    <tableColumn id="13" name="عدد الذكور في جلسات تعليم آلية صرف البطاقة لـPLW" totalsRowFunction="sum" dataDxfId="156" totalsRowDxfId="155">
      <calculatedColumnFormula>IF(AND(الجدول14[[#This Row],[البرنامج]]="PLW",الجدول14[[#This Row],[نوع الجلسة]]=$BZ$4),الجدول14[[#This Row],[عدد الذكور]],0)</calculatedColumnFormula>
    </tableColumn>
    <tableColumn id="14" name="عدد الاناث في جلسات تعليم آلية صرف البطاقة لـPLW" totalsRowFunction="sum" dataDxfId="154" totalsRowDxfId="153">
      <calculatedColumnFormula>IF(AND(الجدول14[[#This Row],[البرنامج]]="PLW",الجدول14[[#This Row],[نوع الجلسة]]=$BZ$4),الجدول14[[#This Row],[عدد الأناث]],0)</calculatedColumnFormula>
    </tableColumn>
    <tableColumn id="15" name="فئة عمرية كبرى لجلسات تعليم صرف البطاقة لـPLW" totalsRowFunction="max" dataDxfId="152" totalsRowDxfId="151">
      <calculatedColumnFormula>IF(AND(الجدول14[[#This Row],[البرنامج]]="PLW",الجدول14[[#This Row],[نوع الجلسة]]=$BZ$4),الجدول14[[#This Row],[العمر الأكبر ضمن الجلسة]]," ")</calculatedColumnFormula>
    </tableColumn>
    <tableColumn id="16" name="فئة عمرية صغرى لجلسات تعليم صرف البطاقة لـPLW" totalsRowFunction="min" dataDxfId="150" totalsRowDxfId="149">
      <calculatedColumnFormula>IF(AND(الجدول14[[#This Row],[البرنامج]]="PLW",الجدول14[[#This Row],[نوع الجلسة]]=$BZ$4),الجدول14[[#This Row],[العمر الأصغر ضمن الجلسة]]," ")</calculatedColumnFormula>
    </tableColumn>
    <tableColumn id="40" name="أهمية التعليم ومخاطر التسرب" totalsRowFunction="sum" dataDxfId="148" totalsRowDxfId="147">
      <calculatedColumnFormula>IF(AND(الجدول14[[#This Row],[البرنامج]]="OOSCH",الجدول14[[#This Row],[نوع الجلسة]]=$BZ$7),1,0)</calculatedColumnFormula>
    </tableColumn>
    <tableColumn id="41" name="عدد الذكور في جلسات أهمية التعليم" totalsRowFunction="sum" dataDxfId="146" totalsRowDxfId="145">
      <calculatedColumnFormula>IF(AND(الجدول14[[#This Row],[البرنامج]]="OOSCH",الجدول14[[#This Row],[نوع الجلسة]]=$BZ$7),الجدول14[[#This Row],[عدد الذكور]],0)</calculatedColumnFormula>
    </tableColumn>
    <tableColumn id="42" name="عدد الاناث في جلسات أهمية التعلم" totalsRowFunction="sum" dataDxfId="144" totalsRowDxfId="143">
      <calculatedColumnFormula>IF(AND(الجدول14[[#This Row],[البرنامج]]="OOSCH",الجدول14[[#This Row],[نوع الجلسة]]=$BZ$7),الجدول14[[#This Row],[عدد الأناث]],0)</calculatedColumnFormula>
    </tableColumn>
    <tableColumn id="43" name="فئة عمرية كبرى لجلسات أهمية التعلم" totalsRowFunction="max" dataDxfId="142" totalsRowDxfId="141">
      <calculatedColumnFormula>IF(AND(الجدول14[[#This Row],[البرنامج]]="OOSCH",الجدول14[[#This Row],[نوع الجلسة]]=$BZ$7),الجدول14[[#This Row],[العمر الأكبر ضمن الجلسة]]," ")</calculatedColumnFormula>
    </tableColumn>
    <tableColumn id="44" name="فئة عمرية صغرى لجلسات أهمية التعلم" totalsRowFunction="min" dataDxfId="140" totalsRowDxfId="139">
      <calculatedColumnFormula>IF(AND(الجدول14[[#This Row],[البرنامج]]="OOSCH",الجدول14[[#This Row],[نوع الجلسة]]=$BZ$7),الجدول14[[#This Row],[العمر الأصغر ضمن الجلسة]]," ")</calculatedColumnFormula>
    </tableColumn>
    <tableColumn id="29" name="تعليمات آلية صرف البطاقة لـOOSCH" totalsRowFunction="sum" dataDxfId="138" totalsRowDxfId="137">
      <calculatedColumnFormula>IF(AND(الجدول14[[#This Row],[البرنامج]]="OOSCH",الجدول14[[#This Row],[نوع الجلسة]]=$BZ$4),1,0)</calculatedColumnFormula>
    </tableColumn>
    <tableColumn id="17" name="عدد الذكور في جلسات تعليم آلية صرف البطاقة لـOOSCH" totalsRowFunction="sum" dataDxfId="136" totalsRowDxfId="135">
      <calculatedColumnFormula>IF(AND(الجدول14[[#This Row],[البرنامج]]="OOSCH",الجدول14[[#This Row],[نوع الجلسة]]=$BZ$4),الجدول14[[#This Row],[عدد الذكور]],0)</calculatedColumnFormula>
    </tableColumn>
    <tableColumn id="18" name="عدد الاناث في جلسات تعليم آلية صرف البطاقة لـOOSCH" totalsRowFunction="sum" dataDxfId="134" totalsRowDxfId="133">
      <calculatedColumnFormula>IF(AND(الجدول14[[#This Row],[البرنامج]]="OOSCH",الجدول14[[#This Row],[نوع الجلسة]]=$BZ$4),الجدول14[[#This Row],[عدد الأناث]],0)</calculatedColumnFormula>
    </tableColumn>
    <tableColumn id="19" name="فئة عمرية كبرى لجلسات تعليم صرف البطاقة لـOOSCH" totalsRowFunction="max" dataDxfId="132" totalsRowDxfId="131">
      <calculatedColumnFormula>IF(AND(الجدول14[[#This Row],[البرنامج]]="OOSCH",الجدول14[[#This Row],[نوع الجلسة]]=$BZ$4),الجدول14[[#This Row],[العمر الأكبر ضمن الجلسة]]," ")</calculatedColumnFormula>
    </tableColumn>
    <tableColumn id="20" name="فئة عمرية صغرى لجلسات تعليم صرف البطاقة لHـOOSC" totalsRowFunction="min" dataDxfId="130" totalsRowDxfId="129">
      <calculatedColumnFormula>IF(AND(الجدول14[[#This Row],[البرنامج]]="OOSCH",الجدول14[[#This Row],[نوع الجلسة]]=$BZ$4),الجدول14[[#This Row],[العمر الأصغر ضمن الجلسة]]," ")</calculatedColumnFormula>
    </tableColumn>
    <tableColumn id="23" name="حماية PLW" totalsRowFunction="sum" dataDxfId="128" totalsRowDxfId="127">
      <calculatedColumnFormula>IF(AND(الجدول14[[#This Row],[نوع الجلسة]]=$BZ$5,الجدول14[[#This Row],[البرنامج]]=$BX$3),1,0)</calculatedColumnFormula>
    </tableColumn>
    <tableColumn id="26" name="عدد الذكور في جلسات حماية PLW" totalsRowFunction="sum" dataDxfId="126" totalsRowDxfId="125">
      <calculatedColumnFormula>IF(AND(الجدول14[[#This Row],[البرنامج]]="PLW",الجدول14[[#This Row],[نوع الجلسة]]=$BZ$5),الجدول14[[#This Row],[عدد الذكور]],0)</calculatedColumnFormula>
    </tableColumn>
    <tableColumn id="27" name="عدد الاناث في جلسات حماية PLW" totalsRowFunction="sum" dataDxfId="124" totalsRowDxfId="123">
      <calculatedColumnFormula>IF(AND(الجدول14[[#This Row],[البرنامج]]="PLW",الجدول14[[#This Row],[نوع الجلسة]]=$BZ$5),الجدول14[[#This Row],[عدد الأناث]],0)</calculatedColumnFormula>
    </tableColumn>
    <tableColumn id="25" name="فئة عمرية كبرى في جلسات حماية PLW" totalsRowFunction="max" dataDxfId="122" totalsRowDxfId="121">
      <calculatedColumnFormula>IF(AND(الجدول14[[#This Row],[البرنامج]]="PLW",الجدول14[[#This Row],[نوع الجلسة]]=$BZ$5),الجدول14[[#This Row],[العمر الأكبر ضمن الجلسة]]," ")</calculatedColumnFormula>
    </tableColumn>
    <tableColumn id="24" name="فئة عمرية صغرى في جلسات حماية PLW" totalsRowFunction="min" dataDxfId="120" totalsRowDxfId="119">
      <calculatedColumnFormula>IF(AND(الجدول14[[#This Row],[البرنامج]]="PLW",الجدول14[[#This Row],[نوع الجلسة]]=$BZ$5),الجدول14[[#This Row],[العمر الأصغر ضمن الجلسة]]," ")</calculatedColumnFormula>
    </tableColumn>
    <tableColumn id="45" name="حماية OOSCH" totalsRowFunction="sum" dataDxfId="118" totalsRowDxfId="117">
      <calculatedColumnFormula>IF(AND(الجدول14[[#This Row],[نوع الجلسة]]=$BZ$5,الجدول14[[#This Row],[البرنامج]]=$BX$2),1,0)</calculatedColumnFormula>
    </tableColumn>
    <tableColumn id="46" name="عدد الذكور في جلسات حماية OOSCH" totalsRowFunction="sum" dataDxfId="116" totalsRowDxfId="115">
      <calculatedColumnFormula>IF(AND(الجدول14[[#This Row],[البرنامج]]="OOSCH",الجدول14[[#This Row],[نوع الجلسة]]=$BZ$5),الجدول14[[#This Row],[عدد الذكور]],0)</calculatedColumnFormula>
    </tableColumn>
    <tableColumn id="49" name="عدد الاناث في جلسات حماية OOSCH" totalsRowFunction="sum" dataDxfId="114" totalsRowDxfId="113">
      <calculatedColumnFormula>IF(AND(الجدول14[[#This Row],[البرنامج]]="OOSCH",الجدول14[[#This Row],[نوع الجلسة]]=$BZ$5),الجدول14[[#This Row],[عدد الأناث]],0)</calculatedColumnFormula>
    </tableColumn>
    <tableColumn id="47" name="فئة عمرية كبرى في جلسات حماية OOSCH" totalsRowFunction="max" dataDxfId="112" totalsRowDxfId="111">
      <calculatedColumnFormula>IF(AND(الجدول14[[#This Row],[البرنامج]]="OOSCH",الجدول14[[#This Row],[نوع الجلسة]]=$BZ$5),الجدول14[[#This Row],[العمر الأكبر ضمن الجلسة]]," ")</calculatedColumnFormula>
    </tableColumn>
    <tableColumn id="48" name="فئة عمرية صغرى في جلسات حماية OOSCH" totalsRowFunction="min" dataDxfId="110" totalsRowDxfId="109">
      <calculatedColumnFormula>IF(AND(الجدول14[[#This Row],[البرنامج]]="OOSCH",الجدول14[[#This Row],[نوع الجلسة]]=$BZ$5),الجدول14[[#This Row],[العمر الأصغر ضمن الجلسة]]," ")</calculatedColumnFormula>
    </tableColumn>
    <tableColumn id="53" name="تشاور PLW" totalsRowFunction="sum" dataDxfId="108" totalsRowDxfId="107">
      <calculatedColumnFormula>IF(AND(الجدول14[[#This Row],[نوع الجلسة]]=$BZ$6,الجدول14[[#This Row],[البرنامج]]=$BX$3),1,0)</calculatedColumnFormula>
    </tableColumn>
    <tableColumn id="54" name="عدد الذكور في جلسات التشاور لبرنامج PLW" totalsRowFunction="sum" dataDxfId="106" totalsRowDxfId="105">
      <calculatedColumnFormula>IF(AND(الجدول14[[#This Row],[البرنامج]]="PLW",الجدول14[[#This Row],[نوع الجلسة]]=$BZ$6),الجدول14[[#This Row],[عدد الذكور]],0)</calculatedColumnFormula>
    </tableColumn>
    <tableColumn id="55" name="عدد الاناث في جلسات التشاور PLW" totalsRowFunction="sum" dataDxfId="104" totalsRowDxfId="103">
      <calculatedColumnFormula>IF(AND(الجدول14[[#This Row],[البرنامج]]="PLW",الجدول14[[#This Row],[نوع الجلسة]]=$BZ$6),الجدول14[[#This Row],[عدد الأناث]],0)</calculatedColumnFormula>
    </tableColumn>
    <tableColumn id="50" name="فئة عمرية كبرى لجلسات التشاور PLW" totalsRowFunction="max" dataDxfId="102" totalsRowDxfId="101">
      <calculatedColumnFormula>IF(AND(الجدول14[[#This Row],[البرنامج]]="PLW",الجدول14[[#This Row],[نوع الجلسة]]=$BZ$6),الجدول14[[#This Row],[العمر الأكبر ضمن الجلسة]]," ")</calculatedColumnFormula>
    </tableColumn>
    <tableColumn id="51" name="فئة عمرية صغرى لجلسات التشاور PLW" totalsRowFunction="min" dataDxfId="100" totalsRowDxfId="99">
      <calculatedColumnFormula>IF(AND(الجدول14[[#This Row],[البرنامج]]="PLW",الجدول14[[#This Row],[نوع الجلسة]]=$BZ$6),الجدول14[[#This Row],[العمر الأصغر ضمن الجلسة]]," ")</calculatedColumnFormula>
    </tableColumn>
    <tableColumn id="52" name="تشاور OOSCH" totalsRowFunction="sum" dataDxfId="98" totalsRowDxfId="97">
      <calculatedColumnFormula>IF(AND(الجدول14[[#This Row],[نوع الجلسة]]=$BZ$6,الجدول14[[#This Row],[البرنامج]]=$BX$2),1,0)</calculatedColumnFormula>
    </tableColumn>
    <tableColumn id="58" name="عدد الذكور في جلسات التشاور لبرنامج OOSCH" totalsRowFunction="sum" dataDxfId="96" totalsRowDxfId="95">
      <calculatedColumnFormula>IF(AND(الجدول14[[#This Row],[البرنامج]]="OOSCH",الجدول14[[#This Row],[نوع الجلسة]]=$BZ$6),الجدول14[[#This Row],[عدد الذكور]],0)</calculatedColumnFormula>
    </tableColumn>
    <tableColumn id="59" name="عدد الاناث في جلسات التشاور OOSCH" totalsRowFunction="sum" dataDxfId="94" totalsRowDxfId="93">
      <calculatedColumnFormula>IF(AND(الجدول14[[#This Row],[البرنامج]]="OOSCH",الجدول14[[#This Row],[نوع الجلسة]]=$BZ$6),الجدول14[[#This Row],[عدد الأناث]],0)</calculatedColumnFormula>
    </tableColumn>
    <tableColumn id="56" name="فئة عمرية كبرى لجلسات التشاور OOSCH" totalsRowFunction="max" dataDxfId="92" totalsRowDxfId="91">
      <calculatedColumnFormula>IF(AND(الجدول14[[#This Row],[البرنامج]]="OOSCH",الجدول14[[#This Row],[نوع الجلسة]]=$BZ$6),الجدول14[[#This Row],[العمر الأكبر ضمن الجلسة]]," ")</calculatedColumnFormula>
    </tableColumn>
    <tableColumn id="57" name="فئة عمرية صغرى لجلسات التشاور OOSCH" totalsRowFunction="min" dataDxfId="90" totalsRowDxfId="89">
      <calculatedColumnFormula>IF(AND(الجدول14[[#This Row],[البرنامج]]="OOSCH",الجدول14[[#This Row],[نوع الجلسة]]=$BZ$6),الجدول14[[#This Row],[العمر الأصغر ضمن الجلسة]]," ")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11" name="الجدول11" displayName="الجدول11" ref="A1:M20" totalsRowCount="1" headerRowDxfId="88" dataDxfId="86" headerRowBorderDxfId="87" tableBorderDxfId="85" totalsRowBorderDxfId="84">
  <autoFilter ref="A1:M19"/>
  <tableColumns count="13">
    <tableColumn id="1" name="التاريخ" totalsRowFunction="count" dataDxfId="83" totalsRowDxfId="82"/>
    <tableColumn id="2" name="مكان الجلسة" dataDxfId="81" totalsRowDxfId="80"/>
    <tableColumn id="3" name="(عدد الجلسات التدريبية/جلسات التوعية حول مسألة النوع والمنفذة لمصلحة موظفي الشريك ولجان إدارة المشروع" totalsRowFunction="sum" dataDxfId="79" totalsRowDxfId="78"/>
    <tableColumn id="4" name="موضوع الجلسة" dataDxfId="77" totalsRowDxfId="76"/>
    <tableColumn id="5" name="ذكور" totalsRowFunction="sum" dataDxfId="75" totalsRowDxfId="74"/>
    <tableColumn id="6" name="إناث" totalsRowFunction="sum" dataDxfId="73" totalsRowDxfId="72"/>
    <tableColumn id="7" name="عدد الحضور" totalsRowFunction="sum" dataDxfId="71" totalsRowDxfId="70">
      <calculatedColumnFormula>SUM(الجدول11[[#This Row],[ذكور]:[إناث]])</calculatedColumnFormula>
    </tableColumn>
    <tableColumn id="8" name="(عدد الجلسات التدريبية/جلسات التوعية حول مسألة النوع والمنفذة لمصلحة السكان المتضررين" totalsRowFunction="sum" dataDxfId="69" totalsRowDxfId="68"/>
    <tableColumn id="9" name="موضوع لجلسة" dataDxfId="67" totalsRowDxfId="66"/>
    <tableColumn id="10" name="الذكور" totalsRowFunction="sum" dataDxfId="65" totalsRowDxfId="64"/>
    <tableColumn id="11" name="الاناث" totalsRowFunction="sum" dataDxfId="63" totalsRowDxfId="62"/>
    <tableColumn id="12" name="عدد لحضور" totalsRowFunction="sum" dataDxfId="61" totalsRowDxfId="60">
      <calculatedColumnFormula>SUM(الجدول11[[#This Row],[الذكور]:[الاناث]])</calculatedColumnFormula>
    </tableColumn>
    <tableColumn id="13" name="     عدد المسائل المتعلقة بالنوع والتي تم تحديدها ورفعها لاتخاذ الإجراء المناسب" dataDxfId="59" totalsRowDxfId="58"/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id="16" name="الجدول16" displayName="الجدول16" ref="A26:D39" totalsRowCount="1" headerRowDxfId="57" dataDxfId="55" headerRowBorderDxfId="56" tableBorderDxfId="54">
  <autoFilter ref="A26:D38"/>
  <tableColumns count="4">
    <tableColumn id="1" name="تاريخ الزيارة" totalsRowLabel="الإجمالي" dataDxfId="53" totalsRowDxfId="52"/>
    <tableColumn id="2" name="الموقع" totalsRowFunction="count" dataDxfId="51" totalsRowDxfId="50"/>
    <tableColumn id="8" name="Athar" totalsRowFunction="sum" dataDxfId="49" totalsRowDxfId="48">
      <calculatedColumnFormula>IF(الجدول16[[#This Row],[الموقع]]="Athar",1,0)</calculatedColumnFormula>
    </tableColumn>
    <tableColumn id="9" name="Nabedh" totalsRowFunction="sum" dataDxfId="47" totalsRowDxfId="46">
      <calculatedColumnFormula>IF(الجدول16[[#This Row],[الموقع]]="Nabedh",1,0)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3" displayName="Table3" ref="A2:E34" totalsRowCount="1" headerRowDxfId="45" dataDxfId="34" totalsRowDxfId="44" tableBorderDxfId="43">
  <autoFilter ref="A2:E33"/>
  <tableColumns count="5">
    <tableColumn id="1" name="Date" totalsRowLabel="Total" dataDxfId="39" totalsRowDxfId="29"/>
    <tableColumn id="5" name="اليوم" dataDxfId="38" totalsRowDxfId="28"/>
    <tableColumn id="2" name="السويداء" totalsRowFunction="sum" dataDxfId="37" totalsRowDxfId="27"/>
    <tableColumn id="3" name="صلخد" totalsRowFunction="sum" dataDxfId="36" totalsRowDxfId="26"/>
    <tableColumn id="4" name="المجموع" totalsRowFunction="sum" dataDxfId="35" totalsRowDxfId="25">
      <calculatedColumnFormula>Table3[[#This Row],[السويداء]]+Table3[[#This Row],[صلخد]]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I2:M34" totalsRowCount="1" headerRowDxfId="42" dataDxfId="30" totalsRowDxfId="41" tableBorderDxfId="40">
  <autoFilter ref="I2:M33"/>
  <tableColumns count="5">
    <tableColumn id="1" name="Date" totalsRowLabel="Total" dataDxfId="24" totalsRowDxfId="22"/>
    <tableColumn id="5" name="اليوم" dataDxfId="23" totalsRowDxfId="21"/>
    <tableColumn id="2" name="السويداء" totalsRowFunction="sum" dataDxfId="33" totalsRowDxfId="20"/>
    <tableColumn id="3" name="صلخد" totalsRowFunction="sum" dataDxfId="32" totalsRowDxfId="19"/>
    <tableColumn id="4" name="المجموع" totalsRowFunction="sum" dataDxfId="31" totalsRowDxfId="18">
      <calculatedColumnFormula>Table4[[#This Row],[السويداء]]+Table4[[#This Row],[صلخد]]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32" displayName="Table32" ref="A2:E34" totalsRowCount="1" headerRowDxfId="456" dataDxfId="455" totalsRowDxfId="453" tableBorderDxfId="454">
  <autoFilter ref="A2:E33"/>
  <tableColumns count="5">
    <tableColumn id="1" name="Date" totalsRowLabel="Total" dataDxfId="13" totalsRowDxfId="11"/>
    <tableColumn id="5" name="اليوم" dataDxfId="12" totalsRowDxfId="10"/>
    <tableColumn id="2" name="السويداء" totalsRowFunction="sum" dataDxfId="17" totalsRowDxfId="9"/>
    <tableColumn id="3" name="صلخد" totalsRowFunction="sum" dataDxfId="16" totalsRowDxfId="8"/>
    <tableColumn id="4" name="المجموع" totalsRowFunction="sum" dataDxfId="452" totalsRowDxfId="7">
      <calculatedColumnFormula>Table32[[#This Row],[صلخد]]+Table32[[#This Row],[السويداء]]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43" displayName="Table43" ref="I2:M34" totalsRowCount="1" headerRowDxfId="451" dataDxfId="450" totalsRowDxfId="448" tableBorderDxfId="449">
  <autoFilter ref="I2:M33"/>
  <tableColumns count="5">
    <tableColumn id="1" name="Date" totalsRowLabel="Total" dataDxfId="6" totalsRowDxfId="4"/>
    <tableColumn id="5" name="اليوم" dataDxfId="5" totalsRowDxfId="3"/>
    <tableColumn id="2" name="السويداء" totalsRowFunction="sum" dataDxfId="15" totalsRowDxfId="2"/>
    <tableColumn id="3" name="صلخد" totalsRowFunction="sum" dataDxfId="14" totalsRowDxfId="1"/>
    <tableColumn id="4" name="المجموع" totalsRowFunction="sum" dataDxfId="447" totalsRow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الجدول18" displayName="الجدول18" ref="A5:T35" totalsRowCount="1" headerRowDxfId="446" dataDxfId="444" totalsRowDxfId="442" headerRowBorderDxfId="445" tableBorderDxfId="443" totalsRowBorderDxfId="441">
  <autoFilter ref="A5:T34"/>
  <tableColumns count="20">
    <tableColumn id="1" name="التاريخ" dataDxfId="440" totalsRowDxfId="439"/>
    <tableColumn id="2" name="نوع الشكوى" totalsRowFunction="count" dataDxfId="438" totalsRowDxfId="437"/>
    <tableColumn id="12" name="فئة الطلب" dataDxfId="436" totalsRowDxfId="435"/>
    <tableColumn id="21" name="تفصيل الشكوى" dataDxfId="434" totalsRowDxfId="433"/>
    <tableColumn id="3" name="Gender" dataDxfId="432" totalsRowDxfId="431"/>
    <tableColumn id="4" name="حالة الشكوى" dataDxfId="430" totalsRowDxfId="429"/>
    <tableColumn id="5" name="Phone" totalsRowFunction="sum" dataDxfId="428" totalsRowDxfId="427">
      <calculatedColumnFormula>IF(الجدول18[[#This Row],[نوع الشكوى]]="هاتفية",1,0)</calculatedColumnFormula>
    </tableColumn>
    <tableColumn id="6" name="personal" totalsRowFunction="sum" dataDxfId="426" totalsRowDxfId="425">
      <calculatedColumnFormula>IF(الجدول18[[#This Row],[نوع الشكوى]]="زيارة مباشرة",1,0)</calculatedColumnFormula>
    </tableColumn>
    <tableColumn id="7" name="Observe" totalsRowFunction="sum" dataDxfId="424" totalsRowDxfId="423">
      <calculatedColumnFormula>IF(الجدول18[[#This Row],[نوع الشكوى]]="ملاحظة من قبل الموظف المسؤول",1,0)</calculatedColumnFormula>
    </tableColumn>
    <tableColumn id="8" name="عدد الشكاوى المعالجة" totalsRowFunction="sum" dataDxfId="422" totalsRowDxfId="421">
      <calculatedColumnFormula>IF(الجدول18[[#This Row],[حالة الشكوى]]="معالجة",1,0)</calculatedColumnFormula>
    </tableColumn>
    <tableColumn id="9" name="عدد الشكاوى المحالة" totalsRowFunction="sum" dataDxfId="420" totalsRowDxfId="419">
      <calculatedColumnFormula>IF(الجدول18[[#This Row],[حالة الشكوى]]="محالة",1,0)</calculatedColumnFormula>
    </tableColumn>
    <tableColumn id="10" name="عدد الشكاوى العالقة" totalsRowFunction="sum" dataDxfId="418" totalsRowDxfId="417">
      <calculatedColumnFormula>IF(الجدول18[[#This Row],[حالة الشكوى]]="عالقة",1,0)</calculatedColumnFormula>
    </tableColumn>
    <tableColumn id="19" name="عدد طلب المعلومات" totalsRowFunction="sum" dataDxfId="416" totalsRowDxfId="415">
      <calculatedColumnFormula>IF(الجدول18[[#This Row],[فئة الطلب]]=$AI$7,1,0)</calculatedColumnFormula>
    </tableColumn>
    <tableColumn id="18" name="عدد حالات خلل البطاقات" totalsRowFunction="sum" dataDxfId="414" totalsRowDxfId="413">
      <calculatedColumnFormula>IF(الجدول18[[#This Row],[فئة الطلب]]=$AI$8,1,0)</calculatedColumnFormula>
    </tableColumn>
    <tableColumn id="17" name="تأخير صدور البطاقات" totalsRowFunction="sum" dataDxfId="412" totalsRowDxfId="411">
      <calculatedColumnFormula>IF(الجدول18[[#This Row],[فئة الطلب]]=$AI$9,1,0)</calculatedColumnFormula>
    </tableColumn>
    <tableColumn id="20" name="شكوى عن معاملة الموظفين" totalsRowFunction="sum" dataDxfId="410" totalsRowDxfId="409">
      <calculatedColumnFormula>IF(الجدول18[[#This Row],[فئة الطلب]]=$AI$11,1,0)</calculatedColumnFormula>
    </tableColumn>
    <tableColumn id="16" name="شكوى معاملة المتجر" totalsRowFunction="sum" dataDxfId="408" totalsRowDxfId="407">
      <calculatedColumnFormula>IF(الجدول18[[#This Row],[فئة الطلب]]=$AI$10,1,0)</calculatedColumnFormula>
    </tableColumn>
    <tableColumn id="11" name="عدد الحالات المحالة الى نبض" totalsRowFunction="sum" dataDxfId="406" totalsRowDxfId="405">
      <calculatedColumnFormula>IF(الجدول18[[#This Row],[حالة الشكوى]]=$AD$10,1,0)</calculatedColumnFormula>
    </tableColumn>
    <tableColumn id="13" name="Male" totalsRowFunction="sum" dataDxfId="404" totalsRowDxfId="403">
      <calculatedColumnFormula>IF(الجدول18[[#This Row],[Gender]]="m",1,0)</calculatedColumnFormula>
    </tableColumn>
    <tableColumn id="14" name="Female" totalsRowFunction="sum" dataDxfId="402" totalsRowDxfId="401">
      <calculatedColumnFormula>IF(الجدول18[[#This Row],[Gender]]="f",1,0)</calculatedColumnFormula>
    </tableColumn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1" name="الجدول1" displayName="الجدول1" ref="A3:U33" totalsRowCount="1" headerRowDxfId="400" dataDxfId="398" totalsRowDxfId="396" headerRowBorderDxfId="399" tableBorderDxfId="397" totalsRowBorderDxfId="395">
  <autoFilter ref="A3:U32"/>
  <tableColumns count="21">
    <tableColumn id="1" name="التاريخ" dataDxfId="394" totalsRowDxfId="393"/>
    <tableColumn id="2" name="نوع الشكوى" totalsRowFunction="count" dataDxfId="392" totalsRowDxfId="391"/>
    <tableColumn id="12" name="فئة الطلب" dataDxfId="390" totalsRowDxfId="389"/>
    <tableColumn id="22" name="تفصيل الشكوى" dataDxfId="388" totalsRowDxfId="387"/>
    <tableColumn id="3" name="Gender" dataDxfId="386" totalsRowDxfId="385"/>
    <tableColumn id="4" name="حالة الشكوى" dataDxfId="384" totalsRowDxfId="383"/>
    <tableColumn id="5" name="Phone" totalsRowFunction="sum" dataDxfId="382" totalsRowDxfId="381">
      <calculatedColumnFormula>IF(الجدول1[[#This Row],[نوع الشكوى]]="هاتفية",1,0)</calculatedColumnFormula>
    </tableColumn>
    <tableColumn id="6" name="personal" totalsRowFunction="sum" dataDxfId="380" totalsRowDxfId="379">
      <calculatedColumnFormula>IF(الجدول1[[#This Row],[نوع الشكوى]]="زيارة مباشرة",1,0)</calculatedColumnFormula>
    </tableColumn>
    <tableColumn id="7" name="Observe" totalsRowFunction="sum" dataDxfId="378" totalsRowDxfId="377">
      <calculatedColumnFormula>IF(الجدول1[[#This Row],[نوع الشكوى]]="ملاحظة من قبل الموظف المسؤول",1,0)</calculatedColumnFormula>
    </tableColumn>
    <tableColumn id="8" name="عدد الشكاوى المعالجة" totalsRowFunction="sum" dataDxfId="376" totalsRowDxfId="375">
      <calculatedColumnFormula>IF(الجدول1[[#This Row],[حالة الشكوى]]="معالجة",1,0)</calculatedColumnFormula>
    </tableColumn>
    <tableColumn id="9" name="عدد الشكاوى المحالة" totalsRowFunction="sum" dataDxfId="374" totalsRowDxfId="373">
      <calculatedColumnFormula>IF(الجدول1[[#This Row],[حالة الشكوى]]="محالة",1,0)</calculatedColumnFormula>
    </tableColumn>
    <tableColumn id="10" name="عدد الشكاوى العالقة" totalsRowFunction="sum" dataDxfId="372" totalsRowDxfId="371">
      <calculatedColumnFormula>IF(الجدول1[[#This Row],[حالة الشكوى]]="عالقة",1,0)</calculatedColumnFormula>
    </tableColumn>
    <tableColumn id="20" name="عدد طلب المعلومات" totalsRowFunction="sum" dataDxfId="370" totalsRowDxfId="369">
      <calculatedColumnFormula>IF(الجدول1[[#This Row],[فئة الطلب]]=$AI$5,1,0)</calculatedColumnFormula>
    </tableColumn>
    <tableColumn id="19" name="عدد حالات خلل البطاقات" totalsRowFunction="sum" dataDxfId="368" totalsRowDxfId="367">
      <calculatedColumnFormula>IF(الجدول1[[#This Row],[فئة الطلب]]=$AI$6,1,0)</calculatedColumnFormula>
    </tableColumn>
    <tableColumn id="18" name="تأخير صدور البطاقات" totalsRowFunction="sum" dataDxfId="366" totalsRowDxfId="365">
      <calculatedColumnFormula>IF(الجدول1[[#This Row],[فئة الطلب]]=$AI$7,1,0)</calculatedColumnFormula>
    </tableColumn>
    <tableColumn id="17" name="شكوى عن معاملة الموظفين" totalsRowFunction="sum" dataDxfId="364" totalsRowDxfId="363">
      <calculatedColumnFormula>IF(الجدول1[[#This Row],[فئة الطلب]]=$AI$9,1,0)</calculatedColumnFormula>
    </tableColumn>
    <tableColumn id="16" name="شكوى عن  المتجر" totalsRowFunction="sum" dataDxfId="362" totalsRowDxfId="361">
      <calculatedColumnFormula>IF(الجدول1[[#This Row],[فئة الطلب]]=$AI$8,1,0)</calculatedColumnFormula>
    </tableColumn>
    <tableColumn id="11" name="عدد الحالات المحالة الى براعم" totalsRowFunction="sum" dataDxfId="360" totalsRowDxfId="359">
      <calculatedColumnFormula>IF(الجدول1[[#This Row],[حالة الشكوى]]=$AD$8,1,0)</calculatedColumnFormula>
    </tableColumn>
    <tableColumn id="15" name="عدد الشكاوى المحالة الىGOPA" totalsRowFunction="sum" dataDxfId="358" totalsRowDxfId="357">
      <calculatedColumnFormula>IF(الجدول1[[#This Row],[حالة الشكوى]]=$AD$9,1,0)</calculatedColumnFormula>
    </tableColumn>
    <tableColumn id="13" name="Male" totalsRowFunction="sum" dataDxfId="356" totalsRowDxfId="355">
      <calculatedColumnFormula>IF(الجدول1[[#This Row],[Gender]]="m",1,0)</calculatedColumnFormula>
    </tableColumn>
    <tableColumn id="14" name="Female" totalsRowFunction="sum" dataDxfId="354" totalsRowDxfId="353">
      <calculatedColumnFormula>IF(الجدول1[[#This Row],[Gender]]="f",1,0)</calculatedColumn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10" name="الجدول10" displayName="الجدول10" ref="D35:F57" totalsRowCount="1" headerRowDxfId="352" tableBorderDxfId="351">
  <autoFilter ref="D35:F56"/>
  <tableColumns count="3">
    <tableColumn id="1" name="إناث" totalsRowFunction="sum"/>
    <tableColumn id="2" name="ذكور" totalsRowFunction="sum"/>
    <tableColumn id="3" name="عدد المشاركين" totalsRowFunction="sum" dataDxfId="350" totalsRowDxfId="34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الجدول1610" displayName="الجدول1610" ref="A26:D39" totalsRowCount="1" headerRowDxfId="348" dataDxfId="346" headerRowBorderDxfId="347" tableBorderDxfId="345">
  <autoFilter ref="A26:D38"/>
  <tableColumns count="4">
    <tableColumn id="1" name="تاريخ الزيارة" totalsRowLabel="الإجمالي" dataDxfId="344" totalsRowDxfId="343"/>
    <tableColumn id="2" name="الموقع" totalsRowFunction="count" dataDxfId="342" totalsRowDxfId="341"/>
    <tableColumn id="8" name="Athar" totalsRowFunction="sum" dataDxfId="340" totalsRowDxfId="339">
      <calculatedColumnFormula>IF(الجدول1610[[#This Row],[الموقع]]="Athar",1,0)</calculatedColumnFormula>
    </tableColumn>
    <tableColumn id="9" name="Nabedh" totalsRowFunction="sum" dataDxfId="338" totalsRowDxfId="337">
      <calculatedColumnFormula>IF(الجدول1610[[#This Row],[الموقع]]="Nabedh",1,0)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21"/>
  <sheetViews>
    <sheetView showGridLines="0" zoomScaleNormal="100" workbookViewId="0">
      <selection activeCell="A2" sqref="A2"/>
    </sheetView>
  </sheetViews>
  <sheetFormatPr defaultRowHeight="114" customHeight="1" x14ac:dyDescent="0.25"/>
  <cols>
    <col min="1" max="1" width="117.28515625" style="35" customWidth="1"/>
    <col min="2" max="2" width="17.28515625" customWidth="1"/>
    <col min="4" max="4" width="13.28515625" customWidth="1"/>
  </cols>
  <sheetData>
    <row r="1" spans="1:4" ht="114" customHeight="1" thickBot="1" x14ac:dyDescent="0.3">
      <c r="A1" s="245" t="s">
        <v>0</v>
      </c>
    </row>
    <row r="2" spans="1:4" ht="114" customHeight="1" thickBot="1" x14ac:dyDescent="0.3">
      <c r="A2" s="246"/>
      <c r="D2" s="157" t="s">
        <v>1</v>
      </c>
    </row>
    <row r="3" spans="1:4" ht="114" customHeight="1" x14ac:dyDescent="0.25">
      <c r="A3" s="34"/>
    </row>
    <row r="4" spans="1:4" ht="114" customHeight="1" x14ac:dyDescent="0.25">
      <c r="A4" s="34"/>
    </row>
    <row r="5" spans="1:4" ht="114" customHeight="1" x14ac:dyDescent="0.25">
      <c r="A5" s="34"/>
    </row>
    <row r="6" spans="1:4" ht="114" customHeight="1" x14ac:dyDescent="0.25">
      <c r="A6" s="34"/>
    </row>
    <row r="7" spans="1:4" ht="114" customHeight="1" x14ac:dyDescent="0.25">
      <c r="A7" s="34"/>
    </row>
    <row r="8" spans="1:4" ht="114" customHeight="1" x14ac:dyDescent="0.25">
      <c r="A8" s="34"/>
    </row>
    <row r="9" spans="1:4" ht="114" customHeight="1" x14ac:dyDescent="0.25">
      <c r="A9" s="34"/>
    </row>
    <row r="10" spans="1:4" ht="114" customHeight="1" x14ac:dyDescent="0.25">
      <c r="A10" s="34"/>
    </row>
    <row r="11" spans="1:4" ht="114" customHeight="1" x14ac:dyDescent="0.25">
      <c r="A11" s="34"/>
    </row>
    <row r="12" spans="1:4" ht="114" customHeight="1" x14ac:dyDescent="0.25">
      <c r="A12" s="34"/>
    </row>
    <row r="13" spans="1:4" ht="114" customHeight="1" x14ac:dyDescent="0.25">
      <c r="A13" s="34"/>
    </row>
    <row r="14" spans="1:4" ht="114" customHeight="1" x14ac:dyDescent="0.25">
      <c r="A14" s="34"/>
    </row>
    <row r="15" spans="1:4" ht="114" customHeight="1" x14ac:dyDescent="0.25">
      <c r="A15" s="34"/>
    </row>
    <row r="16" spans="1:4" ht="114" customHeight="1" x14ac:dyDescent="0.25">
      <c r="A16" s="34"/>
    </row>
    <row r="17" spans="1:1" ht="114" customHeight="1" x14ac:dyDescent="0.25">
      <c r="A17" s="34"/>
    </row>
    <row r="18" spans="1:1" ht="114" customHeight="1" x14ac:dyDescent="0.25">
      <c r="A18" s="34"/>
    </row>
    <row r="19" spans="1:1" ht="114" customHeight="1" x14ac:dyDescent="0.25">
      <c r="A19" s="34"/>
    </row>
    <row r="20" spans="1:1" ht="114" customHeight="1" x14ac:dyDescent="0.25">
      <c r="A20" s="34"/>
    </row>
    <row r="21" spans="1:1" ht="114" customHeight="1" x14ac:dyDescent="0.25">
      <c r="A21" s="36">
        <f>SUBTOTAL(103,Table8[المقترحات / التحديات / الملاحظات])</f>
        <v>0</v>
      </c>
    </row>
  </sheetData>
  <hyperlinks>
    <hyperlink ref="D2" location="Report!A1" display="Report"/>
  </hyperlink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showGridLines="0" topLeftCell="C1" workbookViewId="0">
      <selection activeCell="H5" sqref="H5:I9"/>
    </sheetView>
  </sheetViews>
  <sheetFormatPr defaultColWidth="9" defaultRowHeight="15" x14ac:dyDescent="0.25"/>
  <cols>
    <col min="1" max="1" width="31.28515625" style="1" customWidth="1"/>
    <col min="2" max="2" width="33" style="1" customWidth="1"/>
    <col min="3" max="3" width="49.85546875" style="1" bestFit="1" customWidth="1"/>
    <col min="4" max="4" width="68" style="1" customWidth="1"/>
    <col min="5" max="6" width="16.7109375" style="1" bestFit="1" customWidth="1"/>
    <col min="7" max="7" width="9" style="1"/>
    <col min="8" max="8" width="13.7109375" style="1" bestFit="1" customWidth="1"/>
    <col min="9" max="28" width="9" style="1"/>
    <col min="29" max="29" width="10.140625" style="1" bestFit="1" customWidth="1"/>
    <col min="30" max="16384" width="9" style="1"/>
  </cols>
  <sheetData>
    <row r="1" spans="1:29" ht="18.75" x14ac:dyDescent="0.25">
      <c r="A1" s="404" t="s">
        <v>162</v>
      </c>
      <c r="B1" s="404"/>
      <c r="C1" s="404"/>
      <c r="D1" s="404"/>
      <c r="E1" s="404"/>
      <c r="F1" s="404"/>
    </row>
    <row r="2" spans="1:29" ht="32.25" thickBot="1" x14ac:dyDescent="0.3">
      <c r="A2" s="81" t="s">
        <v>163</v>
      </c>
      <c r="B2" s="81" t="s">
        <v>164</v>
      </c>
      <c r="C2" s="81" t="s">
        <v>165</v>
      </c>
      <c r="D2" s="82" t="s">
        <v>166</v>
      </c>
      <c r="E2" s="82" t="s">
        <v>167</v>
      </c>
      <c r="F2" s="83" t="s">
        <v>168</v>
      </c>
      <c r="AC2" s="1" t="s">
        <v>169</v>
      </c>
    </row>
    <row r="3" spans="1:29" ht="20.25" customHeight="1" x14ac:dyDescent="0.25">
      <c r="A3" s="436"/>
      <c r="B3" s="439"/>
      <c r="C3" s="237"/>
      <c r="D3" s="164"/>
      <c r="E3" s="424">
        <f>IF(B3="Shopiko",1,0)</f>
        <v>0</v>
      </c>
      <c r="F3" s="427">
        <f>IF(B3="Silver Shop",1,0)</f>
        <v>0</v>
      </c>
      <c r="AC3" s="1" t="s">
        <v>170</v>
      </c>
    </row>
    <row r="4" spans="1:29" ht="20.25" customHeight="1" thickBot="1" x14ac:dyDescent="0.3">
      <c r="A4" s="437"/>
      <c r="B4" s="440"/>
      <c r="C4" s="238"/>
      <c r="D4" s="202"/>
      <c r="E4" s="425"/>
      <c r="F4" s="428"/>
      <c r="AC4" s="1" t="s">
        <v>171</v>
      </c>
    </row>
    <row r="5" spans="1:29" ht="20.25" customHeight="1" thickBot="1" x14ac:dyDescent="0.3">
      <c r="A5" s="438"/>
      <c r="B5" s="441"/>
      <c r="C5" s="239"/>
      <c r="D5" s="203"/>
      <c r="E5" s="426"/>
      <c r="F5" s="429"/>
      <c r="H5" s="377" t="s">
        <v>1</v>
      </c>
      <c r="I5" s="378"/>
      <c r="AC5" s="1" t="s">
        <v>172</v>
      </c>
    </row>
    <row r="6" spans="1:29" ht="20.25" customHeight="1" x14ac:dyDescent="0.25">
      <c r="A6" s="418"/>
      <c r="B6" s="421"/>
      <c r="C6" s="232"/>
      <c r="D6" s="231"/>
      <c r="E6" s="424">
        <f>IF(B6="Shopiko",1,0)</f>
        <v>0</v>
      </c>
      <c r="F6" s="427">
        <f t="shared" ref="F6" si="0">IF(B6="Silver Shop",1,0)</f>
        <v>0</v>
      </c>
      <c r="H6" s="379"/>
      <c r="I6" s="380"/>
    </row>
    <row r="7" spans="1:29" ht="20.25" customHeight="1" x14ac:dyDescent="0.25">
      <c r="A7" s="419"/>
      <c r="B7" s="422"/>
      <c r="C7" s="233"/>
      <c r="D7" s="234"/>
      <c r="E7" s="425"/>
      <c r="F7" s="428"/>
      <c r="H7" s="379"/>
      <c r="I7" s="380"/>
    </row>
    <row r="8" spans="1:29" ht="20.25" customHeight="1" thickBot="1" x14ac:dyDescent="0.3">
      <c r="A8" s="420"/>
      <c r="B8" s="423"/>
      <c r="C8" s="235"/>
      <c r="D8" s="236"/>
      <c r="E8" s="426"/>
      <c r="F8" s="429"/>
      <c r="H8" s="379"/>
      <c r="I8" s="380"/>
    </row>
    <row r="9" spans="1:29" ht="20.25" customHeight="1" thickBot="1" x14ac:dyDescent="0.3">
      <c r="A9" s="430"/>
      <c r="B9" s="433"/>
      <c r="C9" s="226"/>
      <c r="D9" s="225"/>
      <c r="E9" s="424">
        <f>IF(B9="Shopiko",1,0)</f>
        <v>0</v>
      </c>
      <c r="F9" s="427">
        <f t="shared" ref="F9" si="1">IF(B9="Silver Shop",1,0)</f>
        <v>0</v>
      </c>
      <c r="H9" s="381"/>
      <c r="I9" s="382"/>
    </row>
    <row r="10" spans="1:29" ht="20.25" customHeight="1" x14ac:dyDescent="0.25">
      <c r="A10" s="431"/>
      <c r="B10" s="434"/>
      <c r="C10" s="227"/>
      <c r="D10" s="228"/>
      <c r="E10" s="425"/>
      <c r="F10" s="428"/>
    </row>
    <row r="11" spans="1:29" ht="20.25" customHeight="1" thickBot="1" x14ac:dyDescent="0.3">
      <c r="A11" s="432"/>
      <c r="B11" s="435"/>
      <c r="C11" s="229"/>
      <c r="D11" s="230"/>
      <c r="E11" s="426"/>
      <c r="F11" s="429"/>
    </row>
    <row r="12" spans="1:29" ht="20.25" customHeight="1" x14ac:dyDescent="0.25">
      <c r="A12" s="412"/>
      <c r="B12" s="415"/>
      <c r="C12" s="220"/>
      <c r="D12" s="219"/>
      <c r="E12" s="424">
        <f>IF(B12="Shopiko",1,0)</f>
        <v>0</v>
      </c>
      <c r="F12" s="427">
        <f t="shared" ref="F12" si="2">IF(B12="Silver Shop",1,0)</f>
        <v>0</v>
      </c>
    </row>
    <row r="13" spans="1:29" ht="20.25" customHeight="1" x14ac:dyDescent="0.25">
      <c r="A13" s="413"/>
      <c r="B13" s="416"/>
      <c r="C13" s="221"/>
      <c r="D13" s="222"/>
      <c r="E13" s="425"/>
      <c r="F13" s="428"/>
    </row>
    <row r="14" spans="1:29" ht="20.25" customHeight="1" thickBot="1" x14ac:dyDescent="0.3">
      <c r="A14" s="414"/>
      <c r="B14" s="417"/>
      <c r="C14" s="223"/>
      <c r="D14" s="224"/>
      <c r="E14" s="426"/>
      <c r="F14" s="429"/>
    </row>
    <row r="15" spans="1:29" ht="20.25" customHeight="1" x14ac:dyDescent="0.25">
      <c r="A15" s="455"/>
      <c r="B15" s="458"/>
      <c r="C15" s="172"/>
      <c r="D15" s="166"/>
      <c r="E15" s="424">
        <f>IF(B15="Shopiko",1,0)</f>
        <v>0</v>
      </c>
      <c r="F15" s="427">
        <f t="shared" ref="F15" si="3">IF(B15="Silver Shop",1,0)</f>
        <v>0</v>
      </c>
    </row>
    <row r="16" spans="1:29" ht="20.25" customHeight="1" x14ac:dyDescent="0.25">
      <c r="A16" s="456"/>
      <c r="B16" s="459"/>
      <c r="C16" s="173"/>
      <c r="D16" s="206"/>
      <c r="E16" s="425"/>
      <c r="F16" s="428"/>
    </row>
    <row r="17" spans="1:6" ht="20.25" customHeight="1" thickBot="1" x14ac:dyDescent="0.3">
      <c r="A17" s="457"/>
      <c r="B17" s="460"/>
      <c r="C17" s="174"/>
      <c r="D17" s="207"/>
      <c r="E17" s="426"/>
      <c r="F17" s="429"/>
    </row>
    <row r="18" spans="1:6" ht="20.25" customHeight="1" x14ac:dyDescent="0.25">
      <c r="A18" s="443"/>
      <c r="B18" s="446"/>
      <c r="C18" s="175"/>
      <c r="D18" s="167"/>
      <c r="E18" s="424">
        <f>IF(B18="Shopiko",1,0)</f>
        <v>0</v>
      </c>
      <c r="F18" s="427">
        <f t="shared" ref="F18" si="4">IF(B18="Silver Shop",1,0)</f>
        <v>0</v>
      </c>
    </row>
    <row r="19" spans="1:6" ht="20.25" customHeight="1" x14ac:dyDescent="0.25">
      <c r="A19" s="444"/>
      <c r="B19" s="447"/>
      <c r="C19" s="176"/>
      <c r="D19" s="208"/>
      <c r="E19" s="425"/>
      <c r="F19" s="428"/>
    </row>
    <row r="20" spans="1:6" ht="20.25" customHeight="1" thickBot="1" x14ac:dyDescent="0.3">
      <c r="A20" s="445"/>
      <c r="B20" s="448"/>
      <c r="C20" s="177"/>
      <c r="D20" s="209"/>
      <c r="E20" s="426"/>
      <c r="F20" s="429"/>
    </row>
    <row r="21" spans="1:6" ht="20.25" customHeight="1" x14ac:dyDescent="0.25">
      <c r="A21" s="449"/>
      <c r="B21" s="452"/>
      <c r="C21" s="178"/>
      <c r="D21" s="170"/>
      <c r="E21" s="424">
        <f>IF(B21="Shopiko",1,0)</f>
        <v>0</v>
      </c>
      <c r="F21" s="427">
        <f t="shared" ref="F21" si="5">IF(B21="Silver Shop",1,0)</f>
        <v>0</v>
      </c>
    </row>
    <row r="22" spans="1:6" ht="20.25" customHeight="1" x14ac:dyDescent="0.25">
      <c r="A22" s="450"/>
      <c r="B22" s="453"/>
      <c r="C22" s="179"/>
      <c r="D22" s="214"/>
      <c r="E22" s="425"/>
      <c r="F22" s="428"/>
    </row>
    <row r="23" spans="1:6" ht="20.25" customHeight="1" thickBot="1" x14ac:dyDescent="0.3">
      <c r="A23" s="451"/>
      <c r="B23" s="454"/>
      <c r="C23" s="180"/>
      <c r="D23" s="215"/>
      <c r="E23" s="426"/>
      <c r="F23" s="429"/>
    </row>
    <row r="24" spans="1:6" ht="16.5" thickBot="1" x14ac:dyDescent="0.3">
      <c r="A24" s="216">
        <f>SUBTOTAL(103,Monitoring_ATHAR!$A$3:$A$23)</f>
        <v>0</v>
      </c>
      <c r="B24" s="216">
        <f>SUBTOTAL(109,Monitoring_ATHAR!$B$3:$B$23)</f>
        <v>0</v>
      </c>
      <c r="C24" s="217"/>
      <c r="D24" s="217"/>
      <c r="E24" s="218">
        <f>SUM(E3:E23)</f>
        <v>0</v>
      </c>
      <c r="F24" s="11">
        <f>SUM(F3:F23)</f>
        <v>0</v>
      </c>
    </row>
    <row r="25" spans="1:6" ht="18.75" x14ac:dyDescent="0.25">
      <c r="A25" s="442" t="s">
        <v>173</v>
      </c>
      <c r="B25" s="442"/>
      <c r="C25" s="35"/>
    </row>
    <row r="26" spans="1:6" ht="15.75" x14ac:dyDescent="0.25">
      <c r="A26" s="64" t="s">
        <v>163</v>
      </c>
      <c r="B26" s="65" t="s">
        <v>164</v>
      </c>
      <c r="C26" s="76" t="s">
        <v>171</v>
      </c>
      <c r="D26" s="76" t="s">
        <v>172</v>
      </c>
    </row>
    <row r="27" spans="1:6" ht="15.75" x14ac:dyDescent="0.25">
      <c r="A27" s="70"/>
      <c r="B27" s="66"/>
      <c r="C27" s="77">
        <f>IF(الجدول1610[[#This Row],[الموقع]]="Athar",1,0)</f>
        <v>0</v>
      </c>
      <c r="D27" s="77">
        <f>IF(الجدول1610[[#This Row],[الموقع]]="Nabedh",1,0)</f>
        <v>0</v>
      </c>
    </row>
    <row r="28" spans="1:6" ht="15.75" x14ac:dyDescent="0.25">
      <c r="A28" s="71"/>
      <c r="B28" s="47"/>
      <c r="C28" s="73">
        <f>IF(الجدول1610[[#This Row],[الموقع]]="Athar",1,0)</f>
        <v>0</v>
      </c>
      <c r="D28" s="73">
        <f>IF(الجدول1610[[#This Row],[الموقع]]="Nabedh",1,0)</f>
        <v>0</v>
      </c>
    </row>
    <row r="29" spans="1:6" ht="15.75" x14ac:dyDescent="0.25">
      <c r="A29" s="70"/>
      <c r="B29" s="67"/>
      <c r="C29" s="75">
        <f>IF(الجدول1610[[#This Row],[الموقع]]="Athar",1,0)</f>
        <v>0</v>
      </c>
      <c r="D29" s="75">
        <f>IF(الجدول1610[[#This Row],[الموقع]]="Nabedh",1,0)</f>
        <v>0</v>
      </c>
    </row>
    <row r="30" spans="1:6" ht="15.75" x14ac:dyDescent="0.25">
      <c r="A30" s="71"/>
      <c r="B30" s="47"/>
      <c r="C30" s="73">
        <f>IF(الجدول1610[[#This Row],[الموقع]]="Athar",1,0)</f>
        <v>0</v>
      </c>
      <c r="D30" s="73">
        <f>IF(الجدول1610[[#This Row],[الموقع]]="Nabedh",1,0)</f>
        <v>0</v>
      </c>
    </row>
    <row r="31" spans="1:6" ht="15.75" x14ac:dyDescent="0.25">
      <c r="A31" s="70"/>
      <c r="B31" s="67"/>
      <c r="C31" s="75">
        <f>IF(الجدول1610[[#This Row],[الموقع]]="Athar",1,0)</f>
        <v>0</v>
      </c>
      <c r="D31" s="75">
        <f>IF(الجدول1610[[#This Row],[الموقع]]="Nabedh",1,0)</f>
        <v>0</v>
      </c>
    </row>
    <row r="32" spans="1:6" ht="15.75" x14ac:dyDescent="0.25">
      <c r="A32" s="71"/>
      <c r="B32" s="47"/>
      <c r="C32" s="73">
        <f>IF(الجدول1610[[#This Row],[الموقع]]="Athar",1,0)</f>
        <v>0</v>
      </c>
      <c r="D32" s="73">
        <f>IF(الجدول1610[[#This Row],[الموقع]]="Nabedh",1,0)</f>
        <v>0</v>
      </c>
    </row>
    <row r="33" spans="1:8" ht="15.75" x14ac:dyDescent="0.25">
      <c r="A33" s="71"/>
      <c r="B33" s="47"/>
      <c r="C33" s="73">
        <f>IF(الجدول1610[[#This Row],[الموقع]]="Athar",1,0)</f>
        <v>0</v>
      </c>
      <c r="D33" s="73">
        <f>IF(الجدول1610[[#This Row],[الموقع]]="Nabedh",1,0)</f>
        <v>0</v>
      </c>
    </row>
    <row r="34" spans="1:8" ht="15.75" x14ac:dyDescent="0.25">
      <c r="A34" s="71"/>
      <c r="B34" s="47"/>
      <c r="C34" s="73">
        <f>IF(الجدول1610[[#This Row],[الموقع]]="Athar",1,0)</f>
        <v>0</v>
      </c>
      <c r="D34" s="73">
        <f>IF(الجدول1610[[#This Row],[الموقع]]="Nabedh",1,0)</f>
        <v>0</v>
      </c>
    </row>
    <row r="35" spans="1:8" ht="15.75" x14ac:dyDescent="0.25">
      <c r="A35" s="72"/>
      <c r="B35" s="63"/>
      <c r="C35" s="73">
        <f>IF(الجدول1610[[#This Row],[الموقع]]="Athar",1,0)</f>
        <v>0</v>
      </c>
      <c r="D35" s="73">
        <f>IF(الجدول1610[[#This Row],[الموقع]]="Nabedh",1,0)</f>
        <v>0</v>
      </c>
    </row>
    <row r="36" spans="1:8" ht="15.75" x14ac:dyDescent="0.25">
      <c r="A36" s="72"/>
      <c r="B36" s="63"/>
      <c r="C36" s="73">
        <f>IF(الجدول1610[[#This Row],[الموقع]]="Athar",1,0)</f>
        <v>0</v>
      </c>
      <c r="D36" s="73">
        <f>IF(الجدول1610[[#This Row],[الموقع]]="Nabedh",1,0)</f>
        <v>0</v>
      </c>
    </row>
    <row r="37" spans="1:8" ht="15.75" x14ac:dyDescent="0.25">
      <c r="A37" s="72"/>
      <c r="B37" s="63"/>
      <c r="C37" s="73">
        <f>IF(الجدول1610[[#This Row],[الموقع]]="Athar",1,0)</f>
        <v>0</v>
      </c>
      <c r="D37" s="73">
        <f>IF(الجدول1610[[#This Row],[الموقع]]="Nabedh",1,0)</f>
        <v>0</v>
      </c>
    </row>
    <row r="38" spans="1:8" ht="15.75" x14ac:dyDescent="0.25">
      <c r="A38" s="72"/>
      <c r="B38" s="63"/>
      <c r="C38" s="74">
        <f>IF(الجدول1610[[#This Row],[الموقع]]="Athar",1,0)</f>
        <v>0</v>
      </c>
      <c r="D38" s="74">
        <f>IF(الجدول1610[[#This Row],[الموقع]]="Nabedh",1,0)</f>
        <v>0</v>
      </c>
    </row>
    <row r="39" spans="1:8" ht="15.75" x14ac:dyDescent="0.25">
      <c r="A39" s="68" t="s">
        <v>161</v>
      </c>
      <c r="B39" s="69">
        <f>SUBTOTAL(103,الجدول1610[الموقع])</f>
        <v>0</v>
      </c>
      <c r="C39" s="62">
        <f>SUBTOTAL(109,الجدول1610[Athar])</f>
        <v>0</v>
      </c>
      <c r="D39" s="62">
        <f>SUBTOTAL(109,الجدول1610[Nabedh])</f>
        <v>0</v>
      </c>
    </row>
    <row r="41" spans="1:8" x14ac:dyDescent="0.2">
      <c r="H41" s="153" t="s">
        <v>14</v>
      </c>
    </row>
  </sheetData>
  <sheetProtection algorithmName="SHA-512" hashValue="T1eMumKKYR13W9hyBdsNs41ZI9sCU7P2iymww56cQUvOhJn8pC8EG2Qat+M3TeFKotpdEV7p39pHHHQcMjview==" saltValue="KiSgcDgG4MhtGiF7LGVRMg==" spinCount="100000" sheet="1" objects="1" scenarios="1"/>
  <protectedRanges>
    <protectedRange password="CF46" sqref="A3:D23 A27:B38" name="Randa"/>
  </protectedRanges>
  <mergeCells count="31">
    <mergeCell ref="A25:B25"/>
    <mergeCell ref="H5:I9"/>
    <mergeCell ref="A18:A20"/>
    <mergeCell ref="B18:B20"/>
    <mergeCell ref="E18:E20"/>
    <mergeCell ref="F18:F20"/>
    <mergeCell ref="A21:A23"/>
    <mergeCell ref="B21:B23"/>
    <mergeCell ref="E21:E23"/>
    <mergeCell ref="F21:F23"/>
    <mergeCell ref="E12:E14"/>
    <mergeCell ref="F12:F14"/>
    <mergeCell ref="A15:A17"/>
    <mergeCell ref="B15:B17"/>
    <mergeCell ref="E15:E17"/>
    <mergeCell ref="F15:F17"/>
    <mergeCell ref="A1:F1"/>
    <mergeCell ref="A3:A5"/>
    <mergeCell ref="B3:B5"/>
    <mergeCell ref="E3:E5"/>
    <mergeCell ref="F3:F5"/>
    <mergeCell ref="F6:F8"/>
    <mergeCell ref="A9:A11"/>
    <mergeCell ref="B9:B11"/>
    <mergeCell ref="E9:E11"/>
    <mergeCell ref="F9:F11"/>
    <mergeCell ref="A12:A14"/>
    <mergeCell ref="B12:B14"/>
    <mergeCell ref="A6:A8"/>
    <mergeCell ref="B6:B8"/>
    <mergeCell ref="E6:E8"/>
  </mergeCells>
  <dataValidations count="2">
    <dataValidation type="list" operator="notEqual" allowBlank="1" showInputMessage="1" showErrorMessage="1" errorTitle="انتبه" error="لا يمكنك ادخال الا اعداد صحيحة_x000a_" sqref="B3 B21 B18 B15 B12 B9 B6">
      <formula1>$AC$2:$AC$3</formula1>
    </dataValidation>
    <dataValidation type="list" operator="notEqual" allowBlank="1" showInputMessage="1" showErrorMessage="1" errorTitle="انتبه" error="لا يمكنك ادخال الا اعداد صحيحة_x000a_" sqref="B27:B38">
      <formula1>$AC$4:$AC$5</formula1>
    </dataValidation>
  </dataValidations>
  <hyperlinks>
    <hyperlink ref="H5:I9" location="Report!A1" display="Report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8"/>
  <sheetViews>
    <sheetView showGridLines="0" zoomScale="70" zoomScaleNormal="70" workbookViewId="0">
      <selection activeCell="H7" sqref="H7"/>
    </sheetView>
  </sheetViews>
  <sheetFormatPr defaultColWidth="9.140625" defaultRowHeight="31.5" customHeight="1" x14ac:dyDescent="0.25"/>
  <cols>
    <col min="1" max="2" width="9.140625" style="1"/>
    <col min="3" max="3" width="5.28515625" style="1" customWidth="1"/>
    <col min="4" max="4" width="73.7109375" style="1" customWidth="1"/>
    <col min="5" max="5" width="9.28515625" style="1" bestFit="1" customWidth="1"/>
    <col min="6" max="6" width="8.85546875" style="1" bestFit="1" customWidth="1"/>
    <col min="7" max="7" width="21.140625" style="1" bestFit="1" customWidth="1"/>
    <col min="8" max="8" width="19.85546875" style="1" bestFit="1" customWidth="1"/>
    <col min="9" max="9" width="28.28515625" style="1" bestFit="1" customWidth="1"/>
    <col min="10" max="10" width="7.28515625" style="1" bestFit="1" customWidth="1"/>
    <col min="11" max="11" width="13.7109375" style="1" bestFit="1" customWidth="1"/>
    <col min="12" max="12" width="22.140625" style="1" bestFit="1" customWidth="1"/>
    <col min="13" max="13" width="34.7109375" style="1" bestFit="1" customWidth="1"/>
    <col min="14" max="14" width="33.85546875" style="1" bestFit="1" customWidth="1"/>
    <col min="15" max="15" width="42" style="1" bestFit="1" customWidth="1"/>
    <col min="16" max="16" width="40.7109375" style="1" bestFit="1" customWidth="1"/>
    <col min="17" max="17" width="24.28515625" style="1" bestFit="1" customWidth="1"/>
    <col min="18" max="18" width="36.85546875" style="1" bestFit="1" customWidth="1"/>
    <col min="19" max="19" width="36.28515625" style="1" bestFit="1" customWidth="1"/>
    <col min="20" max="20" width="44.28515625" style="1" bestFit="1" customWidth="1"/>
    <col min="21" max="21" width="43.140625" style="1" bestFit="1" customWidth="1"/>
    <col min="22" max="22" width="29.140625" style="1" bestFit="1" customWidth="1"/>
    <col min="23" max="23" width="37" style="1" bestFit="1" customWidth="1"/>
    <col min="24" max="24" width="36.85546875" style="1" bestFit="1" customWidth="1"/>
    <col min="25" max="25" width="32" style="1" bestFit="1" customWidth="1"/>
    <col min="26" max="26" width="33.28515625" style="1" bestFit="1" customWidth="1"/>
    <col min="27" max="27" width="31.28515625" style="1" bestFit="1" customWidth="1"/>
    <col min="28" max="28" width="41.7109375" style="1" bestFit="1" customWidth="1"/>
    <col min="29" max="29" width="41.28515625" style="1" bestFit="1" customWidth="1"/>
    <col min="30" max="30" width="40" style="1" bestFit="1" customWidth="1"/>
    <col min="31" max="31" width="41.28515625" style="1" bestFit="1" customWidth="1"/>
    <col min="32" max="32" width="27.85546875" style="1" bestFit="1" customWidth="1"/>
    <col min="33" max="33" width="32.28515625" style="1" bestFit="1" customWidth="1"/>
    <col min="34" max="34" width="31.7109375" style="1" bestFit="1" customWidth="1"/>
    <col min="35" max="35" width="33.7109375" style="1" bestFit="1" customWidth="1"/>
    <col min="36" max="36" width="35.28515625" style="1" bestFit="1" customWidth="1"/>
    <col min="37" max="37" width="33.28515625" style="1" bestFit="1" customWidth="1"/>
    <col min="38" max="38" width="44" style="1" bestFit="1" customWidth="1"/>
    <col min="39" max="39" width="43.85546875" style="1" bestFit="1" customWidth="1"/>
    <col min="40" max="40" width="42.28515625" style="1" bestFit="1" customWidth="1"/>
    <col min="41" max="41" width="44.28515625" style="1" bestFit="1" customWidth="1"/>
    <col min="42" max="42" width="9.85546875" style="1" bestFit="1" customWidth="1"/>
    <col min="43" max="43" width="31.7109375" style="1" bestFit="1" customWidth="1"/>
    <col min="44" max="44" width="31.28515625" style="1" bestFit="1" customWidth="1"/>
    <col min="45" max="45" width="34.85546875" style="1" bestFit="1" customWidth="1"/>
    <col min="46" max="46" width="36.28515625" style="1" bestFit="1" customWidth="1"/>
    <col min="47" max="47" width="16.7109375" style="1" bestFit="1" customWidth="1"/>
    <col min="48" max="48" width="33.85546875" style="1" bestFit="1" customWidth="1"/>
    <col min="49" max="49" width="33.7109375" style="1" bestFit="1" customWidth="1"/>
    <col min="50" max="50" width="37.140625" style="1" bestFit="1" customWidth="1"/>
    <col min="51" max="51" width="38.7109375" style="1" bestFit="1" customWidth="1"/>
    <col min="52" max="52" width="14.28515625" style="1" bestFit="1" customWidth="1"/>
    <col min="53" max="53" width="37.7109375" style="1" bestFit="1" customWidth="1"/>
    <col min="54" max="54" width="32.28515625" style="1" bestFit="1" customWidth="1"/>
    <col min="55" max="55" width="34.28515625" style="1" bestFit="1" customWidth="1"/>
    <col min="56" max="56" width="35.85546875" style="1" bestFit="1" customWidth="1"/>
    <col min="57" max="57" width="16.7109375" style="1" bestFit="1" customWidth="1"/>
    <col min="58" max="58" width="40.140625" style="1" bestFit="1" customWidth="1"/>
    <col min="59" max="59" width="34.7109375" style="1" bestFit="1" customWidth="1"/>
    <col min="60" max="60" width="36.7109375" style="1" bestFit="1" customWidth="1"/>
    <col min="61" max="61" width="38.140625" style="1" bestFit="1" customWidth="1"/>
    <col min="62" max="62" width="9.140625" style="1"/>
    <col min="63" max="63" width="28.28515625" style="1" bestFit="1" customWidth="1"/>
    <col min="64" max="64" width="9.140625" style="1"/>
    <col min="65" max="65" width="7.28515625" style="1" bestFit="1" customWidth="1"/>
    <col min="66" max="67" width="9.140625" style="1"/>
    <col min="68" max="68" width="28.28515625" style="1" bestFit="1" customWidth="1"/>
    <col min="69" max="76" width="9.140625" style="1"/>
    <col min="77" max="79" width="22.85546875" style="1" bestFit="1" customWidth="1"/>
    <col min="80" max="16384" width="9.140625" style="1"/>
  </cols>
  <sheetData>
    <row r="1" spans="1:80" ht="31.5" customHeight="1" x14ac:dyDescent="0.25">
      <c r="D1" s="137" t="s">
        <v>174</v>
      </c>
      <c r="E1" s="137" t="s">
        <v>44</v>
      </c>
      <c r="F1" s="137" t="s">
        <v>175</v>
      </c>
      <c r="G1" s="137" t="s">
        <v>176</v>
      </c>
      <c r="H1" s="137" t="s">
        <v>177</v>
      </c>
      <c r="I1" s="137" t="s">
        <v>178</v>
      </c>
      <c r="J1" s="137" t="s">
        <v>179</v>
      </c>
      <c r="K1" s="137" t="s">
        <v>180</v>
      </c>
      <c r="L1" s="137" t="s">
        <v>181</v>
      </c>
      <c r="M1" s="137" t="s">
        <v>182</v>
      </c>
      <c r="N1" s="137" t="s">
        <v>183</v>
      </c>
      <c r="O1" s="137" t="s">
        <v>184</v>
      </c>
      <c r="P1" s="137" t="s">
        <v>185</v>
      </c>
      <c r="Q1" s="137" t="s">
        <v>186</v>
      </c>
      <c r="R1" s="137" t="s">
        <v>187</v>
      </c>
      <c r="S1" s="137" t="s">
        <v>188</v>
      </c>
      <c r="T1" s="137" t="s">
        <v>189</v>
      </c>
      <c r="U1" s="137" t="s">
        <v>190</v>
      </c>
      <c r="V1" s="137" t="s">
        <v>191</v>
      </c>
      <c r="W1" s="137" t="s">
        <v>192</v>
      </c>
      <c r="X1" s="137" t="s">
        <v>193</v>
      </c>
      <c r="Y1" s="137" t="s">
        <v>194</v>
      </c>
      <c r="Z1" s="137" t="s">
        <v>195</v>
      </c>
      <c r="AA1" s="137" t="s">
        <v>196</v>
      </c>
      <c r="AB1" s="137" t="s">
        <v>197</v>
      </c>
      <c r="AC1" s="137" t="s">
        <v>198</v>
      </c>
      <c r="AD1" s="137" t="s">
        <v>199</v>
      </c>
      <c r="AE1" s="137" t="s">
        <v>200</v>
      </c>
      <c r="AF1" s="138" t="s">
        <v>201</v>
      </c>
      <c r="AG1" s="137" t="s">
        <v>202</v>
      </c>
      <c r="AH1" s="137" t="s">
        <v>203</v>
      </c>
      <c r="AI1" s="137" t="s">
        <v>204</v>
      </c>
      <c r="AJ1" s="137" t="s">
        <v>205</v>
      </c>
      <c r="AK1" s="137" t="s">
        <v>206</v>
      </c>
      <c r="AL1" s="137" t="s">
        <v>207</v>
      </c>
      <c r="AM1" s="137" t="s">
        <v>208</v>
      </c>
      <c r="AN1" s="137" t="s">
        <v>209</v>
      </c>
      <c r="AO1" s="137" t="s">
        <v>210</v>
      </c>
      <c r="AP1" s="137" t="s">
        <v>211</v>
      </c>
      <c r="AQ1" s="137" t="s">
        <v>212</v>
      </c>
      <c r="AR1" s="137" t="s">
        <v>213</v>
      </c>
      <c r="AS1" s="137" t="s">
        <v>214</v>
      </c>
      <c r="AT1" s="137" t="s">
        <v>215</v>
      </c>
      <c r="AU1" s="137" t="s">
        <v>216</v>
      </c>
      <c r="AV1" s="137" t="s">
        <v>217</v>
      </c>
      <c r="AW1" s="137" t="s">
        <v>218</v>
      </c>
      <c r="AX1" s="137" t="s">
        <v>219</v>
      </c>
      <c r="AY1" s="137" t="s">
        <v>220</v>
      </c>
      <c r="AZ1" s="137" t="s">
        <v>221</v>
      </c>
      <c r="BA1" s="137" t="s">
        <v>222</v>
      </c>
      <c r="BB1" s="137" t="s">
        <v>223</v>
      </c>
      <c r="BC1" s="137" t="s">
        <v>224</v>
      </c>
      <c r="BD1" s="137" t="s">
        <v>225</v>
      </c>
      <c r="BE1" s="137" t="s">
        <v>226</v>
      </c>
      <c r="BF1" s="137" t="s">
        <v>227</v>
      </c>
      <c r="BG1" s="137" t="s">
        <v>228</v>
      </c>
      <c r="BH1" s="137" t="s">
        <v>229</v>
      </c>
      <c r="BI1" s="137" t="s">
        <v>230</v>
      </c>
      <c r="BY1" s="145" t="s">
        <v>231</v>
      </c>
      <c r="BZ1" s="145" t="s">
        <v>231</v>
      </c>
      <c r="CA1" s="145" t="s">
        <v>231</v>
      </c>
      <c r="CB1" s="145"/>
    </row>
    <row r="2" spans="1:80" ht="31.5" customHeight="1" x14ac:dyDescent="0.25">
      <c r="D2" s="11"/>
      <c r="E2" s="11"/>
      <c r="F2" s="11"/>
      <c r="G2" s="11"/>
      <c r="H2" s="11"/>
      <c r="I2" s="11"/>
      <c r="J2" s="11"/>
      <c r="K2" s="11">
        <f>SUM(الجدول145[[#This Row],[عدد الذكور]:[عدد الأناث]])</f>
        <v>0</v>
      </c>
      <c r="L2" s="128">
        <f>IF(AND(الجدول145[[#This Row],[البرنامج]]="PLW",الجدول145[[#This Row],[نوع الجلسة]]=$BZ$2),1,0)</f>
        <v>0</v>
      </c>
      <c r="M2" s="128">
        <f>IF(AND(الجدول145[[#This Row],[نوع الجلسة]]=$BZ$2,الجدول145[[#This Row],[البرنامج]]="PLW"),الجدول145[[#This Row],[عدد الذكور]],0)</f>
        <v>0</v>
      </c>
      <c r="N2" s="128">
        <f>IF(AND(الجدول145[[#This Row],[نوع الجلسة]]=$BZ$2,الجدول145[[#This Row],[البرنامج]]="PLW"),الجدول145[[#This Row],[عدد الأناث]],0)</f>
        <v>0</v>
      </c>
      <c r="O2" s="128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2" s="128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2" s="129">
        <f>IF(AND(الجدول145[[#This Row],[البرنامج]]="OOSCH",الجدول145[[#This Row],[نوع الجلسة]]=$BZ$2),1,0)</f>
        <v>0</v>
      </c>
      <c r="R2" s="129">
        <f>IF(AND(الجدول145[[#This Row],[البرنامج]]="OOSCH",الجدول145[[#This Row],[نوع الجلسة]]=$BZ$2),الجدول145[[#This Row],[عدد الذكور]],0)</f>
        <v>0</v>
      </c>
      <c r="S2" s="129">
        <f>IF(AND(الجدول145[[#This Row],[البرنامج]]="OOSCH",الجدول145[[#This Row],[نوع الجلسة]]=$BZ$2),الجدول145[[#This Row],[عدد الأناث]],0)</f>
        <v>0</v>
      </c>
      <c r="T2" s="129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2" s="129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2" s="130">
        <f>IF(AND(الجدول145[[#This Row],[البرنامج]]="PLW",الجدول145[[#This Row],[نوع الجلسة]]="معلومات صحة تغذوية للسيدة الحامل"),1,0)</f>
        <v>0</v>
      </c>
      <c r="W2" s="130">
        <f>IF(AND(الجدول145[[#This Row],[نوع الجلسة]]=$BZ$3,الجدول145[[#This Row],[البرنامج]]="PLW"),الجدول145[[#This Row],[عدد الذكور]],0)</f>
        <v>0</v>
      </c>
      <c r="X2" s="130">
        <f>IF(AND(الجدول145[[#This Row],[نوع الجلسة]]=$BZ$3,الجدول145[[#This Row],[البرنامج]]="PLW"),الجدول145[[#This Row],[عدد الأناث]],0)</f>
        <v>0</v>
      </c>
      <c r="Y2" s="130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2" s="130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2" s="131">
        <f>IF(AND(الجدول145[[#This Row],[البرنامج]]="PLW",الجدول145[[#This Row],[نوع الجلسة]]=$BZ$4),1,0)</f>
        <v>0</v>
      </c>
      <c r="AB2" s="131">
        <f>IF(AND(الجدول145[[#This Row],[البرنامج]]="PLW",الجدول145[[#This Row],[نوع الجلسة]]=$BZ$4),الجدول145[[#This Row],[عدد الذكور]],0)</f>
        <v>0</v>
      </c>
      <c r="AC2" s="131">
        <f>IF(AND(الجدول145[[#This Row],[البرنامج]]="PLW",الجدول145[[#This Row],[نوع الجلسة]]=$BZ$4),الجدول145[[#This Row],[عدد الأناث]],0)</f>
        <v>0</v>
      </c>
      <c r="AD2" s="131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2" s="131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2" s="132">
        <f>IF(AND(الجدول145[[#This Row],[البرنامج]]="OOSCH",الجدول145[[#This Row],[نوع الجلسة]]=$BZ$7),1,0)</f>
        <v>0</v>
      </c>
      <c r="AG2" s="132">
        <f>IF(AND(الجدول145[[#This Row],[البرنامج]]="OOSCH",الجدول145[[#This Row],[نوع الجلسة]]=$BZ$7),الجدول145[[#This Row],[عدد الذكور]],0)</f>
        <v>0</v>
      </c>
      <c r="AH2" s="132">
        <f>IF(AND(الجدول145[[#This Row],[البرنامج]]="OOSCH",الجدول145[[#This Row],[نوع الجلسة]]=$BZ$7),الجدول145[[#This Row],[عدد الأناث]],0)</f>
        <v>0</v>
      </c>
      <c r="AI2" s="132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2" s="132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2" s="133">
        <f>IF(AND(الجدول145[[#This Row],[البرنامج]]="OOSCH",الجدول145[[#This Row],[نوع الجلسة]]=$BZ$4),1,0)</f>
        <v>0</v>
      </c>
      <c r="AL2" s="133">
        <f>IF(AND(الجدول145[[#This Row],[البرنامج]]="OOSCH",الجدول145[[#This Row],[نوع الجلسة]]=$BZ$4),الجدول145[[#This Row],[عدد الذكور]],0)</f>
        <v>0</v>
      </c>
      <c r="AM2" s="133">
        <f>IF(AND(الجدول145[[#This Row],[البرنامج]]="OOSCH",الجدول145[[#This Row],[نوع الجلسة]]=$BZ$4),الجدول145[[#This Row],[عدد الأناث]],0)</f>
        <v>0</v>
      </c>
      <c r="AN2" s="133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2" s="133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2" s="129">
        <f>IF(AND(الجدول145[[#This Row],[نوع الجلسة]]=$BZ$5,الجدول145[[#This Row],[البرنامج]]=$BX$3),1,0)</f>
        <v>0</v>
      </c>
      <c r="AQ2" s="129">
        <f>IF(AND(الجدول145[[#This Row],[البرنامج]]="PLW",الجدول145[[#This Row],[نوع الجلسة]]=$BZ$5),الجدول145[[#This Row],[عدد الذكور]],0)</f>
        <v>0</v>
      </c>
      <c r="AR2" s="129">
        <f>IF(AND(الجدول145[[#This Row],[البرنامج]]="PLW",الجدول145[[#This Row],[نوع الجلسة]]=$BZ$5),الجدول145[[#This Row],[عدد الأناث]],0)</f>
        <v>0</v>
      </c>
      <c r="AS2" s="129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2" s="129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2" s="134">
        <f>IF(AND(الجدول145[[#This Row],[نوع الجلسة]]=$BZ$5,الجدول145[[#This Row],[البرنامج]]=$BX$2),1,0)</f>
        <v>0</v>
      </c>
      <c r="AV2" s="134">
        <f>IF(AND(الجدول145[[#This Row],[البرنامج]]="OOSCH",الجدول145[[#This Row],[نوع الجلسة]]=$BZ$5),الجدول145[[#This Row],[عدد الذكور]],0)</f>
        <v>0</v>
      </c>
      <c r="AW2" s="134">
        <f>IF(AND(الجدول145[[#This Row],[البرنامج]]="OOSCH",الجدول145[[#This Row],[نوع الجلسة]]=$BZ$5),الجدول145[[#This Row],[عدد الأناث]],0)</f>
        <v>0</v>
      </c>
      <c r="AX2" s="134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2" s="134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2" s="135">
        <f>IF(AND(الجدول145[[#This Row],[نوع الجلسة]]=$BZ$6,الجدول145[[#This Row],[البرنامج]]=$BX$3),1,0)</f>
        <v>0</v>
      </c>
      <c r="BA2" s="135">
        <f>IF(AND(الجدول145[[#This Row],[البرنامج]]="PLW",الجدول145[[#This Row],[نوع الجلسة]]=$BZ$6),الجدول145[[#This Row],[عدد الذكور]],0)</f>
        <v>0</v>
      </c>
      <c r="BB2" s="135">
        <f>IF(AND(الجدول145[[#This Row],[البرنامج]]="PLW",الجدول145[[#This Row],[نوع الجلسة]]=$BZ$6),الجدول145[[#This Row],[عدد الأناث]],0)</f>
        <v>0</v>
      </c>
      <c r="BC2" s="135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2" s="135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2" s="136">
        <f>IF(AND(الجدول145[[#This Row],[نوع الجلسة]]=$BZ$6,الجدول145[[#This Row],[البرنامج]]=$BX$2),1,0)</f>
        <v>0</v>
      </c>
      <c r="BF2" s="136">
        <f>IF(AND(الجدول145[[#This Row],[البرنامج]]="OOSCH",الجدول145[[#This Row],[نوع الجلسة]]=$BZ$6),الجدول145[[#This Row],[عدد الذكور]],0)</f>
        <v>0</v>
      </c>
      <c r="BG2" s="136">
        <f>IF(AND(الجدول145[[#This Row],[البرنامج]]="OOSCH",الجدول145[[#This Row],[نوع الجلسة]]=$BZ$6),الجدول145[[#This Row],[عدد الأناث]],0)</f>
        <v>0</v>
      </c>
      <c r="BH2" s="136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2" s="136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  <c r="BX2" s="1" t="s">
        <v>69</v>
      </c>
      <c r="BY2" s="145" t="s">
        <v>232</v>
      </c>
      <c r="BZ2" s="145" t="s">
        <v>232</v>
      </c>
      <c r="CA2" s="145" t="s">
        <v>232</v>
      </c>
      <c r="CB2" s="145"/>
    </row>
    <row r="3" spans="1:80" ht="31.5" customHeight="1" thickBot="1" x14ac:dyDescent="0.3">
      <c r="D3" s="9"/>
      <c r="E3" s="9"/>
      <c r="F3" s="9"/>
      <c r="G3" s="9"/>
      <c r="H3" s="9"/>
      <c r="I3" s="9"/>
      <c r="J3" s="9"/>
      <c r="K3" s="9">
        <f>SUM(الجدول145[[#This Row],[عدد الذكور]:[عدد الأناث]])</f>
        <v>0</v>
      </c>
      <c r="L3" s="120">
        <f>IF(AND(الجدول145[[#This Row],[البرنامج]]="PLW",الجدول145[[#This Row],[نوع الجلسة]]=$BZ$2),1,0)</f>
        <v>0</v>
      </c>
      <c r="M3" s="120">
        <f>IF(AND(الجدول145[[#This Row],[نوع الجلسة]]=$BZ$2,الجدول145[[#This Row],[البرنامج]]="PLW"),الجدول145[[#This Row],[عدد الذكور]],0)</f>
        <v>0</v>
      </c>
      <c r="N3" s="120">
        <f>IF(AND(الجدول145[[#This Row],[نوع الجلسة]]=$BZ$2,الجدول145[[#This Row],[البرنامج]]="PLW"),الجدول145[[#This Row],[عدد الأناث]],0)</f>
        <v>0</v>
      </c>
      <c r="O3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3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3" s="123">
        <f>IF(AND(الجدول145[[#This Row],[البرنامج]]="OOSCH",الجدول145[[#This Row],[نوع الجلسة]]=$BZ$2),1,0)</f>
        <v>0</v>
      </c>
      <c r="R3" s="123">
        <f>IF(AND(الجدول145[[#This Row],[البرنامج]]="OOSCH",الجدول145[[#This Row],[نوع الجلسة]]=$BZ$2),الجدول145[[#This Row],[عدد الذكور]],0)</f>
        <v>0</v>
      </c>
      <c r="S3" s="123">
        <f>IF(AND(الجدول145[[#This Row],[البرنامج]]="OOSCH",الجدول145[[#This Row],[نوع الجلسة]]=$BZ$2),الجدول145[[#This Row],[عدد الأناث]],0)</f>
        <v>0</v>
      </c>
      <c r="T3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3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3" s="124">
        <f>IF(AND(الجدول145[[#This Row],[البرنامج]]="PLW",الجدول145[[#This Row],[نوع الجلسة]]="معلومات صحة تغذوية للسيدة الحامل"),1,0)</f>
        <v>0</v>
      </c>
      <c r="W3" s="124">
        <f>IF(AND(الجدول145[[#This Row],[نوع الجلسة]]=$BZ$3,الجدول145[[#This Row],[البرنامج]]="PLW"),الجدول145[[#This Row],[عدد الذكور]],0)</f>
        <v>0</v>
      </c>
      <c r="X3" s="124">
        <f>IF(AND(الجدول145[[#This Row],[نوع الجلسة]]=$BZ$3,الجدول145[[#This Row],[البرنامج]]="PLW"),الجدول145[[#This Row],[عدد الأناث]],0)</f>
        <v>0</v>
      </c>
      <c r="Y3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3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3" s="113">
        <f>IF(AND(الجدول145[[#This Row],[البرنامج]]="PLW",الجدول145[[#This Row],[نوع الجلسة]]=$BZ$4),1,0)</f>
        <v>0</v>
      </c>
      <c r="AB3" s="113">
        <f>IF(AND(الجدول145[[#This Row],[البرنامج]]="PLW",الجدول145[[#This Row],[نوع الجلسة]]=$BZ$4),الجدول145[[#This Row],[عدد الذكور]],0)</f>
        <v>0</v>
      </c>
      <c r="AC3" s="113">
        <f>IF(AND(الجدول145[[#This Row],[البرنامج]]="PLW",الجدول145[[#This Row],[نوع الجلسة]]=$BZ$4),الجدول145[[#This Row],[عدد الأناث]],0)</f>
        <v>0</v>
      </c>
      <c r="AD3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3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3" s="125">
        <f>IF(AND(الجدول145[[#This Row],[البرنامج]]="OOSCH",الجدول145[[#This Row],[نوع الجلسة]]=$BZ$7),1,0)</f>
        <v>0</v>
      </c>
      <c r="AG3" s="125">
        <f>IF(AND(الجدول145[[#This Row],[البرنامج]]="OOSCH",الجدول145[[#This Row],[نوع الجلسة]]=$BZ$7),الجدول145[[#This Row],[عدد الذكور]],0)</f>
        <v>0</v>
      </c>
      <c r="AH3" s="125">
        <f>IF(AND(الجدول145[[#This Row],[البرنامج]]="OOSCH",الجدول145[[#This Row],[نوع الجلسة]]=$BZ$7),الجدول145[[#This Row],[عدد الأناث]],0)</f>
        <v>0</v>
      </c>
      <c r="AI3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3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3" s="126">
        <f>IF(AND(الجدول145[[#This Row],[البرنامج]]="OOSCH",الجدول145[[#This Row],[نوع الجلسة]]=$BZ$4),1,0)</f>
        <v>0</v>
      </c>
      <c r="AL3" s="126">
        <f>IF(AND(الجدول145[[#This Row],[البرنامج]]="OOSCH",الجدول145[[#This Row],[نوع الجلسة]]=$BZ$4),الجدول145[[#This Row],[عدد الذكور]],0)</f>
        <v>0</v>
      </c>
      <c r="AM3" s="126">
        <f>IF(AND(الجدول145[[#This Row],[البرنامج]]="OOSCH",الجدول145[[#This Row],[نوع الجلسة]]=$BZ$4),الجدول145[[#This Row],[عدد الأناث]],0)</f>
        <v>0</v>
      </c>
      <c r="AN3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3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3" s="123">
        <f>IF(AND(الجدول145[[#This Row],[نوع الجلسة]]=$BZ$5,الجدول145[[#This Row],[البرنامج]]=$BX$3),1,0)</f>
        <v>0</v>
      </c>
      <c r="AQ3" s="123">
        <f>IF(AND(الجدول145[[#This Row],[البرنامج]]="PLW",الجدول145[[#This Row],[نوع الجلسة]]=$BZ$5),الجدول145[[#This Row],[عدد الذكور]],0)</f>
        <v>0</v>
      </c>
      <c r="AR3" s="123">
        <f>IF(AND(الجدول145[[#This Row],[البرنامج]]="PLW",الجدول145[[#This Row],[نوع الجلسة]]=$BZ$5),الجدول145[[#This Row],[عدد الأناث]],0)</f>
        <v>0</v>
      </c>
      <c r="AS3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3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3" s="127">
        <f>IF(AND(الجدول145[[#This Row],[نوع الجلسة]]=$BZ$5,الجدول145[[#This Row],[البرنامج]]=$BX$2),1,0)</f>
        <v>0</v>
      </c>
      <c r="AV3" s="127">
        <f>IF(AND(الجدول145[[#This Row],[البرنامج]]="OOSCH",الجدول145[[#This Row],[نوع الجلسة]]=$BZ$5),الجدول145[[#This Row],[عدد الذكور]],0)</f>
        <v>0</v>
      </c>
      <c r="AW3" s="127">
        <f>IF(AND(الجدول145[[#This Row],[البرنامج]]="OOSCH",الجدول145[[#This Row],[نوع الجلسة]]=$BZ$5),الجدول145[[#This Row],[عدد الأناث]],0)</f>
        <v>0</v>
      </c>
      <c r="AX3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3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3" s="121">
        <f>IF(AND(الجدول145[[#This Row],[نوع الجلسة]]=$BZ$6,الجدول145[[#This Row],[البرنامج]]=$BX$3),1,0)</f>
        <v>0</v>
      </c>
      <c r="BA3" s="121">
        <f>IF(AND(الجدول145[[#This Row],[البرنامج]]="PLW",الجدول145[[#This Row],[نوع الجلسة]]=$BZ$6),الجدول145[[#This Row],[عدد الذكور]],0)</f>
        <v>0</v>
      </c>
      <c r="BB3" s="121">
        <f>IF(AND(الجدول145[[#This Row],[البرنامج]]="PLW",الجدول145[[#This Row],[نوع الجلسة]]=$BZ$6),الجدول145[[#This Row],[عدد الأناث]],0)</f>
        <v>0</v>
      </c>
      <c r="BC3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3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3" s="122">
        <f>IF(AND(الجدول145[[#This Row],[نوع الجلسة]]=$BZ$6,الجدول145[[#This Row],[البرنامج]]=$BX$2),1,0)</f>
        <v>0</v>
      </c>
      <c r="BF3" s="122">
        <f>IF(AND(الجدول145[[#This Row],[البرنامج]]="OOSCH",الجدول145[[#This Row],[نوع الجلسة]]=$BZ$6),الجدول145[[#This Row],[عدد الذكور]],0)</f>
        <v>0</v>
      </c>
      <c r="BG3" s="122">
        <f>IF(AND(الجدول145[[#This Row],[البرنامج]]="OOSCH",الجدول145[[#This Row],[نوع الجلسة]]=$BZ$6),الجدول145[[#This Row],[عدد الأناث]],0)</f>
        <v>0</v>
      </c>
      <c r="BH3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3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  <c r="BX3" s="1" t="s">
        <v>2</v>
      </c>
      <c r="BY3" s="145" t="s">
        <v>191</v>
      </c>
      <c r="BZ3" s="145" t="s">
        <v>191</v>
      </c>
      <c r="CA3" s="145" t="s">
        <v>191</v>
      </c>
      <c r="CB3" s="145"/>
    </row>
    <row r="4" spans="1:80" ht="31.5" customHeight="1" x14ac:dyDescent="0.25">
      <c r="A4" s="461" t="s">
        <v>1</v>
      </c>
      <c r="B4" s="462"/>
      <c r="D4" s="9"/>
      <c r="E4" s="9"/>
      <c r="F4" s="9"/>
      <c r="G4" s="9"/>
      <c r="H4" s="9"/>
      <c r="I4" s="9"/>
      <c r="J4" s="9"/>
      <c r="K4" s="9">
        <f>SUM(الجدول145[[#This Row],[عدد الذكور]:[عدد الأناث]])</f>
        <v>0</v>
      </c>
      <c r="L4" s="120">
        <f>IF(AND(الجدول145[[#This Row],[البرنامج]]="PLW",الجدول145[[#This Row],[نوع الجلسة]]=$BZ$2),1,0)</f>
        <v>0</v>
      </c>
      <c r="M4" s="120">
        <f>IF(AND(الجدول145[[#This Row],[نوع الجلسة]]=$BZ$2,الجدول145[[#This Row],[البرنامج]]="PLW"),الجدول145[[#This Row],[عدد الذكور]],0)</f>
        <v>0</v>
      </c>
      <c r="N4" s="120">
        <f>IF(AND(الجدول145[[#This Row],[نوع الجلسة]]=$BZ$2,الجدول145[[#This Row],[البرنامج]]="PLW"),الجدول145[[#This Row],[عدد الأناث]],0)</f>
        <v>0</v>
      </c>
      <c r="O4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4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4" s="123">
        <f>IF(AND(الجدول145[[#This Row],[البرنامج]]="OOSCH",الجدول145[[#This Row],[نوع الجلسة]]=$BZ$2),1,0)</f>
        <v>0</v>
      </c>
      <c r="R4" s="123">
        <f>IF(AND(الجدول145[[#This Row],[البرنامج]]="OOSCH",الجدول145[[#This Row],[نوع الجلسة]]=$BZ$2),الجدول145[[#This Row],[عدد الذكور]],0)</f>
        <v>0</v>
      </c>
      <c r="S4" s="123">
        <f>IF(AND(الجدول145[[#This Row],[البرنامج]]="OOSCH",الجدول145[[#This Row],[نوع الجلسة]]=$BZ$2),الجدول145[[#This Row],[عدد الأناث]],0)</f>
        <v>0</v>
      </c>
      <c r="T4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4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4" s="124">
        <f>IF(AND(الجدول145[[#This Row],[البرنامج]]="PLW",الجدول145[[#This Row],[نوع الجلسة]]="معلومات صحة تغذوية للسيدة الحامل"),1,0)</f>
        <v>0</v>
      </c>
      <c r="W4" s="124">
        <f>IF(AND(الجدول145[[#This Row],[نوع الجلسة]]=$BZ$3,الجدول145[[#This Row],[البرنامج]]="PLW"),الجدول145[[#This Row],[عدد الذكور]],0)</f>
        <v>0</v>
      </c>
      <c r="X4" s="124">
        <f>IF(AND(الجدول145[[#This Row],[نوع الجلسة]]=$BZ$3,الجدول145[[#This Row],[البرنامج]]="PLW"),الجدول145[[#This Row],[عدد الأناث]],0)</f>
        <v>0</v>
      </c>
      <c r="Y4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4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4" s="113">
        <f>IF(AND(الجدول145[[#This Row],[البرنامج]]="PLW",الجدول145[[#This Row],[نوع الجلسة]]=$BZ$4),1,0)</f>
        <v>0</v>
      </c>
      <c r="AB4" s="113">
        <f>IF(AND(الجدول145[[#This Row],[البرنامج]]="PLW",الجدول145[[#This Row],[نوع الجلسة]]=$BZ$4),الجدول145[[#This Row],[عدد الذكور]],0)</f>
        <v>0</v>
      </c>
      <c r="AC4" s="113">
        <f>IF(AND(الجدول145[[#This Row],[البرنامج]]="PLW",الجدول145[[#This Row],[نوع الجلسة]]=$BZ$4),الجدول145[[#This Row],[عدد الأناث]],0)</f>
        <v>0</v>
      </c>
      <c r="AD4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4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4" s="125">
        <f>IF(AND(الجدول145[[#This Row],[البرنامج]]="OOSCH",الجدول145[[#This Row],[نوع الجلسة]]=$BZ$7),1,0)</f>
        <v>0</v>
      </c>
      <c r="AG4" s="125">
        <f>IF(AND(الجدول145[[#This Row],[البرنامج]]="OOSCH",الجدول145[[#This Row],[نوع الجلسة]]=$BZ$7),الجدول145[[#This Row],[عدد الذكور]],0)</f>
        <v>0</v>
      </c>
      <c r="AH4" s="125">
        <f>IF(AND(الجدول145[[#This Row],[البرنامج]]="OOSCH",الجدول145[[#This Row],[نوع الجلسة]]=$BZ$7),الجدول145[[#This Row],[عدد الأناث]],0)</f>
        <v>0</v>
      </c>
      <c r="AI4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4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4" s="126">
        <f>IF(AND(الجدول145[[#This Row],[البرنامج]]="OOSCH",الجدول145[[#This Row],[نوع الجلسة]]=$BZ$4),1,0)</f>
        <v>0</v>
      </c>
      <c r="AL4" s="126">
        <f>IF(AND(الجدول145[[#This Row],[البرنامج]]="OOSCH",الجدول145[[#This Row],[نوع الجلسة]]=$BZ$4),الجدول145[[#This Row],[عدد الذكور]],0)</f>
        <v>0</v>
      </c>
      <c r="AM4" s="126">
        <f>IF(AND(الجدول145[[#This Row],[البرنامج]]="OOSCH",الجدول145[[#This Row],[نوع الجلسة]]=$BZ$4),الجدول145[[#This Row],[عدد الأناث]],0)</f>
        <v>0</v>
      </c>
      <c r="AN4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4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4" s="123">
        <f>IF(AND(الجدول145[[#This Row],[نوع الجلسة]]=$BZ$5,الجدول145[[#This Row],[البرنامج]]=$BX$3),1,0)</f>
        <v>0</v>
      </c>
      <c r="AQ4" s="123">
        <f>IF(AND(الجدول145[[#This Row],[البرنامج]]="PLW",الجدول145[[#This Row],[نوع الجلسة]]=$BZ$5),الجدول145[[#This Row],[عدد الذكور]],0)</f>
        <v>0</v>
      </c>
      <c r="AR4" s="123">
        <f>IF(AND(الجدول145[[#This Row],[البرنامج]]="PLW",الجدول145[[#This Row],[نوع الجلسة]]=$BZ$5),الجدول145[[#This Row],[عدد الأناث]],0)</f>
        <v>0</v>
      </c>
      <c r="AS4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4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4" s="127">
        <f>IF(AND(الجدول145[[#This Row],[نوع الجلسة]]=$BZ$5,الجدول145[[#This Row],[البرنامج]]=$BX$2),1,0)</f>
        <v>0</v>
      </c>
      <c r="AV4" s="127">
        <f>IF(AND(الجدول145[[#This Row],[البرنامج]]="OOSCH",الجدول145[[#This Row],[نوع الجلسة]]=$BZ$5),الجدول145[[#This Row],[عدد الذكور]],0)</f>
        <v>0</v>
      </c>
      <c r="AW4" s="127">
        <f>IF(AND(الجدول145[[#This Row],[البرنامج]]="OOSCH",الجدول145[[#This Row],[نوع الجلسة]]=$BZ$5),الجدول145[[#This Row],[عدد الأناث]],0)</f>
        <v>0</v>
      </c>
      <c r="AX4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4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4" s="121">
        <f>IF(AND(الجدول145[[#This Row],[نوع الجلسة]]=$BZ$6,الجدول145[[#This Row],[البرنامج]]=$BX$3),1,0)</f>
        <v>0</v>
      </c>
      <c r="BA4" s="121">
        <f>IF(AND(الجدول145[[#This Row],[البرنامج]]="PLW",الجدول145[[#This Row],[نوع الجلسة]]=$BZ$6),الجدول145[[#This Row],[عدد الذكور]],0)</f>
        <v>0</v>
      </c>
      <c r="BB4" s="121">
        <f>IF(AND(الجدول145[[#This Row],[البرنامج]]="PLW",الجدول145[[#This Row],[نوع الجلسة]]=$BZ$6),الجدول145[[#This Row],[عدد الأناث]],0)</f>
        <v>0</v>
      </c>
      <c r="BC4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4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4" s="122">
        <f>IF(AND(الجدول145[[#This Row],[نوع الجلسة]]=$BZ$6,الجدول145[[#This Row],[البرنامج]]=$BX$2),1,0)</f>
        <v>0</v>
      </c>
      <c r="BF4" s="122">
        <f>IF(AND(الجدول145[[#This Row],[البرنامج]]="OOSCH",الجدول145[[#This Row],[نوع الجلسة]]=$BZ$6),الجدول145[[#This Row],[عدد الذكور]],0)</f>
        <v>0</v>
      </c>
      <c r="BG4" s="122">
        <f>IF(AND(الجدول145[[#This Row],[البرنامج]]="OOSCH",الجدول145[[#This Row],[نوع الجلسة]]=$BZ$6),الجدول145[[#This Row],[عدد الأناث]],0)</f>
        <v>0</v>
      </c>
      <c r="BH4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4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  <c r="BY4" s="145" t="s">
        <v>233</v>
      </c>
      <c r="BZ4" s="145" t="s">
        <v>233</v>
      </c>
      <c r="CA4" s="145" t="s">
        <v>233</v>
      </c>
      <c r="CB4" s="145"/>
    </row>
    <row r="5" spans="1:80" ht="31.5" customHeight="1" thickBot="1" x14ac:dyDescent="0.3">
      <c r="A5" s="463"/>
      <c r="B5" s="464"/>
      <c r="D5" s="9"/>
      <c r="E5" s="9"/>
      <c r="F5" s="9"/>
      <c r="G5" s="9"/>
      <c r="H5" s="9"/>
      <c r="I5" s="9"/>
      <c r="J5" s="9"/>
      <c r="K5" s="9">
        <f>SUM(الجدول145[[#This Row],[عدد الذكور]:[عدد الأناث]])</f>
        <v>0</v>
      </c>
      <c r="L5" s="120">
        <f>IF(AND(الجدول145[[#This Row],[البرنامج]]="PLW",الجدول145[[#This Row],[نوع الجلسة]]=$BZ$2),1,0)</f>
        <v>0</v>
      </c>
      <c r="M5" s="120">
        <f>IF(AND(الجدول145[[#This Row],[نوع الجلسة]]=$BZ$2,الجدول145[[#This Row],[البرنامج]]="PLW"),الجدول145[[#This Row],[عدد الذكور]],0)</f>
        <v>0</v>
      </c>
      <c r="N5" s="120">
        <f>IF(AND(الجدول145[[#This Row],[نوع الجلسة]]=$BZ$2,الجدول145[[#This Row],[البرنامج]]="PLW"),الجدول145[[#This Row],[عدد الأناث]],0)</f>
        <v>0</v>
      </c>
      <c r="O5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5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5" s="123">
        <f>IF(AND(الجدول145[[#This Row],[البرنامج]]="OOSCH",الجدول145[[#This Row],[نوع الجلسة]]=$BZ$2),1,0)</f>
        <v>0</v>
      </c>
      <c r="R5" s="123">
        <f>IF(AND(الجدول145[[#This Row],[البرنامج]]="OOSCH",الجدول145[[#This Row],[نوع الجلسة]]=$BZ$2),الجدول145[[#This Row],[عدد الذكور]],0)</f>
        <v>0</v>
      </c>
      <c r="S5" s="123">
        <f>IF(AND(الجدول145[[#This Row],[البرنامج]]="OOSCH",الجدول145[[#This Row],[نوع الجلسة]]=$BZ$2),الجدول145[[#This Row],[عدد الأناث]],0)</f>
        <v>0</v>
      </c>
      <c r="T5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5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5" s="124">
        <f>IF(AND(الجدول145[[#This Row],[البرنامج]]="PLW",الجدول145[[#This Row],[نوع الجلسة]]="معلومات صحة تغذوية للسيدة الحامل"),1,0)</f>
        <v>0</v>
      </c>
      <c r="W5" s="124">
        <f>IF(AND(الجدول145[[#This Row],[نوع الجلسة]]=$BZ$3,الجدول145[[#This Row],[البرنامج]]="PLW"),الجدول145[[#This Row],[عدد الذكور]],0)</f>
        <v>0</v>
      </c>
      <c r="X5" s="124">
        <f>IF(AND(الجدول145[[#This Row],[نوع الجلسة]]=$BZ$3,الجدول145[[#This Row],[البرنامج]]="PLW"),الجدول145[[#This Row],[عدد الأناث]],0)</f>
        <v>0</v>
      </c>
      <c r="Y5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5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5" s="113">
        <f>IF(AND(الجدول145[[#This Row],[البرنامج]]="PLW",الجدول145[[#This Row],[نوع الجلسة]]=$BZ$4),1,0)</f>
        <v>0</v>
      </c>
      <c r="AB5" s="113">
        <f>IF(AND(الجدول145[[#This Row],[البرنامج]]="PLW",الجدول145[[#This Row],[نوع الجلسة]]=$BZ$4),الجدول145[[#This Row],[عدد الذكور]],0)</f>
        <v>0</v>
      </c>
      <c r="AC5" s="113">
        <f>IF(AND(الجدول145[[#This Row],[البرنامج]]="PLW",الجدول145[[#This Row],[نوع الجلسة]]=$BZ$4),الجدول145[[#This Row],[عدد الأناث]],0)</f>
        <v>0</v>
      </c>
      <c r="AD5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5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5" s="125">
        <f>IF(AND(الجدول145[[#This Row],[البرنامج]]="OOSCH",الجدول145[[#This Row],[نوع الجلسة]]=$BZ$7),1,0)</f>
        <v>0</v>
      </c>
      <c r="AG5" s="125">
        <f>IF(AND(الجدول145[[#This Row],[البرنامج]]="OOSCH",الجدول145[[#This Row],[نوع الجلسة]]=$BZ$7),الجدول145[[#This Row],[عدد الذكور]],0)</f>
        <v>0</v>
      </c>
      <c r="AH5" s="125">
        <f>IF(AND(الجدول145[[#This Row],[البرنامج]]="OOSCH",الجدول145[[#This Row],[نوع الجلسة]]=$BZ$7),الجدول145[[#This Row],[عدد الأناث]],0)</f>
        <v>0</v>
      </c>
      <c r="AI5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5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5" s="126">
        <f>IF(AND(الجدول145[[#This Row],[البرنامج]]="OOSCH",الجدول145[[#This Row],[نوع الجلسة]]=$BZ$4),1,0)</f>
        <v>0</v>
      </c>
      <c r="AL5" s="126">
        <f>IF(AND(الجدول145[[#This Row],[البرنامج]]="OOSCH",الجدول145[[#This Row],[نوع الجلسة]]=$BZ$4),الجدول145[[#This Row],[عدد الذكور]],0)</f>
        <v>0</v>
      </c>
      <c r="AM5" s="126">
        <f>IF(AND(الجدول145[[#This Row],[البرنامج]]="OOSCH",الجدول145[[#This Row],[نوع الجلسة]]=$BZ$4),الجدول145[[#This Row],[عدد الأناث]],0)</f>
        <v>0</v>
      </c>
      <c r="AN5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5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5" s="123">
        <f>IF(AND(الجدول145[[#This Row],[نوع الجلسة]]=$BZ$5,الجدول145[[#This Row],[البرنامج]]=$BX$3),1,0)</f>
        <v>0</v>
      </c>
      <c r="AQ5" s="123">
        <f>IF(AND(الجدول145[[#This Row],[البرنامج]]="PLW",الجدول145[[#This Row],[نوع الجلسة]]=$BZ$5),الجدول145[[#This Row],[عدد الذكور]],0)</f>
        <v>0</v>
      </c>
      <c r="AR5" s="123">
        <f>IF(AND(الجدول145[[#This Row],[البرنامج]]="PLW",الجدول145[[#This Row],[نوع الجلسة]]=$BZ$5),الجدول145[[#This Row],[عدد الأناث]],0)</f>
        <v>0</v>
      </c>
      <c r="AS5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5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5" s="127">
        <f>IF(AND(الجدول145[[#This Row],[نوع الجلسة]]=$BZ$5,الجدول145[[#This Row],[البرنامج]]=$BX$2),1,0)</f>
        <v>0</v>
      </c>
      <c r="AV5" s="127">
        <f>IF(AND(الجدول145[[#This Row],[البرنامج]]="OOSCH",الجدول145[[#This Row],[نوع الجلسة]]=$BZ$5),الجدول145[[#This Row],[عدد الذكور]],0)</f>
        <v>0</v>
      </c>
      <c r="AW5" s="127">
        <f>IF(AND(الجدول145[[#This Row],[البرنامج]]="OOSCH",الجدول145[[#This Row],[نوع الجلسة]]=$BZ$5),الجدول145[[#This Row],[عدد الأناث]],0)</f>
        <v>0</v>
      </c>
      <c r="AX5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5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5" s="121">
        <f>IF(AND(الجدول145[[#This Row],[نوع الجلسة]]=$BZ$6,الجدول145[[#This Row],[البرنامج]]=$BX$3),1,0)</f>
        <v>0</v>
      </c>
      <c r="BA5" s="121">
        <f>IF(AND(الجدول145[[#This Row],[البرنامج]]="PLW",الجدول145[[#This Row],[نوع الجلسة]]=$BZ$6),الجدول145[[#This Row],[عدد الذكور]],0)</f>
        <v>0</v>
      </c>
      <c r="BB5" s="121">
        <f>IF(AND(الجدول145[[#This Row],[البرنامج]]="PLW",الجدول145[[#This Row],[نوع الجلسة]]=$BZ$6),الجدول145[[#This Row],[عدد الأناث]],0)</f>
        <v>0</v>
      </c>
      <c r="BC5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5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5" s="122">
        <f>IF(AND(الجدول145[[#This Row],[نوع الجلسة]]=$BZ$6,الجدول145[[#This Row],[البرنامج]]=$BX$2),1,0)</f>
        <v>0</v>
      </c>
      <c r="BF5" s="122">
        <f>IF(AND(الجدول145[[#This Row],[البرنامج]]="OOSCH",الجدول145[[#This Row],[نوع الجلسة]]=$BZ$6),الجدول145[[#This Row],[عدد الذكور]],0)</f>
        <v>0</v>
      </c>
      <c r="BG5" s="122">
        <f>IF(AND(الجدول145[[#This Row],[البرنامج]]="OOSCH",الجدول145[[#This Row],[نوع الجلسة]]=$BZ$6),الجدول145[[#This Row],[عدد الأناث]],0)</f>
        <v>0</v>
      </c>
      <c r="BH5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5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  <c r="BY5" s="145" t="s">
        <v>32</v>
      </c>
      <c r="BZ5" s="145" t="s">
        <v>32</v>
      </c>
      <c r="CA5" s="145" t="s">
        <v>32</v>
      </c>
      <c r="CB5" s="145"/>
    </row>
    <row r="6" spans="1:80" ht="31.5" customHeight="1" x14ac:dyDescent="0.25">
      <c r="B6" s="156"/>
      <c r="D6" s="9"/>
      <c r="E6" s="9"/>
      <c r="F6" s="9"/>
      <c r="G6" s="9"/>
      <c r="H6" s="9"/>
      <c r="I6" s="9"/>
      <c r="J6" s="9"/>
      <c r="K6" s="9">
        <f>SUM(الجدول145[[#This Row],[عدد الذكور]:[عدد الأناث]])</f>
        <v>0</v>
      </c>
      <c r="L6" s="120">
        <f>IF(AND(الجدول145[[#This Row],[البرنامج]]="PLW",الجدول145[[#This Row],[نوع الجلسة]]=$BZ$2),1,0)</f>
        <v>0</v>
      </c>
      <c r="M6" s="120">
        <f>IF(AND(الجدول145[[#This Row],[نوع الجلسة]]=$BZ$2,الجدول145[[#This Row],[البرنامج]]="PLW"),الجدول145[[#This Row],[عدد الذكور]],0)</f>
        <v>0</v>
      </c>
      <c r="N6" s="120">
        <f>IF(AND(الجدول145[[#This Row],[نوع الجلسة]]=$BZ$2,الجدول145[[#This Row],[البرنامج]]="PLW"),الجدول145[[#This Row],[عدد الأناث]],0)</f>
        <v>0</v>
      </c>
      <c r="O6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6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6" s="123">
        <f>IF(AND(الجدول145[[#This Row],[البرنامج]]="OOSCH",الجدول145[[#This Row],[نوع الجلسة]]=$BZ$2),1,0)</f>
        <v>0</v>
      </c>
      <c r="R6" s="123">
        <f>IF(AND(الجدول145[[#This Row],[البرنامج]]="OOSCH",الجدول145[[#This Row],[نوع الجلسة]]=$BZ$2),الجدول145[[#This Row],[عدد الذكور]],0)</f>
        <v>0</v>
      </c>
      <c r="S6" s="123">
        <f>IF(AND(الجدول145[[#This Row],[البرنامج]]="OOSCH",الجدول145[[#This Row],[نوع الجلسة]]=$BZ$2),الجدول145[[#This Row],[عدد الأناث]],0)</f>
        <v>0</v>
      </c>
      <c r="T6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6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6" s="124">
        <f>IF(AND(الجدول145[[#This Row],[البرنامج]]="PLW",الجدول145[[#This Row],[نوع الجلسة]]="معلومات صحة تغذوية للسيدة الحامل"),1,0)</f>
        <v>0</v>
      </c>
      <c r="W6" s="124">
        <f>IF(AND(الجدول145[[#This Row],[نوع الجلسة]]=$BZ$3,الجدول145[[#This Row],[البرنامج]]="PLW"),الجدول145[[#This Row],[عدد الذكور]],0)</f>
        <v>0</v>
      </c>
      <c r="X6" s="124">
        <f>IF(AND(الجدول145[[#This Row],[نوع الجلسة]]=$BZ$3,الجدول145[[#This Row],[البرنامج]]="PLW"),الجدول145[[#This Row],[عدد الأناث]],0)</f>
        <v>0</v>
      </c>
      <c r="Y6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6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6" s="113">
        <f>IF(AND(الجدول145[[#This Row],[البرنامج]]="PLW",الجدول145[[#This Row],[نوع الجلسة]]=$BZ$4),1,0)</f>
        <v>0</v>
      </c>
      <c r="AB6" s="113">
        <f>IF(AND(الجدول145[[#This Row],[البرنامج]]="PLW",الجدول145[[#This Row],[نوع الجلسة]]=$BZ$4),الجدول145[[#This Row],[عدد الذكور]],0)</f>
        <v>0</v>
      </c>
      <c r="AC6" s="113">
        <f>IF(AND(الجدول145[[#This Row],[البرنامج]]="PLW",الجدول145[[#This Row],[نوع الجلسة]]=$BZ$4),الجدول145[[#This Row],[عدد الأناث]],0)</f>
        <v>0</v>
      </c>
      <c r="AD6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6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6" s="125">
        <f>IF(AND(الجدول145[[#This Row],[البرنامج]]="OOSCH",الجدول145[[#This Row],[نوع الجلسة]]=$BZ$7),1,0)</f>
        <v>0</v>
      </c>
      <c r="AG6" s="125">
        <f>IF(AND(الجدول145[[#This Row],[البرنامج]]="OOSCH",الجدول145[[#This Row],[نوع الجلسة]]=$BZ$7),الجدول145[[#This Row],[عدد الذكور]],0)</f>
        <v>0</v>
      </c>
      <c r="AH6" s="125">
        <f>IF(AND(الجدول145[[#This Row],[البرنامج]]="OOSCH",الجدول145[[#This Row],[نوع الجلسة]]=$BZ$7),الجدول145[[#This Row],[عدد الأناث]],0)</f>
        <v>0</v>
      </c>
      <c r="AI6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6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6" s="126">
        <f>IF(AND(الجدول145[[#This Row],[البرنامج]]="OOSCH",الجدول145[[#This Row],[نوع الجلسة]]=$BZ$4),1,0)</f>
        <v>0</v>
      </c>
      <c r="AL6" s="126">
        <f>IF(AND(الجدول145[[#This Row],[البرنامج]]="OOSCH",الجدول145[[#This Row],[نوع الجلسة]]=$BZ$4),الجدول145[[#This Row],[عدد الذكور]],0)</f>
        <v>0</v>
      </c>
      <c r="AM6" s="126">
        <f>IF(AND(الجدول145[[#This Row],[البرنامج]]="OOSCH",الجدول145[[#This Row],[نوع الجلسة]]=$BZ$4),الجدول145[[#This Row],[عدد الأناث]],0)</f>
        <v>0</v>
      </c>
      <c r="AN6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6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6" s="123">
        <f>IF(AND(الجدول145[[#This Row],[نوع الجلسة]]=$BZ$5,الجدول145[[#This Row],[البرنامج]]=$BX$3),1,0)</f>
        <v>0</v>
      </c>
      <c r="AQ6" s="123">
        <f>IF(AND(الجدول145[[#This Row],[البرنامج]]="PLW",الجدول145[[#This Row],[نوع الجلسة]]=$BZ$5),الجدول145[[#This Row],[عدد الذكور]],0)</f>
        <v>0</v>
      </c>
      <c r="AR6" s="123">
        <f>IF(AND(الجدول145[[#This Row],[البرنامج]]="PLW",الجدول145[[#This Row],[نوع الجلسة]]=$BZ$5),الجدول145[[#This Row],[عدد الأناث]],0)</f>
        <v>0</v>
      </c>
      <c r="AS6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6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6" s="127">
        <f>IF(AND(الجدول145[[#This Row],[نوع الجلسة]]=$BZ$5,الجدول145[[#This Row],[البرنامج]]=$BX$2),1,0)</f>
        <v>0</v>
      </c>
      <c r="AV6" s="127">
        <f>IF(AND(الجدول145[[#This Row],[البرنامج]]="OOSCH",الجدول145[[#This Row],[نوع الجلسة]]=$BZ$5),الجدول145[[#This Row],[عدد الذكور]],0)</f>
        <v>0</v>
      </c>
      <c r="AW6" s="127">
        <f>IF(AND(الجدول145[[#This Row],[البرنامج]]="OOSCH",الجدول145[[#This Row],[نوع الجلسة]]=$BZ$5),الجدول145[[#This Row],[عدد الأناث]],0)</f>
        <v>0</v>
      </c>
      <c r="AX6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6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6" s="121">
        <f>IF(AND(الجدول145[[#This Row],[نوع الجلسة]]=$BZ$6,الجدول145[[#This Row],[البرنامج]]=$BX$3),1,0)</f>
        <v>0</v>
      </c>
      <c r="BA6" s="121">
        <f>IF(AND(الجدول145[[#This Row],[البرنامج]]="PLW",الجدول145[[#This Row],[نوع الجلسة]]=$BZ$6),الجدول145[[#This Row],[عدد الذكور]],0)</f>
        <v>0</v>
      </c>
      <c r="BB6" s="121">
        <f>IF(AND(الجدول145[[#This Row],[البرنامج]]="PLW",الجدول145[[#This Row],[نوع الجلسة]]=$BZ$6),الجدول145[[#This Row],[عدد الأناث]],0)</f>
        <v>0</v>
      </c>
      <c r="BC6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6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6" s="122">
        <f>IF(AND(الجدول145[[#This Row],[نوع الجلسة]]=$BZ$6,الجدول145[[#This Row],[البرنامج]]=$BX$2),1,0)</f>
        <v>0</v>
      </c>
      <c r="BF6" s="122">
        <f>IF(AND(الجدول145[[#This Row],[البرنامج]]="OOSCH",الجدول145[[#This Row],[نوع الجلسة]]=$BZ$6),الجدول145[[#This Row],[عدد الذكور]],0)</f>
        <v>0</v>
      </c>
      <c r="BG6" s="122">
        <f>IF(AND(الجدول145[[#This Row],[البرنامج]]="OOSCH",الجدول145[[#This Row],[نوع الجلسة]]=$BZ$6),الجدول145[[#This Row],[عدد الأناث]],0)</f>
        <v>0</v>
      </c>
      <c r="BH6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6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  <c r="BY6" s="145" t="s">
        <v>234</v>
      </c>
      <c r="BZ6" s="145" t="s">
        <v>234</v>
      </c>
      <c r="CA6" s="145" t="s">
        <v>234</v>
      </c>
      <c r="CB6" s="145"/>
    </row>
    <row r="7" spans="1:80" ht="31.5" customHeight="1" x14ac:dyDescent="0.25">
      <c r="B7" s="114"/>
      <c r="D7" s="9"/>
      <c r="E7" s="9"/>
      <c r="F7" s="9"/>
      <c r="G7" s="9"/>
      <c r="H7" s="9"/>
      <c r="I7" s="9"/>
      <c r="J7" s="9"/>
      <c r="K7" s="9">
        <f>SUM(الجدول145[[#This Row],[عدد الذكور]:[عدد الأناث]])</f>
        <v>0</v>
      </c>
      <c r="L7" s="120">
        <f>IF(AND(الجدول145[[#This Row],[البرنامج]]="PLW",الجدول145[[#This Row],[نوع الجلسة]]=$BZ$2),1,0)</f>
        <v>0</v>
      </c>
      <c r="M7" s="120">
        <f>IF(AND(الجدول145[[#This Row],[نوع الجلسة]]=$BZ$2,الجدول145[[#This Row],[البرنامج]]="PLW"),الجدول145[[#This Row],[عدد الذكور]],0)</f>
        <v>0</v>
      </c>
      <c r="N7" s="120">
        <f>IF(AND(الجدول145[[#This Row],[نوع الجلسة]]=$BZ$2,الجدول145[[#This Row],[البرنامج]]="PLW"),الجدول145[[#This Row],[عدد الأناث]],0)</f>
        <v>0</v>
      </c>
      <c r="O7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7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7" s="123">
        <f>IF(AND(الجدول145[[#This Row],[البرنامج]]="OOSCH",الجدول145[[#This Row],[نوع الجلسة]]=$BZ$2),1,0)</f>
        <v>0</v>
      </c>
      <c r="R7" s="123">
        <f>IF(AND(الجدول145[[#This Row],[البرنامج]]="OOSCH",الجدول145[[#This Row],[نوع الجلسة]]=$BZ$2),الجدول145[[#This Row],[عدد الذكور]],0)</f>
        <v>0</v>
      </c>
      <c r="S7" s="123">
        <f>IF(AND(الجدول145[[#This Row],[البرنامج]]="OOSCH",الجدول145[[#This Row],[نوع الجلسة]]=$BZ$2),الجدول145[[#This Row],[عدد الأناث]],0)</f>
        <v>0</v>
      </c>
      <c r="T7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7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7" s="124">
        <f>IF(AND(الجدول145[[#This Row],[البرنامج]]="PLW",الجدول145[[#This Row],[نوع الجلسة]]="معلومات صحة تغذوية للسيدة الحامل"),1,0)</f>
        <v>0</v>
      </c>
      <c r="W7" s="124">
        <f>IF(AND(الجدول145[[#This Row],[نوع الجلسة]]=$BZ$3,الجدول145[[#This Row],[البرنامج]]="PLW"),الجدول145[[#This Row],[عدد الذكور]],0)</f>
        <v>0</v>
      </c>
      <c r="X7" s="124">
        <f>IF(AND(الجدول145[[#This Row],[نوع الجلسة]]=$BZ$3,الجدول145[[#This Row],[البرنامج]]="PLW"),الجدول145[[#This Row],[عدد الأناث]],0)</f>
        <v>0</v>
      </c>
      <c r="Y7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7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7" s="113">
        <f>IF(AND(الجدول145[[#This Row],[البرنامج]]="PLW",الجدول145[[#This Row],[نوع الجلسة]]=$BZ$4),1,0)</f>
        <v>0</v>
      </c>
      <c r="AB7" s="113">
        <f>IF(AND(الجدول145[[#This Row],[البرنامج]]="PLW",الجدول145[[#This Row],[نوع الجلسة]]=$BZ$4),الجدول145[[#This Row],[عدد الذكور]],0)</f>
        <v>0</v>
      </c>
      <c r="AC7" s="113">
        <f>IF(AND(الجدول145[[#This Row],[البرنامج]]="PLW",الجدول145[[#This Row],[نوع الجلسة]]=$BZ$4),الجدول145[[#This Row],[عدد الأناث]],0)</f>
        <v>0</v>
      </c>
      <c r="AD7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7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7" s="125">
        <f>IF(AND(الجدول145[[#This Row],[البرنامج]]="OOSCH",الجدول145[[#This Row],[نوع الجلسة]]=$BZ$7),1,0)</f>
        <v>0</v>
      </c>
      <c r="AG7" s="125">
        <f>IF(AND(الجدول145[[#This Row],[البرنامج]]="OOSCH",الجدول145[[#This Row],[نوع الجلسة]]=$BZ$7),الجدول145[[#This Row],[عدد الذكور]],0)</f>
        <v>0</v>
      </c>
      <c r="AH7" s="125">
        <f>IF(AND(الجدول145[[#This Row],[البرنامج]]="OOSCH",الجدول145[[#This Row],[نوع الجلسة]]=$BZ$7),الجدول145[[#This Row],[عدد الأناث]],0)</f>
        <v>0</v>
      </c>
      <c r="AI7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7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7" s="126">
        <f>IF(AND(الجدول145[[#This Row],[البرنامج]]="OOSCH",الجدول145[[#This Row],[نوع الجلسة]]=$BZ$4),1,0)</f>
        <v>0</v>
      </c>
      <c r="AL7" s="126">
        <f>IF(AND(الجدول145[[#This Row],[البرنامج]]="OOSCH",الجدول145[[#This Row],[نوع الجلسة]]=$BZ$4),الجدول145[[#This Row],[عدد الذكور]],0)</f>
        <v>0</v>
      </c>
      <c r="AM7" s="126">
        <f>IF(AND(الجدول145[[#This Row],[البرنامج]]="OOSCH",الجدول145[[#This Row],[نوع الجلسة]]=$BZ$4),الجدول145[[#This Row],[عدد الأناث]],0)</f>
        <v>0</v>
      </c>
      <c r="AN7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7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7" s="123">
        <f>IF(AND(الجدول145[[#This Row],[نوع الجلسة]]=$BZ$5,الجدول145[[#This Row],[البرنامج]]=$BX$3),1,0)</f>
        <v>0</v>
      </c>
      <c r="AQ7" s="123">
        <f>IF(AND(الجدول145[[#This Row],[البرنامج]]="PLW",الجدول145[[#This Row],[نوع الجلسة]]=$BZ$5),الجدول145[[#This Row],[عدد الذكور]],0)</f>
        <v>0</v>
      </c>
      <c r="AR7" s="123">
        <f>IF(AND(الجدول145[[#This Row],[البرنامج]]="PLW",الجدول145[[#This Row],[نوع الجلسة]]=$BZ$5),الجدول145[[#This Row],[عدد الأناث]],0)</f>
        <v>0</v>
      </c>
      <c r="AS7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7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7" s="127">
        <f>IF(AND(الجدول145[[#This Row],[نوع الجلسة]]=$BZ$5,الجدول145[[#This Row],[البرنامج]]=$BX$2),1,0)</f>
        <v>0</v>
      </c>
      <c r="AV7" s="127">
        <f>IF(AND(الجدول145[[#This Row],[البرنامج]]="OOSCH",الجدول145[[#This Row],[نوع الجلسة]]=$BZ$5),الجدول145[[#This Row],[عدد الذكور]],0)</f>
        <v>0</v>
      </c>
      <c r="AW7" s="127">
        <f>IF(AND(الجدول145[[#This Row],[البرنامج]]="OOSCH",الجدول145[[#This Row],[نوع الجلسة]]=$BZ$5),الجدول145[[#This Row],[عدد الأناث]],0)</f>
        <v>0</v>
      </c>
      <c r="AX7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7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7" s="121">
        <f>IF(AND(الجدول145[[#This Row],[نوع الجلسة]]=$BZ$6,الجدول145[[#This Row],[البرنامج]]=$BX$3),1,0)</f>
        <v>0</v>
      </c>
      <c r="BA7" s="121">
        <f>IF(AND(الجدول145[[#This Row],[البرنامج]]="PLW",الجدول145[[#This Row],[نوع الجلسة]]=$BZ$6),الجدول145[[#This Row],[عدد الذكور]],0)</f>
        <v>0</v>
      </c>
      <c r="BB7" s="121">
        <f>IF(AND(الجدول145[[#This Row],[البرنامج]]="PLW",الجدول145[[#This Row],[نوع الجلسة]]=$BZ$6),الجدول145[[#This Row],[عدد الأناث]],0)</f>
        <v>0</v>
      </c>
      <c r="BC7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7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7" s="122">
        <f>IF(AND(الجدول145[[#This Row],[نوع الجلسة]]=$BZ$6,الجدول145[[#This Row],[البرنامج]]=$BX$2),1,0)</f>
        <v>0</v>
      </c>
      <c r="BF7" s="122">
        <f>IF(AND(الجدول145[[#This Row],[البرنامج]]="OOSCH",الجدول145[[#This Row],[نوع الجلسة]]=$BZ$6),الجدول145[[#This Row],[عدد الذكور]],0)</f>
        <v>0</v>
      </c>
      <c r="BG7" s="122">
        <f>IF(AND(الجدول145[[#This Row],[البرنامج]]="OOSCH",الجدول145[[#This Row],[نوع الجلسة]]=$BZ$6),الجدول145[[#This Row],[عدد الأناث]],0)</f>
        <v>0</v>
      </c>
      <c r="BH7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7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  <c r="BY7" s="145" t="s">
        <v>201</v>
      </c>
      <c r="BZ7" s="145" t="s">
        <v>201</v>
      </c>
      <c r="CA7" s="145" t="s">
        <v>201</v>
      </c>
      <c r="CB7" s="145"/>
    </row>
    <row r="8" spans="1:80" ht="31.5" customHeight="1" x14ac:dyDescent="0.25">
      <c r="D8" s="9"/>
      <c r="E8" s="9"/>
      <c r="F8" s="9"/>
      <c r="G8" s="9"/>
      <c r="H8" s="9"/>
      <c r="I8" s="9"/>
      <c r="J8" s="9"/>
      <c r="K8" s="9">
        <f>SUM(الجدول145[[#This Row],[عدد الذكور]:[عدد الأناث]])</f>
        <v>0</v>
      </c>
      <c r="L8" s="120">
        <f>IF(AND(الجدول145[[#This Row],[البرنامج]]="PLW",الجدول145[[#This Row],[نوع الجلسة]]=$BZ$2),1,0)</f>
        <v>0</v>
      </c>
      <c r="M8" s="120">
        <f>IF(AND(الجدول145[[#This Row],[نوع الجلسة]]=$BZ$2,الجدول145[[#This Row],[البرنامج]]="PLW"),الجدول145[[#This Row],[عدد الذكور]],0)</f>
        <v>0</v>
      </c>
      <c r="N8" s="120">
        <f>IF(AND(الجدول145[[#This Row],[نوع الجلسة]]=$BZ$2,الجدول145[[#This Row],[البرنامج]]="PLW"),الجدول145[[#This Row],[عدد الأناث]],0)</f>
        <v>0</v>
      </c>
      <c r="O8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8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8" s="123">
        <f>IF(AND(الجدول145[[#This Row],[البرنامج]]="OOSCH",الجدول145[[#This Row],[نوع الجلسة]]=$BZ$2),1,0)</f>
        <v>0</v>
      </c>
      <c r="R8" s="123">
        <f>IF(AND(الجدول145[[#This Row],[البرنامج]]="OOSCH",الجدول145[[#This Row],[نوع الجلسة]]=$BZ$2),الجدول145[[#This Row],[عدد الذكور]],0)</f>
        <v>0</v>
      </c>
      <c r="S8" s="123">
        <f>IF(AND(الجدول145[[#This Row],[البرنامج]]="OOSCH",الجدول145[[#This Row],[نوع الجلسة]]=$BZ$2),الجدول145[[#This Row],[عدد الأناث]],0)</f>
        <v>0</v>
      </c>
      <c r="T8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8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8" s="124">
        <f>IF(AND(الجدول145[[#This Row],[البرنامج]]="PLW",الجدول145[[#This Row],[نوع الجلسة]]="معلومات صحة تغذوية للسيدة الحامل"),1,0)</f>
        <v>0</v>
      </c>
      <c r="W8" s="124">
        <f>IF(AND(الجدول145[[#This Row],[نوع الجلسة]]=$BZ$3,الجدول145[[#This Row],[البرنامج]]="PLW"),الجدول145[[#This Row],[عدد الذكور]],0)</f>
        <v>0</v>
      </c>
      <c r="X8" s="124">
        <f>IF(AND(الجدول145[[#This Row],[نوع الجلسة]]=$BZ$3,الجدول145[[#This Row],[البرنامج]]="PLW"),الجدول145[[#This Row],[عدد الأناث]],0)</f>
        <v>0</v>
      </c>
      <c r="Y8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8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8" s="113">
        <f>IF(AND(الجدول145[[#This Row],[البرنامج]]="PLW",الجدول145[[#This Row],[نوع الجلسة]]=$BZ$4),1,0)</f>
        <v>0</v>
      </c>
      <c r="AB8" s="113">
        <f>IF(AND(الجدول145[[#This Row],[البرنامج]]="PLW",الجدول145[[#This Row],[نوع الجلسة]]=$BZ$4),الجدول145[[#This Row],[عدد الذكور]],0)</f>
        <v>0</v>
      </c>
      <c r="AC8" s="113">
        <f>IF(AND(الجدول145[[#This Row],[البرنامج]]="PLW",الجدول145[[#This Row],[نوع الجلسة]]=$BZ$4),الجدول145[[#This Row],[عدد الأناث]],0)</f>
        <v>0</v>
      </c>
      <c r="AD8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8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8" s="125">
        <f>IF(AND(الجدول145[[#This Row],[البرنامج]]="OOSCH",الجدول145[[#This Row],[نوع الجلسة]]=$BZ$7),1,0)</f>
        <v>0</v>
      </c>
      <c r="AG8" s="125">
        <f>IF(AND(الجدول145[[#This Row],[البرنامج]]="OOSCH",الجدول145[[#This Row],[نوع الجلسة]]=$BZ$7),الجدول145[[#This Row],[عدد الذكور]],0)</f>
        <v>0</v>
      </c>
      <c r="AH8" s="125">
        <f>IF(AND(الجدول145[[#This Row],[البرنامج]]="OOSCH",الجدول145[[#This Row],[نوع الجلسة]]=$BZ$7),الجدول145[[#This Row],[عدد الأناث]],0)</f>
        <v>0</v>
      </c>
      <c r="AI8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8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8" s="126">
        <f>IF(AND(الجدول145[[#This Row],[البرنامج]]="OOSCH",الجدول145[[#This Row],[نوع الجلسة]]=$BZ$4),1,0)</f>
        <v>0</v>
      </c>
      <c r="AL8" s="126">
        <f>IF(AND(الجدول145[[#This Row],[البرنامج]]="OOSCH",الجدول145[[#This Row],[نوع الجلسة]]=$BZ$4),الجدول145[[#This Row],[عدد الذكور]],0)</f>
        <v>0</v>
      </c>
      <c r="AM8" s="126">
        <f>IF(AND(الجدول145[[#This Row],[البرنامج]]="OOSCH",الجدول145[[#This Row],[نوع الجلسة]]=$BZ$4),الجدول145[[#This Row],[عدد الأناث]],0)</f>
        <v>0</v>
      </c>
      <c r="AN8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8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8" s="123">
        <f>IF(AND(الجدول145[[#This Row],[نوع الجلسة]]=$BZ$5,الجدول145[[#This Row],[البرنامج]]=$BX$3),1,0)</f>
        <v>0</v>
      </c>
      <c r="AQ8" s="123">
        <f>IF(AND(الجدول145[[#This Row],[البرنامج]]="PLW",الجدول145[[#This Row],[نوع الجلسة]]=$BZ$5),الجدول145[[#This Row],[عدد الذكور]],0)</f>
        <v>0</v>
      </c>
      <c r="AR8" s="123">
        <f>IF(AND(الجدول145[[#This Row],[البرنامج]]="PLW",الجدول145[[#This Row],[نوع الجلسة]]=$BZ$5),الجدول145[[#This Row],[عدد الأناث]],0)</f>
        <v>0</v>
      </c>
      <c r="AS8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8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8" s="127">
        <f>IF(AND(الجدول145[[#This Row],[نوع الجلسة]]=$BZ$5,الجدول145[[#This Row],[البرنامج]]=$BX$2),1,0)</f>
        <v>0</v>
      </c>
      <c r="AV8" s="127">
        <f>IF(AND(الجدول145[[#This Row],[البرنامج]]="OOSCH",الجدول145[[#This Row],[نوع الجلسة]]=$BZ$5),الجدول145[[#This Row],[عدد الذكور]],0)</f>
        <v>0</v>
      </c>
      <c r="AW8" s="127">
        <f>IF(AND(الجدول145[[#This Row],[البرنامج]]="OOSCH",الجدول145[[#This Row],[نوع الجلسة]]=$BZ$5),الجدول145[[#This Row],[عدد الأناث]],0)</f>
        <v>0</v>
      </c>
      <c r="AX8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8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8" s="121">
        <f>IF(AND(الجدول145[[#This Row],[نوع الجلسة]]=$BZ$6,الجدول145[[#This Row],[البرنامج]]=$BX$3),1,0)</f>
        <v>0</v>
      </c>
      <c r="BA8" s="121">
        <f>IF(AND(الجدول145[[#This Row],[البرنامج]]="PLW",الجدول145[[#This Row],[نوع الجلسة]]=$BZ$6),الجدول145[[#This Row],[عدد الذكور]],0)</f>
        <v>0</v>
      </c>
      <c r="BB8" s="121">
        <f>IF(AND(الجدول145[[#This Row],[البرنامج]]="PLW",الجدول145[[#This Row],[نوع الجلسة]]=$BZ$6),الجدول145[[#This Row],[عدد الأناث]],0)</f>
        <v>0</v>
      </c>
      <c r="BC8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8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8" s="122">
        <f>IF(AND(الجدول145[[#This Row],[نوع الجلسة]]=$BZ$6,الجدول145[[#This Row],[البرنامج]]=$BX$2),1,0)</f>
        <v>0</v>
      </c>
      <c r="BF8" s="122">
        <f>IF(AND(الجدول145[[#This Row],[البرنامج]]="OOSCH",الجدول145[[#This Row],[نوع الجلسة]]=$BZ$6),الجدول145[[#This Row],[عدد الذكور]],0)</f>
        <v>0</v>
      </c>
      <c r="BG8" s="122">
        <f>IF(AND(الجدول145[[#This Row],[البرنامج]]="OOSCH",الجدول145[[#This Row],[نوع الجلسة]]=$BZ$6),الجدول145[[#This Row],[عدد الأناث]],0)</f>
        <v>0</v>
      </c>
      <c r="BH8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8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9" spans="1:80" ht="31.5" customHeight="1" x14ac:dyDescent="0.25">
      <c r="D9" s="9"/>
      <c r="E9" s="9"/>
      <c r="F9" s="9"/>
      <c r="G9" s="9"/>
      <c r="H9" s="9"/>
      <c r="I9" s="9"/>
      <c r="J9" s="9"/>
      <c r="K9" s="9">
        <f>SUM(الجدول145[[#This Row],[عدد الذكور]:[عدد الأناث]])</f>
        <v>0</v>
      </c>
      <c r="L9" s="120">
        <f>IF(AND(الجدول145[[#This Row],[البرنامج]]="PLW",الجدول145[[#This Row],[نوع الجلسة]]=$BZ$2),1,0)</f>
        <v>0</v>
      </c>
      <c r="M9" s="120">
        <f>IF(AND(الجدول145[[#This Row],[نوع الجلسة]]=$BZ$2,الجدول145[[#This Row],[البرنامج]]="PLW"),الجدول145[[#This Row],[عدد الذكور]],0)</f>
        <v>0</v>
      </c>
      <c r="N9" s="120">
        <f>IF(AND(الجدول145[[#This Row],[نوع الجلسة]]=$BZ$2,الجدول145[[#This Row],[البرنامج]]="PLW"),الجدول145[[#This Row],[عدد الأناث]],0)</f>
        <v>0</v>
      </c>
      <c r="O9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9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9" s="123">
        <f>IF(AND(الجدول145[[#This Row],[البرنامج]]="OOSCH",الجدول145[[#This Row],[نوع الجلسة]]=$BZ$2),1,0)</f>
        <v>0</v>
      </c>
      <c r="R9" s="123">
        <f>IF(AND(الجدول145[[#This Row],[البرنامج]]="OOSCH",الجدول145[[#This Row],[نوع الجلسة]]=$BZ$2),الجدول145[[#This Row],[عدد الذكور]],0)</f>
        <v>0</v>
      </c>
      <c r="S9" s="123">
        <f>IF(AND(الجدول145[[#This Row],[البرنامج]]="OOSCH",الجدول145[[#This Row],[نوع الجلسة]]=$BZ$2),الجدول145[[#This Row],[عدد الأناث]],0)</f>
        <v>0</v>
      </c>
      <c r="T9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9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9" s="124">
        <f>IF(AND(الجدول145[[#This Row],[البرنامج]]="PLW",الجدول145[[#This Row],[نوع الجلسة]]="معلومات صحة تغذوية للسيدة الحامل"),1,0)</f>
        <v>0</v>
      </c>
      <c r="W9" s="124">
        <f>IF(AND(الجدول145[[#This Row],[نوع الجلسة]]=$BZ$3,الجدول145[[#This Row],[البرنامج]]="PLW"),الجدول145[[#This Row],[عدد الذكور]],0)</f>
        <v>0</v>
      </c>
      <c r="X9" s="124">
        <f>IF(AND(الجدول145[[#This Row],[نوع الجلسة]]=$BZ$3,الجدول145[[#This Row],[البرنامج]]="PLW"),الجدول145[[#This Row],[عدد الأناث]],0)</f>
        <v>0</v>
      </c>
      <c r="Y9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9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9" s="113">
        <f>IF(AND(الجدول145[[#This Row],[البرنامج]]="PLW",الجدول145[[#This Row],[نوع الجلسة]]=$BZ$4),1,0)</f>
        <v>0</v>
      </c>
      <c r="AB9" s="113">
        <f>IF(AND(الجدول145[[#This Row],[البرنامج]]="PLW",الجدول145[[#This Row],[نوع الجلسة]]=$BZ$4),الجدول145[[#This Row],[عدد الذكور]],0)</f>
        <v>0</v>
      </c>
      <c r="AC9" s="113">
        <f>IF(AND(الجدول145[[#This Row],[البرنامج]]="PLW",الجدول145[[#This Row],[نوع الجلسة]]=$BZ$4),الجدول145[[#This Row],[عدد الأناث]],0)</f>
        <v>0</v>
      </c>
      <c r="AD9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9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9" s="125">
        <f>IF(AND(الجدول145[[#This Row],[البرنامج]]="OOSCH",الجدول145[[#This Row],[نوع الجلسة]]=$BZ$7),1,0)</f>
        <v>0</v>
      </c>
      <c r="AG9" s="125">
        <f>IF(AND(الجدول145[[#This Row],[البرنامج]]="OOSCH",الجدول145[[#This Row],[نوع الجلسة]]=$BZ$7),الجدول145[[#This Row],[عدد الذكور]],0)</f>
        <v>0</v>
      </c>
      <c r="AH9" s="125">
        <f>IF(AND(الجدول145[[#This Row],[البرنامج]]="OOSCH",الجدول145[[#This Row],[نوع الجلسة]]=$BZ$7),الجدول145[[#This Row],[عدد الأناث]],0)</f>
        <v>0</v>
      </c>
      <c r="AI9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9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9" s="126">
        <f>IF(AND(الجدول145[[#This Row],[البرنامج]]="OOSCH",الجدول145[[#This Row],[نوع الجلسة]]=$BZ$4),1,0)</f>
        <v>0</v>
      </c>
      <c r="AL9" s="126">
        <f>IF(AND(الجدول145[[#This Row],[البرنامج]]="OOSCH",الجدول145[[#This Row],[نوع الجلسة]]=$BZ$4),الجدول145[[#This Row],[عدد الذكور]],0)</f>
        <v>0</v>
      </c>
      <c r="AM9" s="126">
        <f>IF(AND(الجدول145[[#This Row],[البرنامج]]="OOSCH",الجدول145[[#This Row],[نوع الجلسة]]=$BZ$4),الجدول145[[#This Row],[عدد الأناث]],0)</f>
        <v>0</v>
      </c>
      <c r="AN9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9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9" s="123">
        <f>IF(AND(الجدول145[[#This Row],[نوع الجلسة]]=$BZ$5,الجدول145[[#This Row],[البرنامج]]=$BX$3),1,0)</f>
        <v>0</v>
      </c>
      <c r="AQ9" s="123">
        <f>IF(AND(الجدول145[[#This Row],[البرنامج]]="PLW",الجدول145[[#This Row],[نوع الجلسة]]=$BZ$5),الجدول145[[#This Row],[عدد الذكور]],0)</f>
        <v>0</v>
      </c>
      <c r="AR9" s="123">
        <f>IF(AND(الجدول145[[#This Row],[البرنامج]]="PLW",الجدول145[[#This Row],[نوع الجلسة]]=$BZ$5),الجدول145[[#This Row],[عدد الأناث]],0)</f>
        <v>0</v>
      </c>
      <c r="AS9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9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9" s="127">
        <f>IF(AND(الجدول145[[#This Row],[نوع الجلسة]]=$BZ$5,الجدول145[[#This Row],[البرنامج]]=$BX$2),1,0)</f>
        <v>0</v>
      </c>
      <c r="AV9" s="127">
        <f>IF(AND(الجدول145[[#This Row],[البرنامج]]="OOSCH",الجدول145[[#This Row],[نوع الجلسة]]=$BZ$5),الجدول145[[#This Row],[عدد الذكور]],0)</f>
        <v>0</v>
      </c>
      <c r="AW9" s="127">
        <f>IF(AND(الجدول145[[#This Row],[البرنامج]]="OOSCH",الجدول145[[#This Row],[نوع الجلسة]]=$BZ$5),الجدول145[[#This Row],[عدد الأناث]],0)</f>
        <v>0</v>
      </c>
      <c r="AX9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9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9" s="121">
        <f>IF(AND(الجدول145[[#This Row],[نوع الجلسة]]=$BZ$6,الجدول145[[#This Row],[البرنامج]]=$BX$3),1,0)</f>
        <v>0</v>
      </c>
      <c r="BA9" s="121">
        <f>IF(AND(الجدول145[[#This Row],[البرنامج]]="PLW",الجدول145[[#This Row],[نوع الجلسة]]=$BZ$6),الجدول145[[#This Row],[عدد الذكور]],0)</f>
        <v>0</v>
      </c>
      <c r="BB9" s="121">
        <f>IF(AND(الجدول145[[#This Row],[البرنامج]]="PLW",الجدول145[[#This Row],[نوع الجلسة]]=$BZ$6),الجدول145[[#This Row],[عدد الأناث]],0)</f>
        <v>0</v>
      </c>
      <c r="BC9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9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9" s="122">
        <f>IF(AND(الجدول145[[#This Row],[نوع الجلسة]]=$BZ$6,الجدول145[[#This Row],[البرنامج]]=$BX$2),1,0)</f>
        <v>0</v>
      </c>
      <c r="BF9" s="122">
        <f>IF(AND(الجدول145[[#This Row],[البرنامج]]="OOSCH",الجدول145[[#This Row],[نوع الجلسة]]=$BZ$6),الجدول145[[#This Row],[عدد الذكور]],0)</f>
        <v>0</v>
      </c>
      <c r="BG9" s="122">
        <f>IF(AND(الجدول145[[#This Row],[البرنامج]]="OOSCH",الجدول145[[#This Row],[نوع الجلسة]]=$BZ$6),الجدول145[[#This Row],[عدد الأناث]],0)</f>
        <v>0</v>
      </c>
      <c r="BH9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9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10" spans="1:80" ht="31.5" customHeight="1" x14ac:dyDescent="0.25">
      <c r="D10" s="9"/>
      <c r="E10" s="9"/>
      <c r="F10" s="9"/>
      <c r="G10" s="9"/>
      <c r="H10" s="9"/>
      <c r="I10" s="9"/>
      <c r="J10" s="9"/>
      <c r="K10" s="9">
        <f>SUM(الجدول145[[#This Row],[عدد الذكور]:[عدد الأناث]])</f>
        <v>0</v>
      </c>
      <c r="L10" s="120">
        <f>IF(AND(الجدول145[[#This Row],[البرنامج]]="PLW",الجدول145[[#This Row],[نوع الجلسة]]=$BZ$2),1,0)</f>
        <v>0</v>
      </c>
      <c r="M10" s="120">
        <f>IF(AND(الجدول145[[#This Row],[نوع الجلسة]]=$BZ$2,الجدول145[[#This Row],[البرنامج]]="PLW"),الجدول145[[#This Row],[عدد الذكور]],0)</f>
        <v>0</v>
      </c>
      <c r="N10" s="120">
        <f>IF(AND(الجدول145[[#This Row],[نوع الجلسة]]=$BZ$2,الجدول145[[#This Row],[البرنامج]]="PLW"),الجدول145[[#This Row],[عدد الأناث]],0)</f>
        <v>0</v>
      </c>
      <c r="O10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10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10" s="123">
        <f>IF(AND(الجدول145[[#This Row],[البرنامج]]="OOSCH",الجدول145[[#This Row],[نوع الجلسة]]=$BZ$2),1,0)</f>
        <v>0</v>
      </c>
      <c r="R10" s="123">
        <f>IF(AND(الجدول145[[#This Row],[البرنامج]]="OOSCH",الجدول145[[#This Row],[نوع الجلسة]]=$BZ$2),الجدول145[[#This Row],[عدد الذكور]],0)</f>
        <v>0</v>
      </c>
      <c r="S10" s="123">
        <f>IF(AND(الجدول145[[#This Row],[البرنامج]]="OOSCH",الجدول145[[#This Row],[نوع الجلسة]]=$BZ$2),الجدول145[[#This Row],[عدد الأناث]],0)</f>
        <v>0</v>
      </c>
      <c r="T10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10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10" s="124">
        <f>IF(AND(الجدول145[[#This Row],[البرنامج]]="PLW",الجدول145[[#This Row],[نوع الجلسة]]="معلومات صحة تغذوية للسيدة الحامل"),1,0)</f>
        <v>0</v>
      </c>
      <c r="W10" s="124">
        <f>IF(AND(الجدول145[[#This Row],[نوع الجلسة]]=$BZ$3,الجدول145[[#This Row],[البرنامج]]="PLW"),الجدول145[[#This Row],[عدد الذكور]],0)</f>
        <v>0</v>
      </c>
      <c r="X10" s="124">
        <f>IF(AND(الجدول145[[#This Row],[نوع الجلسة]]=$BZ$3,الجدول145[[#This Row],[البرنامج]]="PLW"),الجدول145[[#This Row],[عدد الأناث]],0)</f>
        <v>0</v>
      </c>
      <c r="Y10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10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10" s="113">
        <f>IF(AND(الجدول145[[#This Row],[البرنامج]]="PLW",الجدول145[[#This Row],[نوع الجلسة]]=$BZ$4),1,0)</f>
        <v>0</v>
      </c>
      <c r="AB10" s="113">
        <f>IF(AND(الجدول145[[#This Row],[البرنامج]]="PLW",الجدول145[[#This Row],[نوع الجلسة]]=$BZ$4),الجدول145[[#This Row],[عدد الذكور]],0)</f>
        <v>0</v>
      </c>
      <c r="AC10" s="113">
        <f>IF(AND(الجدول145[[#This Row],[البرنامج]]="PLW",الجدول145[[#This Row],[نوع الجلسة]]=$BZ$4),الجدول145[[#This Row],[عدد الأناث]],0)</f>
        <v>0</v>
      </c>
      <c r="AD10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10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10" s="125">
        <f>IF(AND(الجدول145[[#This Row],[البرنامج]]="OOSCH",الجدول145[[#This Row],[نوع الجلسة]]=$BZ$7),1,0)</f>
        <v>0</v>
      </c>
      <c r="AG10" s="125">
        <f>IF(AND(الجدول145[[#This Row],[البرنامج]]="OOSCH",الجدول145[[#This Row],[نوع الجلسة]]=$BZ$7),الجدول145[[#This Row],[عدد الذكور]],0)</f>
        <v>0</v>
      </c>
      <c r="AH10" s="125">
        <f>IF(AND(الجدول145[[#This Row],[البرنامج]]="OOSCH",الجدول145[[#This Row],[نوع الجلسة]]=$BZ$7),الجدول145[[#This Row],[عدد الأناث]],0)</f>
        <v>0</v>
      </c>
      <c r="AI10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10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10" s="126">
        <f>IF(AND(الجدول145[[#This Row],[البرنامج]]="OOSCH",الجدول145[[#This Row],[نوع الجلسة]]=$BZ$4),1,0)</f>
        <v>0</v>
      </c>
      <c r="AL10" s="126">
        <f>IF(AND(الجدول145[[#This Row],[البرنامج]]="OOSCH",الجدول145[[#This Row],[نوع الجلسة]]=$BZ$4),الجدول145[[#This Row],[عدد الذكور]],0)</f>
        <v>0</v>
      </c>
      <c r="AM10" s="126">
        <f>IF(AND(الجدول145[[#This Row],[البرنامج]]="OOSCH",الجدول145[[#This Row],[نوع الجلسة]]=$BZ$4),الجدول145[[#This Row],[عدد الأناث]],0)</f>
        <v>0</v>
      </c>
      <c r="AN10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10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10" s="123">
        <f>IF(AND(الجدول145[[#This Row],[نوع الجلسة]]=$BZ$5,الجدول145[[#This Row],[البرنامج]]=$BX$3),1,0)</f>
        <v>0</v>
      </c>
      <c r="AQ10" s="123">
        <f>IF(AND(الجدول145[[#This Row],[البرنامج]]="PLW",الجدول145[[#This Row],[نوع الجلسة]]=$BZ$5),الجدول145[[#This Row],[عدد الذكور]],0)</f>
        <v>0</v>
      </c>
      <c r="AR10" s="123">
        <f>IF(AND(الجدول145[[#This Row],[البرنامج]]="PLW",الجدول145[[#This Row],[نوع الجلسة]]=$BZ$5),الجدول145[[#This Row],[عدد الأناث]],0)</f>
        <v>0</v>
      </c>
      <c r="AS10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10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10" s="127">
        <f>IF(AND(الجدول145[[#This Row],[نوع الجلسة]]=$BZ$5,الجدول145[[#This Row],[البرنامج]]=$BX$2),1,0)</f>
        <v>0</v>
      </c>
      <c r="AV10" s="127">
        <f>IF(AND(الجدول145[[#This Row],[البرنامج]]="OOSCH",الجدول145[[#This Row],[نوع الجلسة]]=$BZ$5),الجدول145[[#This Row],[عدد الذكور]],0)</f>
        <v>0</v>
      </c>
      <c r="AW10" s="127">
        <f>IF(AND(الجدول145[[#This Row],[البرنامج]]="OOSCH",الجدول145[[#This Row],[نوع الجلسة]]=$BZ$5),الجدول145[[#This Row],[عدد الأناث]],0)</f>
        <v>0</v>
      </c>
      <c r="AX10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10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10" s="121">
        <f>IF(AND(الجدول145[[#This Row],[نوع الجلسة]]=$BZ$6,الجدول145[[#This Row],[البرنامج]]=$BX$3),1,0)</f>
        <v>0</v>
      </c>
      <c r="BA10" s="121">
        <f>IF(AND(الجدول145[[#This Row],[البرنامج]]="PLW",الجدول145[[#This Row],[نوع الجلسة]]=$BZ$6),الجدول145[[#This Row],[عدد الذكور]],0)</f>
        <v>0</v>
      </c>
      <c r="BB10" s="121">
        <f>IF(AND(الجدول145[[#This Row],[البرنامج]]="PLW",الجدول145[[#This Row],[نوع الجلسة]]=$BZ$6),الجدول145[[#This Row],[عدد الأناث]],0)</f>
        <v>0</v>
      </c>
      <c r="BC10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10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10" s="122">
        <f>IF(AND(الجدول145[[#This Row],[نوع الجلسة]]=$BZ$6,الجدول145[[#This Row],[البرنامج]]=$BX$2),1,0)</f>
        <v>0</v>
      </c>
      <c r="BF10" s="122">
        <f>IF(AND(الجدول145[[#This Row],[البرنامج]]="OOSCH",الجدول145[[#This Row],[نوع الجلسة]]=$BZ$6),الجدول145[[#This Row],[عدد الذكور]],0)</f>
        <v>0</v>
      </c>
      <c r="BG10" s="122">
        <f>IF(AND(الجدول145[[#This Row],[البرنامج]]="OOSCH",الجدول145[[#This Row],[نوع الجلسة]]=$BZ$6),الجدول145[[#This Row],[عدد الأناث]],0)</f>
        <v>0</v>
      </c>
      <c r="BH10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10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11" spans="1:80" ht="31.5" customHeight="1" x14ac:dyDescent="0.25">
      <c r="D11" s="9"/>
      <c r="E11" s="9"/>
      <c r="F11" s="9"/>
      <c r="G11" s="9"/>
      <c r="H11" s="9"/>
      <c r="I11" s="9"/>
      <c r="J11" s="9"/>
      <c r="K11" s="9">
        <f>SUM(الجدول145[[#This Row],[عدد الذكور]:[عدد الأناث]])</f>
        <v>0</v>
      </c>
      <c r="L11" s="120">
        <f>IF(AND(الجدول145[[#This Row],[البرنامج]]="PLW",الجدول145[[#This Row],[نوع الجلسة]]=$BZ$2),1,0)</f>
        <v>0</v>
      </c>
      <c r="M11" s="120">
        <f>IF(AND(الجدول145[[#This Row],[نوع الجلسة]]=$BZ$2,الجدول145[[#This Row],[البرنامج]]="PLW"),الجدول145[[#This Row],[عدد الذكور]],0)</f>
        <v>0</v>
      </c>
      <c r="N11" s="120">
        <f>IF(AND(الجدول145[[#This Row],[نوع الجلسة]]=$BZ$2,الجدول145[[#This Row],[البرنامج]]="PLW"),الجدول145[[#This Row],[عدد الأناث]],0)</f>
        <v>0</v>
      </c>
      <c r="O11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11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11" s="123">
        <f>IF(AND(الجدول145[[#This Row],[البرنامج]]="OOSCH",الجدول145[[#This Row],[نوع الجلسة]]=$BZ$2),1,0)</f>
        <v>0</v>
      </c>
      <c r="R11" s="123">
        <f>IF(AND(الجدول145[[#This Row],[البرنامج]]="OOSCH",الجدول145[[#This Row],[نوع الجلسة]]=$BZ$2),الجدول145[[#This Row],[عدد الذكور]],0)</f>
        <v>0</v>
      </c>
      <c r="S11" s="123">
        <f>IF(AND(الجدول145[[#This Row],[البرنامج]]="OOSCH",الجدول145[[#This Row],[نوع الجلسة]]=$BZ$2),الجدول145[[#This Row],[عدد الأناث]],0)</f>
        <v>0</v>
      </c>
      <c r="T11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11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11" s="124">
        <f>IF(AND(الجدول145[[#This Row],[البرنامج]]="PLW",الجدول145[[#This Row],[نوع الجلسة]]="معلومات صحة تغذوية للسيدة الحامل"),1,0)</f>
        <v>0</v>
      </c>
      <c r="W11" s="124">
        <f>IF(AND(الجدول145[[#This Row],[نوع الجلسة]]=$BZ$3,الجدول145[[#This Row],[البرنامج]]="PLW"),الجدول145[[#This Row],[عدد الذكور]],0)</f>
        <v>0</v>
      </c>
      <c r="X11" s="124">
        <f>IF(AND(الجدول145[[#This Row],[نوع الجلسة]]=$BZ$3,الجدول145[[#This Row],[البرنامج]]="PLW"),الجدول145[[#This Row],[عدد الأناث]],0)</f>
        <v>0</v>
      </c>
      <c r="Y11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11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11" s="113">
        <f>IF(AND(الجدول145[[#This Row],[البرنامج]]="PLW",الجدول145[[#This Row],[نوع الجلسة]]=$BZ$4),1,0)</f>
        <v>0</v>
      </c>
      <c r="AB11" s="113">
        <f>IF(AND(الجدول145[[#This Row],[البرنامج]]="PLW",الجدول145[[#This Row],[نوع الجلسة]]=$BZ$4),الجدول145[[#This Row],[عدد الذكور]],0)</f>
        <v>0</v>
      </c>
      <c r="AC11" s="113">
        <f>IF(AND(الجدول145[[#This Row],[البرنامج]]="PLW",الجدول145[[#This Row],[نوع الجلسة]]=$BZ$4),الجدول145[[#This Row],[عدد الأناث]],0)</f>
        <v>0</v>
      </c>
      <c r="AD11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11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11" s="125">
        <f>IF(AND(الجدول145[[#This Row],[البرنامج]]="OOSCH",الجدول145[[#This Row],[نوع الجلسة]]=$BZ$7),1,0)</f>
        <v>0</v>
      </c>
      <c r="AG11" s="125">
        <f>IF(AND(الجدول145[[#This Row],[البرنامج]]="OOSCH",الجدول145[[#This Row],[نوع الجلسة]]=$BZ$7),الجدول145[[#This Row],[عدد الذكور]],0)</f>
        <v>0</v>
      </c>
      <c r="AH11" s="125">
        <f>IF(AND(الجدول145[[#This Row],[البرنامج]]="OOSCH",الجدول145[[#This Row],[نوع الجلسة]]=$BZ$7),الجدول145[[#This Row],[عدد الأناث]],0)</f>
        <v>0</v>
      </c>
      <c r="AI11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11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11" s="126">
        <f>IF(AND(الجدول145[[#This Row],[البرنامج]]="OOSCH",الجدول145[[#This Row],[نوع الجلسة]]=$BZ$4),1,0)</f>
        <v>0</v>
      </c>
      <c r="AL11" s="126">
        <f>IF(AND(الجدول145[[#This Row],[البرنامج]]="OOSCH",الجدول145[[#This Row],[نوع الجلسة]]=$BZ$4),الجدول145[[#This Row],[عدد الذكور]],0)</f>
        <v>0</v>
      </c>
      <c r="AM11" s="126">
        <f>IF(AND(الجدول145[[#This Row],[البرنامج]]="OOSCH",الجدول145[[#This Row],[نوع الجلسة]]=$BZ$4),الجدول145[[#This Row],[عدد الأناث]],0)</f>
        <v>0</v>
      </c>
      <c r="AN11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11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11" s="123">
        <f>IF(AND(الجدول145[[#This Row],[نوع الجلسة]]=$BZ$5,الجدول145[[#This Row],[البرنامج]]=$BX$3),1,0)</f>
        <v>0</v>
      </c>
      <c r="AQ11" s="123">
        <f>IF(AND(الجدول145[[#This Row],[البرنامج]]="PLW",الجدول145[[#This Row],[نوع الجلسة]]=$BZ$5),الجدول145[[#This Row],[عدد الذكور]],0)</f>
        <v>0</v>
      </c>
      <c r="AR11" s="123">
        <f>IF(AND(الجدول145[[#This Row],[البرنامج]]="PLW",الجدول145[[#This Row],[نوع الجلسة]]=$BZ$5),الجدول145[[#This Row],[عدد الأناث]],0)</f>
        <v>0</v>
      </c>
      <c r="AS11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11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11" s="127">
        <f>IF(AND(الجدول145[[#This Row],[نوع الجلسة]]=$BZ$5,الجدول145[[#This Row],[البرنامج]]=$BX$2),1,0)</f>
        <v>0</v>
      </c>
      <c r="AV11" s="127">
        <f>IF(AND(الجدول145[[#This Row],[البرنامج]]="OOSCH",الجدول145[[#This Row],[نوع الجلسة]]=$BZ$5),الجدول145[[#This Row],[عدد الذكور]],0)</f>
        <v>0</v>
      </c>
      <c r="AW11" s="127">
        <f>IF(AND(الجدول145[[#This Row],[البرنامج]]="OOSCH",الجدول145[[#This Row],[نوع الجلسة]]=$BZ$5),الجدول145[[#This Row],[عدد الأناث]],0)</f>
        <v>0</v>
      </c>
      <c r="AX11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11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11" s="121">
        <f>IF(AND(الجدول145[[#This Row],[نوع الجلسة]]=$BZ$6,الجدول145[[#This Row],[البرنامج]]=$BX$3),1,0)</f>
        <v>0</v>
      </c>
      <c r="BA11" s="121">
        <f>IF(AND(الجدول145[[#This Row],[البرنامج]]="PLW",الجدول145[[#This Row],[نوع الجلسة]]=$BZ$6),الجدول145[[#This Row],[عدد الذكور]],0)</f>
        <v>0</v>
      </c>
      <c r="BB11" s="121">
        <f>IF(AND(الجدول145[[#This Row],[البرنامج]]="PLW",الجدول145[[#This Row],[نوع الجلسة]]=$BZ$6),الجدول145[[#This Row],[عدد الأناث]],0)</f>
        <v>0</v>
      </c>
      <c r="BC11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11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11" s="122">
        <f>IF(AND(الجدول145[[#This Row],[نوع الجلسة]]=$BZ$6,الجدول145[[#This Row],[البرنامج]]=$BX$2),1,0)</f>
        <v>0</v>
      </c>
      <c r="BF11" s="122">
        <f>IF(AND(الجدول145[[#This Row],[البرنامج]]="OOSCH",الجدول145[[#This Row],[نوع الجلسة]]=$BZ$6),الجدول145[[#This Row],[عدد الذكور]],0)</f>
        <v>0</v>
      </c>
      <c r="BG11" s="122">
        <f>IF(AND(الجدول145[[#This Row],[البرنامج]]="OOSCH",الجدول145[[#This Row],[نوع الجلسة]]=$BZ$6),الجدول145[[#This Row],[عدد الأناث]],0)</f>
        <v>0</v>
      </c>
      <c r="BH11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11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12" spans="1:80" ht="31.5" customHeight="1" x14ac:dyDescent="0.25">
      <c r="B12" s="114"/>
      <c r="C12" s="114"/>
      <c r="D12" s="9"/>
      <c r="E12" s="9"/>
      <c r="F12" s="9"/>
      <c r="G12" s="9"/>
      <c r="H12" s="9"/>
      <c r="I12" s="9"/>
      <c r="J12" s="9"/>
      <c r="K12" s="9">
        <f>SUM(الجدول145[[#This Row],[عدد الذكور]:[عدد الأناث]])</f>
        <v>0</v>
      </c>
      <c r="L12" s="120">
        <f>IF(AND(الجدول145[[#This Row],[البرنامج]]="PLW",الجدول145[[#This Row],[نوع الجلسة]]=$BZ$2),1,0)</f>
        <v>0</v>
      </c>
      <c r="M12" s="120">
        <f>IF(AND(الجدول145[[#This Row],[نوع الجلسة]]=$BZ$2,الجدول145[[#This Row],[البرنامج]]="PLW"),الجدول145[[#This Row],[عدد الذكور]],0)</f>
        <v>0</v>
      </c>
      <c r="N12" s="120">
        <f>IF(AND(الجدول145[[#This Row],[نوع الجلسة]]=$BZ$2,الجدول145[[#This Row],[البرنامج]]="PLW"),الجدول145[[#This Row],[عدد الأناث]],0)</f>
        <v>0</v>
      </c>
      <c r="O12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12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12" s="123">
        <f>IF(AND(الجدول145[[#This Row],[البرنامج]]="OOSCH",الجدول145[[#This Row],[نوع الجلسة]]=$BZ$2),1,0)</f>
        <v>0</v>
      </c>
      <c r="R12" s="123">
        <f>IF(AND(الجدول145[[#This Row],[البرنامج]]="OOSCH",الجدول145[[#This Row],[نوع الجلسة]]=$BZ$2),الجدول145[[#This Row],[عدد الذكور]],0)</f>
        <v>0</v>
      </c>
      <c r="S12" s="123">
        <f>IF(AND(الجدول145[[#This Row],[البرنامج]]="OOSCH",الجدول145[[#This Row],[نوع الجلسة]]=$BZ$2),الجدول145[[#This Row],[عدد الأناث]],0)</f>
        <v>0</v>
      </c>
      <c r="T12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12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12" s="124">
        <f>IF(AND(الجدول145[[#This Row],[البرنامج]]="PLW",الجدول145[[#This Row],[نوع الجلسة]]="معلومات صحة تغذوية للسيدة الحامل"),1,0)</f>
        <v>0</v>
      </c>
      <c r="W12" s="124">
        <f>IF(AND(الجدول145[[#This Row],[نوع الجلسة]]=$BZ$3,الجدول145[[#This Row],[البرنامج]]="PLW"),الجدول145[[#This Row],[عدد الذكور]],0)</f>
        <v>0</v>
      </c>
      <c r="X12" s="124">
        <f>IF(AND(الجدول145[[#This Row],[نوع الجلسة]]=$BZ$3,الجدول145[[#This Row],[البرنامج]]="PLW"),الجدول145[[#This Row],[عدد الأناث]],0)</f>
        <v>0</v>
      </c>
      <c r="Y12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12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12" s="113">
        <f>IF(AND(الجدول145[[#This Row],[البرنامج]]="PLW",الجدول145[[#This Row],[نوع الجلسة]]=$BZ$4),1,0)</f>
        <v>0</v>
      </c>
      <c r="AB12" s="113">
        <f>IF(AND(الجدول145[[#This Row],[البرنامج]]="PLW",الجدول145[[#This Row],[نوع الجلسة]]=$BZ$4),الجدول145[[#This Row],[عدد الذكور]],0)</f>
        <v>0</v>
      </c>
      <c r="AC12" s="113">
        <f>IF(AND(الجدول145[[#This Row],[البرنامج]]="PLW",الجدول145[[#This Row],[نوع الجلسة]]=$BZ$4),الجدول145[[#This Row],[عدد الأناث]],0)</f>
        <v>0</v>
      </c>
      <c r="AD12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12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12" s="125">
        <f>IF(AND(الجدول145[[#This Row],[البرنامج]]="OOSCH",الجدول145[[#This Row],[نوع الجلسة]]=$BZ$7),1,0)</f>
        <v>0</v>
      </c>
      <c r="AG12" s="125">
        <f>IF(AND(الجدول145[[#This Row],[البرنامج]]="OOSCH",الجدول145[[#This Row],[نوع الجلسة]]=$BZ$7),الجدول145[[#This Row],[عدد الذكور]],0)</f>
        <v>0</v>
      </c>
      <c r="AH12" s="125">
        <f>IF(AND(الجدول145[[#This Row],[البرنامج]]="OOSCH",الجدول145[[#This Row],[نوع الجلسة]]=$BZ$7),الجدول145[[#This Row],[عدد الأناث]],0)</f>
        <v>0</v>
      </c>
      <c r="AI12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12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12" s="126">
        <f>IF(AND(الجدول145[[#This Row],[البرنامج]]="OOSCH",الجدول145[[#This Row],[نوع الجلسة]]=$BZ$4),1,0)</f>
        <v>0</v>
      </c>
      <c r="AL12" s="126">
        <f>IF(AND(الجدول145[[#This Row],[البرنامج]]="OOSCH",الجدول145[[#This Row],[نوع الجلسة]]=$BZ$4),الجدول145[[#This Row],[عدد الذكور]],0)</f>
        <v>0</v>
      </c>
      <c r="AM12" s="126">
        <f>IF(AND(الجدول145[[#This Row],[البرنامج]]="OOSCH",الجدول145[[#This Row],[نوع الجلسة]]=$BZ$4),الجدول145[[#This Row],[عدد الأناث]],0)</f>
        <v>0</v>
      </c>
      <c r="AN12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12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12" s="123">
        <f>IF(AND(الجدول145[[#This Row],[نوع الجلسة]]=$BZ$5,الجدول145[[#This Row],[البرنامج]]=$BX$3),1,0)</f>
        <v>0</v>
      </c>
      <c r="AQ12" s="123">
        <f>IF(AND(الجدول145[[#This Row],[البرنامج]]="PLW",الجدول145[[#This Row],[نوع الجلسة]]=$BZ$5),الجدول145[[#This Row],[عدد الذكور]],0)</f>
        <v>0</v>
      </c>
      <c r="AR12" s="123">
        <f>IF(AND(الجدول145[[#This Row],[البرنامج]]="PLW",الجدول145[[#This Row],[نوع الجلسة]]=$BZ$5),الجدول145[[#This Row],[عدد الأناث]],0)</f>
        <v>0</v>
      </c>
      <c r="AS12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12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12" s="127">
        <f>IF(AND(الجدول145[[#This Row],[نوع الجلسة]]=$BZ$5,الجدول145[[#This Row],[البرنامج]]=$BX$2),1,0)</f>
        <v>0</v>
      </c>
      <c r="AV12" s="127">
        <f>IF(AND(الجدول145[[#This Row],[البرنامج]]="OOSCH",الجدول145[[#This Row],[نوع الجلسة]]=$BZ$5),الجدول145[[#This Row],[عدد الذكور]],0)</f>
        <v>0</v>
      </c>
      <c r="AW12" s="127">
        <f>IF(AND(الجدول145[[#This Row],[البرنامج]]="OOSCH",الجدول145[[#This Row],[نوع الجلسة]]=$BZ$5),الجدول145[[#This Row],[عدد الأناث]],0)</f>
        <v>0</v>
      </c>
      <c r="AX12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12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12" s="121">
        <f>IF(AND(الجدول145[[#This Row],[نوع الجلسة]]=$BZ$6,الجدول145[[#This Row],[البرنامج]]=$BX$3),1,0)</f>
        <v>0</v>
      </c>
      <c r="BA12" s="121">
        <f>IF(AND(الجدول145[[#This Row],[البرنامج]]="PLW",الجدول145[[#This Row],[نوع الجلسة]]=$BZ$6),الجدول145[[#This Row],[عدد الذكور]],0)</f>
        <v>0</v>
      </c>
      <c r="BB12" s="121">
        <f>IF(AND(الجدول145[[#This Row],[البرنامج]]="PLW",الجدول145[[#This Row],[نوع الجلسة]]=$BZ$6),الجدول145[[#This Row],[عدد الأناث]],0)</f>
        <v>0</v>
      </c>
      <c r="BC12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12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12" s="122">
        <f>IF(AND(الجدول145[[#This Row],[نوع الجلسة]]=$BZ$6,الجدول145[[#This Row],[البرنامج]]=$BX$2),1,0)</f>
        <v>0</v>
      </c>
      <c r="BF12" s="122">
        <f>IF(AND(الجدول145[[#This Row],[البرنامج]]="OOSCH",الجدول145[[#This Row],[نوع الجلسة]]=$BZ$6),الجدول145[[#This Row],[عدد الذكور]],0)</f>
        <v>0</v>
      </c>
      <c r="BG12" s="122">
        <f>IF(AND(الجدول145[[#This Row],[البرنامج]]="OOSCH",الجدول145[[#This Row],[نوع الجلسة]]=$BZ$6),الجدول145[[#This Row],[عدد الأناث]],0)</f>
        <v>0</v>
      </c>
      <c r="BH12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12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13" spans="1:80" ht="31.5" customHeight="1" x14ac:dyDescent="0.25">
      <c r="D13" s="9"/>
      <c r="E13" s="9"/>
      <c r="F13" s="9"/>
      <c r="G13" s="9"/>
      <c r="H13" s="9"/>
      <c r="I13" s="9"/>
      <c r="J13" s="9"/>
      <c r="K13" s="9">
        <f>SUM(الجدول145[[#This Row],[عدد الذكور]:[عدد الأناث]])</f>
        <v>0</v>
      </c>
      <c r="L13" s="120">
        <f>IF(AND(الجدول145[[#This Row],[البرنامج]]="PLW",الجدول145[[#This Row],[نوع الجلسة]]=$BZ$2),1,0)</f>
        <v>0</v>
      </c>
      <c r="M13" s="120">
        <f>IF(AND(الجدول145[[#This Row],[نوع الجلسة]]=$BZ$2,الجدول145[[#This Row],[البرنامج]]="PLW"),الجدول145[[#This Row],[عدد الذكور]],0)</f>
        <v>0</v>
      </c>
      <c r="N13" s="120">
        <f>IF(AND(الجدول145[[#This Row],[نوع الجلسة]]=$BZ$2,الجدول145[[#This Row],[البرنامج]]="PLW"),الجدول145[[#This Row],[عدد الأناث]],0)</f>
        <v>0</v>
      </c>
      <c r="O13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13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13" s="123">
        <f>IF(AND(الجدول145[[#This Row],[البرنامج]]="OOSCH",الجدول145[[#This Row],[نوع الجلسة]]=$BZ$2),1,0)</f>
        <v>0</v>
      </c>
      <c r="R13" s="123">
        <f>IF(AND(الجدول145[[#This Row],[البرنامج]]="OOSCH",الجدول145[[#This Row],[نوع الجلسة]]=$BZ$2),الجدول145[[#This Row],[عدد الذكور]],0)</f>
        <v>0</v>
      </c>
      <c r="S13" s="123">
        <f>IF(AND(الجدول145[[#This Row],[البرنامج]]="OOSCH",الجدول145[[#This Row],[نوع الجلسة]]=$BZ$2),الجدول145[[#This Row],[عدد الأناث]],0)</f>
        <v>0</v>
      </c>
      <c r="T13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13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13" s="124">
        <f>IF(AND(الجدول145[[#This Row],[البرنامج]]="PLW",الجدول145[[#This Row],[نوع الجلسة]]="معلومات صحة تغذوية للسيدة الحامل"),1,0)</f>
        <v>0</v>
      </c>
      <c r="W13" s="124">
        <f>IF(AND(الجدول145[[#This Row],[نوع الجلسة]]=$BZ$3,الجدول145[[#This Row],[البرنامج]]="PLW"),الجدول145[[#This Row],[عدد الذكور]],0)</f>
        <v>0</v>
      </c>
      <c r="X13" s="124">
        <f>IF(AND(الجدول145[[#This Row],[نوع الجلسة]]=$BZ$3,الجدول145[[#This Row],[البرنامج]]="PLW"),الجدول145[[#This Row],[عدد الأناث]],0)</f>
        <v>0</v>
      </c>
      <c r="Y13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13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13" s="113">
        <f>IF(AND(الجدول145[[#This Row],[البرنامج]]="PLW",الجدول145[[#This Row],[نوع الجلسة]]=$BZ$4),1,0)</f>
        <v>0</v>
      </c>
      <c r="AB13" s="113">
        <f>IF(AND(الجدول145[[#This Row],[البرنامج]]="PLW",الجدول145[[#This Row],[نوع الجلسة]]=$BZ$4),الجدول145[[#This Row],[عدد الذكور]],0)</f>
        <v>0</v>
      </c>
      <c r="AC13" s="113">
        <f>IF(AND(الجدول145[[#This Row],[البرنامج]]="PLW",الجدول145[[#This Row],[نوع الجلسة]]=$BZ$4),الجدول145[[#This Row],[عدد الأناث]],0)</f>
        <v>0</v>
      </c>
      <c r="AD13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13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13" s="125">
        <f>IF(AND(الجدول145[[#This Row],[البرنامج]]="OOSCH",الجدول145[[#This Row],[نوع الجلسة]]=$BZ$7),1,0)</f>
        <v>0</v>
      </c>
      <c r="AG13" s="125">
        <f>IF(AND(الجدول145[[#This Row],[البرنامج]]="OOSCH",الجدول145[[#This Row],[نوع الجلسة]]=$BZ$7),الجدول145[[#This Row],[عدد الذكور]],0)</f>
        <v>0</v>
      </c>
      <c r="AH13" s="125">
        <f>IF(AND(الجدول145[[#This Row],[البرنامج]]="OOSCH",الجدول145[[#This Row],[نوع الجلسة]]=$BZ$7),الجدول145[[#This Row],[عدد الأناث]],0)</f>
        <v>0</v>
      </c>
      <c r="AI13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13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13" s="126">
        <f>IF(AND(الجدول145[[#This Row],[البرنامج]]="OOSCH",الجدول145[[#This Row],[نوع الجلسة]]=$BZ$4),1,0)</f>
        <v>0</v>
      </c>
      <c r="AL13" s="126">
        <f>IF(AND(الجدول145[[#This Row],[البرنامج]]="OOSCH",الجدول145[[#This Row],[نوع الجلسة]]=$BZ$4),الجدول145[[#This Row],[عدد الذكور]],0)</f>
        <v>0</v>
      </c>
      <c r="AM13" s="126">
        <f>IF(AND(الجدول145[[#This Row],[البرنامج]]="OOSCH",الجدول145[[#This Row],[نوع الجلسة]]=$BZ$4),الجدول145[[#This Row],[عدد الأناث]],0)</f>
        <v>0</v>
      </c>
      <c r="AN13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13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13" s="123">
        <f>IF(AND(الجدول145[[#This Row],[نوع الجلسة]]=$BZ$5,الجدول145[[#This Row],[البرنامج]]=$BX$3),1,0)</f>
        <v>0</v>
      </c>
      <c r="AQ13" s="123">
        <f>IF(AND(الجدول145[[#This Row],[البرنامج]]="PLW",الجدول145[[#This Row],[نوع الجلسة]]=$BZ$5),الجدول145[[#This Row],[عدد الذكور]],0)</f>
        <v>0</v>
      </c>
      <c r="AR13" s="123">
        <f>IF(AND(الجدول145[[#This Row],[البرنامج]]="PLW",الجدول145[[#This Row],[نوع الجلسة]]=$BZ$5),الجدول145[[#This Row],[عدد الأناث]],0)</f>
        <v>0</v>
      </c>
      <c r="AS13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13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13" s="127">
        <f>IF(AND(الجدول145[[#This Row],[نوع الجلسة]]=$BZ$5,الجدول145[[#This Row],[البرنامج]]=$BX$2),1,0)</f>
        <v>0</v>
      </c>
      <c r="AV13" s="127">
        <f>IF(AND(الجدول145[[#This Row],[البرنامج]]="OOSCH",الجدول145[[#This Row],[نوع الجلسة]]=$BZ$5),الجدول145[[#This Row],[عدد الذكور]],0)</f>
        <v>0</v>
      </c>
      <c r="AW13" s="127">
        <f>IF(AND(الجدول145[[#This Row],[البرنامج]]="OOSCH",الجدول145[[#This Row],[نوع الجلسة]]=$BZ$5),الجدول145[[#This Row],[عدد الأناث]],0)</f>
        <v>0</v>
      </c>
      <c r="AX13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13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13" s="121">
        <f>IF(AND(الجدول145[[#This Row],[نوع الجلسة]]=$BZ$6,الجدول145[[#This Row],[البرنامج]]=$BX$3),1,0)</f>
        <v>0</v>
      </c>
      <c r="BA13" s="121">
        <f>IF(AND(الجدول145[[#This Row],[البرنامج]]="PLW",الجدول145[[#This Row],[نوع الجلسة]]=$BZ$6),الجدول145[[#This Row],[عدد الذكور]],0)</f>
        <v>0</v>
      </c>
      <c r="BB13" s="121">
        <f>IF(AND(الجدول145[[#This Row],[البرنامج]]="PLW",الجدول145[[#This Row],[نوع الجلسة]]=$BZ$6),الجدول145[[#This Row],[عدد الأناث]],0)</f>
        <v>0</v>
      </c>
      <c r="BC13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13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13" s="122">
        <f>IF(AND(الجدول145[[#This Row],[نوع الجلسة]]=$BZ$6,الجدول145[[#This Row],[البرنامج]]=$BX$2),1,0)</f>
        <v>0</v>
      </c>
      <c r="BF13" s="122">
        <f>IF(AND(الجدول145[[#This Row],[البرنامج]]="OOSCH",الجدول145[[#This Row],[نوع الجلسة]]=$BZ$6),الجدول145[[#This Row],[عدد الذكور]],0)</f>
        <v>0</v>
      </c>
      <c r="BG13" s="122">
        <f>IF(AND(الجدول145[[#This Row],[البرنامج]]="OOSCH",الجدول145[[#This Row],[نوع الجلسة]]=$BZ$6),الجدول145[[#This Row],[عدد الأناث]],0)</f>
        <v>0</v>
      </c>
      <c r="BH13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13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14" spans="1:80" ht="31.5" customHeight="1" x14ac:dyDescent="0.25">
      <c r="D14" s="9"/>
      <c r="E14" s="9"/>
      <c r="F14" s="9"/>
      <c r="G14" s="9"/>
      <c r="H14" s="9"/>
      <c r="I14" s="9"/>
      <c r="J14" s="9"/>
      <c r="K14" s="9">
        <f>SUM(الجدول145[[#This Row],[عدد الذكور]:[عدد الأناث]])</f>
        <v>0</v>
      </c>
      <c r="L14" s="120">
        <f>IF(AND(الجدول145[[#This Row],[البرنامج]]="PLW",الجدول145[[#This Row],[نوع الجلسة]]=$BZ$2),1,0)</f>
        <v>0</v>
      </c>
      <c r="M14" s="120">
        <f>IF(AND(الجدول145[[#This Row],[نوع الجلسة]]=$BZ$2,الجدول145[[#This Row],[البرنامج]]="PLW"),الجدول145[[#This Row],[عدد الذكور]],0)</f>
        <v>0</v>
      </c>
      <c r="N14" s="120">
        <f>IF(AND(الجدول145[[#This Row],[نوع الجلسة]]=$BZ$2,الجدول145[[#This Row],[البرنامج]]="PLW"),الجدول145[[#This Row],[عدد الأناث]],0)</f>
        <v>0</v>
      </c>
      <c r="O14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14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14" s="123">
        <f>IF(AND(الجدول145[[#This Row],[البرنامج]]="OOSCH",الجدول145[[#This Row],[نوع الجلسة]]=$BZ$2),1,0)</f>
        <v>0</v>
      </c>
      <c r="R14" s="123">
        <f>IF(AND(الجدول145[[#This Row],[البرنامج]]="OOSCH",الجدول145[[#This Row],[نوع الجلسة]]=$BZ$2),الجدول145[[#This Row],[عدد الذكور]],0)</f>
        <v>0</v>
      </c>
      <c r="S14" s="123">
        <f>IF(AND(الجدول145[[#This Row],[البرنامج]]="OOSCH",الجدول145[[#This Row],[نوع الجلسة]]=$BZ$2),الجدول145[[#This Row],[عدد الأناث]],0)</f>
        <v>0</v>
      </c>
      <c r="T14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14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14" s="124">
        <f>IF(AND(الجدول145[[#This Row],[البرنامج]]="PLW",الجدول145[[#This Row],[نوع الجلسة]]="معلومات صحة تغذوية للسيدة الحامل"),1,0)</f>
        <v>0</v>
      </c>
      <c r="W14" s="124">
        <f>IF(AND(الجدول145[[#This Row],[نوع الجلسة]]=$BZ$3,الجدول145[[#This Row],[البرنامج]]="PLW"),الجدول145[[#This Row],[عدد الذكور]],0)</f>
        <v>0</v>
      </c>
      <c r="X14" s="124">
        <f>IF(AND(الجدول145[[#This Row],[نوع الجلسة]]=$BZ$3,الجدول145[[#This Row],[البرنامج]]="PLW"),الجدول145[[#This Row],[عدد الأناث]],0)</f>
        <v>0</v>
      </c>
      <c r="Y14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14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14" s="113">
        <f>IF(AND(الجدول145[[#This Row],[البرنامج]]="PLW",الجدول145[[#This Row],[نوع الجلسة]]=$BZ$4),1,0)</f>
        <v>0</v>
      </c>
      <c r="AB14" s="113">
        <f>IF(AND(الجدول145[[#This Row],[البرنامج]]="PLW",الجدول145[[#This Row],[نوع الجلسة]]=$BZ$4),الجدول145[[#This Row],[عدد الذكور]],0)</f>
        <v>0</v>
      </c>
      <c r="AC14" s="113">
        <f>IF(AND(الجدول145[[#This Row],[البرنامج]]="PLW",الجدول145[[#This Row],[نوع الجلسة]]=$BZ$4),الجدول145[[#This Row],[عدد الأناث]],0)</f>
        <v>0</v>
      </c>
      <c r="AD14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14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14" s="125">
        <f>IF(AND(الجدول145[[#This Row],[البرنامج]]="OOSCH",الجدول145[[#This Row],[نوع الجلسة]]=$BZ$7),1,0)</f>
        <v>0</v>
      </c>
      <c r="AG14" s="125">
        <f>IF(AND(الجدول145[[#This Row],[البرنامج]]="OOSCH",الجدول145[[#This Row],[نوع الجلسة]]=$BZ$7),الجدول145[[#This Row],[عدد الذكور]],0)</f>
        <v>0</v>
      </c>
      <c r="AH14" s="125">
        <f>IF(AND(الجدول145[[#This Row],[البرنامج]]="OOSCH",الجدول145[[#This Row],[نوع الجلسة]]=$BZ$7),الجدول145[[#This Row],[عدد الأناث]],0)</f>
        <v>0</v>
      </c>
      <c r="AI14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14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14" s="126">
        <f>IF(AND(الجدول145[[#This Row],[البرنامج]]="OOSCH",الجدول145[[#This Row],[نوع الجلسة]]=$BZ$4),1,0)</f>
        <v>0</v>
      </c>
      <c r="AL14" s="126">
        <f>IF(AND(الجدول145[[#This Row],[البرنامج]]="OOSCH",الجدول145[[#This Row],[نوع الجلسة]]=$BZ$4),الجدول145[[#This Row],[عدد الذكور]],0)</f>
        <v>0</v>
      </c>
      <c r="AM14" s="126">
        <f>IF(AND(الجدول145[[#This Row],[البرنامج]]="OOSCH",الجدول145[[#This Row],[نوع الجلسة]]=$BZ$4),الجدول145[[#This Row],[عدد الأناث]],0)</f>
        <v>0</v>
      </c>
      <c r="AN14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14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14" s="123">
        <f>IF(AND(الجدول145[[#This Row],[نوع الجلسة]]=$BZ$5,الجدول145[[#This Row],[البرنامج]]=$BX$3),1,0)</f>
        <v>0</v>
      </c>
      <c r="AQ14" s="123">
        <f>IF(AND(الجدول145[[#This Row],[البرنامج]]="PLW",الجدول145[[#This Row],[نوع الجلسة]]=$BZ$5),الجدول145[[#This Row],[عدد الذكور]],0)</f>
        <v>0</v>
      </c>
      <c r="AR14" s="123">
        <f>IF(AND(الجدول145[[#This Row],[البرنامج]]="PLW",الجدول145[[#This Row],[نوع الجلسة]]=$BZ$5),الجدول145[[#This Row],[عدد الأناث]],0)</f>
        <v>0</v>
      </c>
      <c r="AS14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14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14" s="127">
        <f>IF(AND(الجدول145[[#This Row],[نوع الجلسة]]=$BZ$5,الجدول145[[#This Row],[البرنامج]]=$BX$2),1,0)</f>
        <v>0</v>
      </c>
      <c r="AV14" s="127">
        <f>IF(AND(الجدول145[[#This Row],[البرنامج]]="OOSCH",الجدول145[[#This Row],[نوع الجلسة]]=$BZ$5),الجدول145[[#This Row],[عدد الذكور]],0)</f>
        <v>0</v>
      </c>
      <c r="AW14" s="127">
        <f>IF(AND(الجدول145[[#This Row],[البرنامج]]="OOSCH",الجدول145[[#This Row],[نوع الجلسة]]=$BZ$5),الجدول145[[#This Row],[عدد الأناث]],0)</f>
        <v>0</v>
      </c>
      <c r="AX14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14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14" s="121">
        <f>IF(AND(الجدول145[[#This Row],[نوع الجلسة]]=$BZ$6,الجدول145[[#This Row],[البرنامج]]=$BX$3),1,0)</f>
        <v>0</v>
      </c>
      <c r="BA14" s="121">
        <f>IF(AND(الجدول145[[#This Row],[البرنامج]]="PLW",الجدول145[[#This Row],[نوع الجلسة]]=$BZ$6),الجدول145[[#This Row],[عدد الذكور]],0)</f>
        <v>0</v>
      </c>
      <c r="BB14" s="121">
        <f>IF(AND(الجدول145[[#This Row],[البرنامج]]="PLW",الجدول145[[#This Row],[نوع الجلسة]]=$BZ$6),الجدول145[[#This Row],[عدد الأناث]],0)</f>
        <v>0</v>
      </c>
      <c r="BC14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14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14" s="122">
        <f>IF(AND(الجدول145[[#This Row],[نوع الجلسة]]=$BZ$6,الجدول145[[#This Row],[البرنامج]]=$BX$2),1,0)</f>
        <v>0</v>
      </c>
      <c r="BF14" s="122">
        <f>IF(AND(الجدول145[[#This Row],[البرنامج]]="OOSCH",الجدول145[[#This Row],[نوع الجلسة]]=$BZ$6),الجدول145[[#This Row],[عدد الذكور]],0)</f>
        <v>0</v>
      </c>
      <c r="BG14" s="122">
        <f>IF(AND(الجدول145[[#This Row],[البرنامج]]="OOSCH",الجدول145[[#This Row],[نوع الجلسة]]=$BZ$6),الجدول145[[#This Row],[عدد الأناث]],0)</f>
        <v>0</v>
      </c>
      <c r="BH14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14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15" spans="1:80" ht="31.5" customHeight="1" x14ac:dyDescent="0.25">
      <c r="D15" s="9"/>
      <c r="E15" s="9"/>
      <c r="F15" s="9"/>
      <c r="G15" s="9"/>
      <c r="H15" s="9"/>
      <c r="I15" s="9"/>
      <c r="J15" s="9"/>
      <c r="K15" s="9">
        <f>SUM(الجدول145[[#This Row],[عدد الذكور]:[عدد الأناث]])</f>
        <v>0</v>
      </c>
      <c r="L15" s="120">
        <f>IF(AND(الجدول145[[#This Row],[البرنامج]]="PLW",الجدول145[[#This Row],[نوع الجلسة]]=$BZ$2),1,0)</f>
        <v>0</v>
      </c>
      <c r="M15" s="120">
        <f>IF(AND(الجدول145[[#This Row],[نوع الجلسة]]=$BZ$2,الجدول145[[#This Row],[البرنامج]]="PLW"),الجدول145[[#This Row],[عدد الذكور]],0)</f>
        <v>0</v>
      </c>
      <c r="N15" s="120">
        <f>IF(AND(الجدول145[[#This Row],[نوع الجلسة]]=$BZ$2,الجدول145[[#This Row],[البرنامج]]="PLW"),الجدول145[[#This Row],[عدد الأناث]],0)</f>
        <v>0</v>
      </c>
      <c r="O15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15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15" s="123">
        <f>IF(AND(الجدول145[[#This Row],[البرنامج]]="OOSCH",الجدول145[[#This Row],[نوع الجلسة]]=$BZ$2),1,0)</f>
        <v>0</v>
      </c>
      <c r="R15" s="123">
        <f>IF(AND(الجدول145[[#This Row],[البرنامج]]="OOSCH",الجدول145[[#This Row],[نوع الجلسة]]=$BZ$2),الجدول145[[#This Row],[عدد الذكور]],0)</f>
        <v>0</v>
      </c>
      <c r="S15" s="123">
        <f>IF(AND(الجدول145[[#This Row],[البرنامج]]="OOSCH",الجدول145[[#This Row],[نوع الجلسة]]=$BZ$2),الجدول145[[#This Row],[عدد الأناث]],0)</f>
        <v>0</v>
      </c>
      <c r="T15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15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15" s="124">
        <f>IF(AND(الجدول145[[#This Row],[البرنامج]]="PLW",الجدول145[[#This Row],[نوع الجلسة]]="معلومات صحة تغذوية للسيدة الحامل"),1,0)</f>
        <v>0</v>
      </c>
      <c r="W15" s="124">
        <f>IF(AND(الجدول145[[#This Row],[نوع الجلسة]]=$BZ$3,الجدول145[[#This Row],[البرنامج]]="PLW"),الجدول145[[#This Row],[عدد الذكور]],0)</f>
        <v>0</v>
      </c>
      <c r="X15" s="124">
        <f>IF(AND(الجدول145[[#This Row],[نوع الجلسة]]=$BZ$3,الجدول145[[#This Row],[البرنامج]]="PLW"),الجدول145[[#This Row],[عدد الأناث]],0)</f>
        <v>0</v>
      </c>
      <c r="Y15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15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15" s="113">
        <f>IF(AND(الجدول145[[#This Row],[البرنامج]]="PLW",الجدول145[[#This Row],[نوع الجلسة]]=$BZ$4),1,0)</f>
        <v>0</v>
      </c>
      <c r="AB15" s="113">
        <f>IF(AND(الجدول145[[#This Row],[البرنامج]]="PLW",الجدول145[[#This Row],[نوع الجلسة]]=$BZ$4),الجدول145[[#This Row],[عدد الذكور]],0)</f>
        <v>0</v>
      </c>
      <c r="AC15" s="113">
        <f>IF(AND(الجدول145[[#This Row],[البرنامج]]="PLW",الجدول145[[#This Row],[نوع الجلسة]]=$BZ$4),الجدول145[[#This Row],[عدد الأناث]],0)</f>
        <v>0</v>
      </c>
      <c r="AD15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15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15" s="125">
        <f>IF(AND(الجدول145[[#This Row],[البرنامج]]="OOSCH",الجدول145[[#This Row],[نوع الجلسة]]=$BZ$7),1,0)</f>
        <v>0</v>
      </c>
      <c r="AG15" s="125">
        <f>IF(AND(الجدول145[[#This Row],[البرنامج]]="OOSCH",الجدول145[[#This Row],[نوع الجلسة]]=$BZ$7),الجدول145[[#This Row],[عدد الذكور]],0)</f>
        <v>0</v>
      </c>
      <c r="AH15" s="125">
        <f>IF(AND(الجدول145[[#This Row],[البرنامج]]="OOSCH",الجدول145[[#This Row],[نوع الجلسة]]=$BZ$7),الجدول145[[#This Row],[عدد الأناث]],0)</f>
        <v>0</v>
      </c>
      <c r="AI15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15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15" s="126">
        <f>IF(AND(الجدول145[[#This Row],[البرنامج]]="OOSCH",الجدول145[[#This Row],[نوع الجلسة]]=$BZ$4),1,0)</f>
        <v>0</v>
      </c>
      <c r="AL15" s="126">
        <f>IF(AND(الجدول145[[#This Row],[البرنامج]]="OOSCH",الجدول145[[#This Row],[نوع الجلسة]]=$BZ$4),الجدول145[[#This Row],[عدد الذكور]],0)</f>
        <v>0</v>
      </c>
      <c r="AM15" s="126">
        <f>IF(AND(الجدول145[[#This Row],[البرنامج]]="OOSCH",الجدول145[[#This Row],[نوع الجلسة]]=$BZ$4),الجدول145[[#This Row],[عدد الأناث]],0)</f>
        <v>0</v>
      </c>
      <c r="AN15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15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15" s="123">
        <f>IF(AND(الجدول145[[#This Row],[نوع الجلسة]]=$BZ$5,الجدول145[[#This Row],[البرنامج]]=$BX$3),1,0)</f>
        <v>0</v>
      </c>
      <c r="AQ15" s="123">
        <f>IF(AND(الجدول145[[#This Row],[البرنامج]]="PLW",الجدول145[[#This Row],[نوع الجلسة]]=$BZ$5),الجدول145[[#This Row],[عدد الذكور]],0)</f>
        <v>0</v>
      </c>
      <c r="AR15" s="123">
        <f>IF(AND(الجدول145[[#This Row],[البرنامج]]="PLW",الجدول145[[#This Row],[نوع الجلسة]]=$BZ$5),الجدول145[[#This Row],[عدد الأناث]],0)</f>
        <v>0</v>
      </c>
      <c r="AS15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15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15" s="127">
        <f>IF(AND(الجدول145[[#This Row],[نوع الجلسة]]=$BZ$5,الجدول145[[#This Row],[البرنامج]]=$BX$2),1,0)</f>
        <v>0</v>
      </c>
      <c r="AV15" s="127">
        <f>IF(AND(الجدول145[[#This Row],[البرنامج]]="OOSCH",الجدول145[[#This Row],[نوع الجلسة]]=$BZ$5),الجدول145[[#This Row],[عدد الذكور]],0)</f>
        <v>0</v>
      </c>
      <c r="AW15" s="127">
        <f>IF(AND(الجدول145[[#This Row],[البرنامج]]="OOSCH",الجدول145[[#This Row],[نوع الجلسة]]=$BZ$5),الجدول145[[#This Row],[عدد الأناث]],0)</f>
        <v>0</v>
      </c>
      <c r="AX15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15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15" s="121">
        <f>IF(AND(الجدول145[[#This Row],[نوع الجلسة]]=$BZ$6,الجدول145[[#This Row],[البرنامج]]=$BX$3),1,0)</f>
        <v>0</v>
      </c>
      <c r="BA15" s="121">
        <f>IF(AND(الجدول145[[#This Row],[البرنامج]]="PLW",الجدول145[[#This Row],[نوع الجلسة]]=$BZ$6),الجدول145[[#This Row],[عدد الذكور]],0)</f>
        <v>0</v>
      </c>
      <c r="BB15" s="121">
        <f>IF(AND(الجدول145[[#This Row],[البرنامج]]="PLW",الجدول145[[#This Row],[نوع الجلسة]]=$BZ$6),الجدول145[[#This Row],[عدد الأناث]],0)</f>
        <v>0</v>
      </c>
      <c r="BC15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15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15" s="122">
        <f>IF(AND(الجدول145[[#This Row],[نوع الجلسة]]=$BZ$6,الجدول145[[#This Row],[البرنامج]]=$BX$2),1,0)</f>
        <v>0</v>
      </c>
      <c r="BF15" s="122">
        <f>IF(AND(الجدول145[[#This Row],[البرنامج]]="OOSCH",الجدول145[[#This Row],[نوع الجلسة]]=$BZ$6),الجدول145[[#This Row],[عدد الذكور]],0)</f>
        <v>0</v>
      </c>
      <c r="BG15" s="122">
        <f>IF(AND(الجدول145[[#This Row],[البرنامج]]="OOSCH",الجدول145[[#This Row],[نوع الجلسة]]=$BZ$6),الجدول145[[#This Row],[عدد الأناث]],0)</f>
        <v>0</v>
      </c>
      <c r="BH15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15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16" spans="1:80" ht="31.5" customHeight="1" x14ac:dyDescent="0.25">
      <c r="D16" s="9"/>
      <c r="E16" s="9"/>
      <c r="F16" s="9"/>
      <c r="G16" s="9"/>
      <c r="H16" s="9"/>
      <c r="I16" s="9"/>
      <c r="J16" s="9"/>
      <c r="K16" s="9">
        <f>SUM(الجدول145[[#This Row],[عدد الذكور]:[عدد الأناث]])</f>
        <v>0</v>
      </c>
      <c r="L16" s="120">
        <f>IF(AND(الجدول145[[#This Row],[البرنامج]]="PLW",الجدول145[[#This Row],[نوع الجلسة]]=$BZ$2),1,0)</f>
        <v>0</v>
      </c>
      <c r="M16" s="120">
        <f>IF(AND(الجدول145[[#This Row],[نوع الجلسة]]=$BZ$2,الجدول145[[#This Row],[البرنامج]]="PLW"),الجدول145[[#This Row],[عدد الذكور]],0)</f>
        <v>0</v>
      </c>
      <c r="N16" s="120">
        <f>IF(AND(الجدول145[[#This Row],[نوع الجلسة]]=$BZ$2,الجدول145[[#This Row],[البرنامج]]="PLW"),الجدول145[[#This Row],[عدد الأناث]],0)</f>
        <v>0</v>
      </c>
      <c r="O16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16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16" s="123">
        <f>IF(AND(الجدول145[[#This Row],[البرنامج]]="OOSCH",الجدول145[[#This Row],[نوع الجلسة]]=$BZ$2),1,0)</f>
        <v>0</v>
      </c>
      <c r="R16" s="123">
        <f>IF(AND(الجدول145[[#This Row],[البرنامج]]="OOSCH",الجدول145[[#This Row],[نوع الجلسة]]=$BZ$2),الجدول145[[#This Row],[عدد الذكور]],0)</f>
        <v>0</v>
      </c>
      <c r="S16" s="123">
        <f>IF(AND(الجدول145[[#This Row],[البرنامج]]="OOSCH",الجدول145[[#This Row],[نوع الجلسة]]=$BZ$2),الجدول145[[#This Row],[عدد الأناث]],0)</f>
        <v>0</v>
      </c>
      <c r="T16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16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16" s="124">
        <f>IF(AND(الجدول145[[#This Row],[البرنامج]]="PLW",الجدول145[[#This Row],[نوع الجلسة]]="معلومات صحة تغذوية للسيدة الحامل"),1,0)</f>
        <v>0</v>
      </c>
      <c r="W16" s="124">
        <f>IF(AND(الجدول145[[#This Row],[نوع الجلسة]]=$BZ$3,الجدول145[[#This Row],[البرنامج]]="PLW"),الجدول145[[#This Row],[عدد الذكور]],0)</f>
        <v>0</v>
      </c>
      <c r="X16" s="124">
        <f>IF(AND(الجدول145[[#This Row],[نوع الجلسة]]=$BZ$3,الجدول145[[#This Row],[البرنامج]]="PLW"),الجدول145[[#This Row],[عدد الأناث]],0)</f>
        <v>0</v>
      </c>
      <c r="Y16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16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16" s="113">
        <f>IF(AND(الجدول145[[#This Row],[البرنامج]]="PLW",الجدول145[[#This Row],[نوع الجلسة]]=$BZ$4),1,0)</f>
        <v>0</v>
      </c>
      <c r="AB16" s="113">
        <f>IF(AND(الجدول145[[#This Row],[البرنامج]]="PLW",الجدول145[[#This Row],[نوع الجلسة]]=$BZ$4),الجدول145[[#This Row],[عدد الذكور]],0)</f>
        <v>0</v>
      </c>
      <c r="AC16" s="113">
        <f>IF(AND(الجدول145[[#This Row],[البرنامج]]="PLW",الجدول145[[#This Row],[نوع الجلسة]]=$BZ$4),الجدول145[[#This Row],[عدد الأناث]],0)</f>
        <v>0</v>
      </c>
      <c r="AD16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16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16" s="125">
        <f>IF(AND(الجدول145[[#This Row],[البرنامج]]="OOSCH",الجدول145[[#This Row],[نوع الجلسة]]=$BZ$7),1,0)</f>
        <v>0</v>
      </c>
      <c r="AG16" s="125">
        <f>IF(AND(الجدول145[[#This Row],[البرنامج]]="OOSCH",الجدول145[[#This Row],[نوع الجلسة]]=$BZ$7),الجدول145[[#This Row],[عدد الذكور]],0)</f>
        <v>0</v>
      </c>
      <c r="AH16" s="125">
        <f>IF(AND(الجدول145[[#This Row],[البرنامج]]="OOSCH",الجدول145[[#This Row],[نوع الجلسة]]=$BZ$7),الجدول145[[#This Row],[عدد الأناث]],0)</f>
        <v>0</v>
      </c>
      <c r="AI16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16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16" s="126">
        <f>IF(AND(الجدول145[[#This Row],[البرنامج]]="OOSCH",الجدول145[[#This Row],[نوع الجلسة]]=$BZ$4),1,0)</f>
        <v>0</v>
      </c>
      <c r="AL16" s="126">
        <f>IF(AND(الجدول145[[#This Row],[البرنامج]]="OOSCH",الجدول145[[#This Row],[نوع الجلسة]]=$BZ$4),الجدول145[[#This Row],[عدد الذكور]],0)</f>
        <v>0</v>
      </c>
      <c r="AM16" s="126">
        <f>IF(AND(الجدول145[[#This Row],[البرنامج]]="OOSCH",الجدول145[[#This Row],[نوع الجلسة]]=$BZ$4),الجدول145[[#This Row],[عدد الأناث]],0)</f>
        <v>0</v>
      </c>
      <c r="AN16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16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16" s="123">
        <f>IF(AND(الجدول145[[#This Row],[نوع الجلسة]]=$BZ$5,الجدول145[[#This Row],[البرنامج]]=$BX$3),1,0)</f>
        <v>0</v>
      </c>
      <c r="AQ16" s="123">
        <f>IF(AND(الجدول145[[#This Row],[البرنامج]]="PLW",الجدول145[[#This Row],[نوع الجلسة]]=$BZ$5),الجدول145[[#This Row],[عدد الذكور]],0)</f>
        <v>0</v>
      </c>
      <c r="AR16" s="123">
        <f>IF(AND(الجدول145[[#This Row],[البرنامج]]="PLW",الجدول145[[#This Row],[نوع الجلسة]]=$BZ$5),الجدول145[[#This Row],[عدد الأناث]],0)</f>
        <v>0</v>
      </c>
      <c r="AS16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16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16" s="127">
        <f>IF(AND(الجدول145[[#This Row],[نوع الجلسة]]=$BZ$5,الجدول145[[#This Row],[البرنامج]]=$BX$2),1,0)</f>
        <v>0</v>
      </c>
      <c r="AV16" s="127">
        <f>IF(AND(الجدول145[[#This Row],[البرنامج]]="OOSCH",الجدول145[[#This Row],[نوع الجلسة]]=$BZ$5),الجدول145[[#This Row],[عدد الذكور]],0)</f>
        <v>0</v>
      </c>
      <c r="AW16" s="127">
        <f>IF(AND(الجدول145[[#This Row],[البرنامج]]="OOSCH",الجدول145[[#This Row],[نوع الجلسة]]=$BZ$5),الجدول145[[#This Row],[عدد الأناث]],0)</f>
        <v>0</v>
      </c>
      <c r="AX16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16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16" s="121">
        <f>IF(AND(الجدول145[[#This Row],[نوع الجلسة]]=$BZ$6,الجدول145[[#This Row],[البرنامج]]=$BX$3),1,0)</f>
        <v>0</v>
      </c>
      <c r="BA16" s="121">
        <f>IF(AND(الجدول145[[#This Row],[البرنامج]]="PLW",الجدول145[[#This Row],[نوع الجلسة]]=$BZ$6),الجدول145[[#This Row],[عدد الذكور]],0)</f>
        <v>0</v>
      </c>
      <c r="BB16" s="121">
        <f>IF(AND(الجدول145[[#This Row],[البرنامج]]="PLW",الجدول145[[#This Row],[نوع الجلسة]]=$BZ$6),الجدول145[[#This Row],[عدد الأناث]],0)</f>
        <v>0</v>
      </c>
      <c r="BC16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16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16" s="122">
        <f>IF(AND(الجدول145[[#This Row],[نوع الجلسة]]=$BZ$6,الجدول145[[#This Row],[البرنامج]]=$BX$2),1,0)</f>
        <v>0</v>
      </c>
      <c r="BF16" s="122">
        <f>IF(AND(الجدول145[[#This Row],[البرنامج]]="OOSCH",الجدول145[[#This Row],[نوع الجلسة]]=$BZ$6),الجدول145[[#This Row],[عدد الذكور]],0)</f>
        <v>0</v>
      </c>
      <c r="BG16" s="122">
        <f>IF(AND(الجدول145[[#This Row],[البرنامج]]="OOSCH",الجدول145[[#This Row],[نوع الجلسة]]=$BZ$6),الجدول145[[#This Row],[عدد الأناث]],0)</f>
        <v>0</v>
      </c>
      <c r="BH16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16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17" spans="4:61" ht="31.5" customHeight="1" x14ac:dyDescent="0.25">
      <c r="D17" s="9"/>
      <c r="E17" s="9"/>
      <c r="F17" s="9"/>
      <c r="G17" s="9"/>
      <c r="H17" s="9"/>
      <c r="I17" s="9"/>
      <c r="J17" s="9"/>
      <c r="K17" s="9">
        <f>SUM(الجدول145[[#This Row],[عدد الذكور]:[عدد الأناث]])</f>
        <v>0</v>
      </c>
      <c r="L17" s="120">
        <f>IF(AND(الجدول145[[#This Row],[البرنامج]]="PLW",الجدول145[[#This Row],[نوع الجلسة]]=$BZ$2),1,0)</f>
        <v>0</v>
      </c>
      <c r="M17" s="120">
        <f>IF(AND(الجدول145[[#This Row],[نوع الجلسة]]=$BZ$2,الجدول145[[#This Row],[البرنامج]]="PLW"),الجدول145[[#This Row],[عدد الذكور]],0)</f>
        <v>0</v>
      </c>
      <c r="N17" s="120">
        <f>IF(AND(الجدول145[[#This Row],[نوع الجلسة]]=$BZ$2,الجدول145[[#This Row],[البرنامج]]="PLW"),الجدول145[[#This Row],[عدد الأناث]],0)</f>
        <v>0</v>
      </c>
      <c r="O17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17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17" s="123">
        <f>IF(AND(الجدول145[[#This Row],[البرنامج]]="OOSCH",الجدول145[[#This Row],[نوع الجلسة]]=$BZ$2),1,0)</f>
        <v>0</v>
      </c>
      <c r="R17" s="123">
        <f>IF(AND(الجدول145[[#This Row],[البرنامج]]="OOSCH",الجدول145[[#This Row],[نوع الجلسة]]=$BZ$2),الجدول145[[#This Row],[عدد الذكور]],0)</f>
        <v>0</v>
      </c>
      <c r="S17" s="123">
        <f>IF(AND(الجدول145[[#This Row],[البرنامج]]="OOSCH",الجدول145[[#This Row],[نوع الجلسة]]=$BZ$2),الجدول145[[#This Row],[عدد الأناث]],0)</f>
        <v>0</v>
      </c>
      <c r="T17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17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17" s="124">
        <f>IF(AND(الجدول145[[#This Row],[البرنامج]]="PLW",الجدول145[[#This Row],[نوع الجلسة]]="معلومات صحة تغذوية للسيدة الحامل"),1,0)</f>
        <v>0</v>
      </c>
      <c r="W17" s="124">
        <f>IF(AND(الجدول145[[#This Row],[نوع الجلسة]]=$BZ$3,الجدول145[[#This Row],[البرنامج]]="PLW"),الجدول145[[#This Row],[عدد الذكور]],0)</f>
        <v>0</v>
      </c>
      <c r="X17" s="124">
        <f>IF(AND(الجدول145[[#This Row],[نوع الجلسة]]=$BZ$3,الجدول145[[#This Row],[البرنامج]]="PLW"),الجدول145[[#This Row],[عدد الأناث]],0)</f>
        <v>0</v>
      </c>
      <c r="Y17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17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17" s="113">
        <f>IF(AND(الجدول145[[#This Row],[البرنامج]]="PLW",الجدول145[[#This Row],[نوع الجلسة]]=$BZ$4),1,0)</f>
        <v>0</v>
      </c>
      <c r="AB17" s="113">
        <f>IF(AND(الجدول145[[#This Row],[البرنامج]]="PLW",الجدول145[[#This Row],[نوع الجلسة]]=$BZ$4),الجدول145[[#This Row],[عدد الذكور]],0)</f>
        <v>0</v>
      </c>
      <c r="AC17" s="113">
        <f>IF(AND(الجدول145[[#This Row],[البرنامج]]="PLW",الجدول145[[#This Row],[نوع الجلسة]]=$BZ$4),الجدول145[[#This Row],[عدد الأناث]],0)</f>
        <v>0</v>
      </c>
      <c r="AD17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17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17" s="125">
        <f>IF(AND(الجدول145[[#This Row],[البرنامج]]="OOSCH",الجدول145[[#This Row],[نوع الجلسة]]=$BZ$7),1,0)</f>
        <v>0</v>
      </c>
      <c r="AG17" s="125">
        <f>IF(AND(الجدول145[[#This Row],[البرنامج]]="OOSCH",الجدول145[[#This Row],[نوع الجلسة]]=$BZ$7),الجدول145[[#This Row],[عدد الذكور]],0)</f>
        <v>0</v>
      </c>
      <c r="AH17" s="125">
        <f>IF(AND(الجدول145[[#This Row],[البرنامج]]="OOSCH",الجدول145[[#This Row],[نوع الجلسة]]=$BZ$7),الجدول145[[#This Row],[عدد الأناث]],0)</f>
        <v>0</v>
      </c>
      <c r="AI17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17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17" s="126">
        <f>IF(AND(الجدول145[[#This Row],[البرنامج]]="OOSCH",الجدول145[[#This Row],[نوع الجلسة]]=$BZ$4),1,0)</f>
        <v>0</v>
      </c>
      <c r="AL17" s="126">
        <f>IF(AND(الجدول145[[#This Row],[البرنامج]]="OOSCH",الجدول145[[#This Row],[نوع الجلسة]]=$BZ$4),الجدول145[[#This Row],[عدد الذكور]],0)</f>
        <v>0</v>
      </c>
      <c r="AM17" s="126">
        <f>IF(AND(الجدول145[[#This Row],[البرنامج]]="OOSCH",الجدول145[[#This Row],[نوع الجلسة]]=$BZ$4),الجدول145[[#This Row],[عدد الأناث]],0)</f>
        <v>0</v>
      </c>
      <c r="AN17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17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17" s="123">
        <f>IF(AND(الجدول145[[#This Row],[نوع الجلسة]]=$BZ$5,الجدول145[[#This Row],[البرنامج]]=$BX$3),1,0)</f>
        <v>0</v>
      </c>
      <c r="AQ17" s="123">
        <f>IF(AND(الجدول145[[#This Row],[البرنامج]]="PLW",الجدول145[[#This Row],[نوع الجلسة]]=$BZ$5),الجدول145[[#This Row],[عدد الذكور]],0)</f>
        <v>0</v>
      </c>
      <c r="AR17" s="123">
        <f>IF(AND(الجدول145[[#This Row],[البرنامج]]="PLW",الجدول145[[#This Row],[نوع الجلسة]]=$BZ$5),الجدول145[[#This Row],[عدد الأناث]],0)</f>
        <v>0</v>
      </c>
      <c r="AS17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17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17" s="127">
        <f>IF(AND(الجدول145[[#This Row],[نوع الجلسة]]=$BZ$5,الجدول145[[#This Row],[البرنامج]]=$BX$2),1,0)</f>
        <v>0</v>
      </c>
      <c r="AV17" s="127">
        <f>IF(AND(الجدول145[[#This Row],[البرنامج]]="OOSCH",الجدول145[[#This Row],[نوع الجلسة]]=$BZ$5),الجدول145[[#This Row],[عدد الذكور]],0)</f>
        <v>0</v>
      </c>
      <c r="AW17" s="127">
        <f>IF(AND(الجدول145[[#This Row],[البرنامج]]="OOSCH",الجدول145[[#This Row],[نوع الجلسة]]=$BZ$5),الجدول145[[#This Row],[عدد الأناث]],0)</f>
        <v>0</v>
      </c>
      <c r="AX17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17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17" s="121">
        <f>IF(AND(الجدول145[[#This Row],[نوع الجلسة]]=$BZ$6,الجدول145[[#This Row],[البرنامج]]=$BX$3),1,0)</f>
        <v>0</v>
      </c>
      <c r="BA17" s="121">
        <f>IF(AND(الجدول145[[#This Row],[البرنامج]]="PLW",الجدول145[[#This Row],[نوع الجلسة]]=$BZ$6),الجدول145[[#This Row],[عدد الذكور]],0)</f>
        <v>0</v>
      </c>
      <c r="BB17" s="121">
        <f>IF(AND(الجدول145[[#This Row],[البرنامج]]="PLW",الجدول145[[#This Row],[نوع الجلسة]]=$BZ$6),الجدول145[[#This Row],[عدد الأناث]],0)</f>
        <v>0</v>
      </c>
      <c r="BC17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17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17" s="122">
        <f>IF(AND(الجدول145[[#This Row],[نوع الجلسة]]=$BZ$6,الجدول145[[#This Row],[البرنامج]]=$BX$2),1,0)</f>
        <v>0</v>
      </c>
      <c r="BF17" s="122">
        <f>IF(AND(الجدول145[[#This Row],[البرنامج]]="OOSCH",الجدول145[[#This Row],[نوع الجلسة]]=$BZ$6),الجدول145[[#This Row],[عدد الذكور]],0)</f>
        <v>0</v>
      </c>
      <c r="BG17" s="122">
        <f>IF(AND(الجدول145[[#This Row],[البرنامج]]="OOSCH",الجدول145[[#This Row],[نوع الجلسة]]=$BZ$6),الجدول145[[#This Row],[عدد الأناث]],0)</f>
        <v>0</v>
      </c>
      <c r="BH17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17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18" spans="4:61" ht="31.5" customHeight="1" x14ac:dyDescent="0.25">
      <c r="D18" s="9"/>
      <c r="E18" s="9"/>
      <c r="F18" s="9"/>
      <c r="G18" s="9"/>
      <c r="H18" s="9"/>
      <c r="I18" s="9"/>
      <c r="J18" s="9"/>
      <c r="K18" s="9">
        <f>SUM(الجدول145[[#This Row],[عدد الذكور]:[عدد الأناث]])</f>
        <v>0</v>
      </c>
      <c r="L18" s="120">
        <f>IF(AND(الجدول145[[#This Row],[البرنامج]]="PLW",الجدول145[[#This Row],[نوع الجلسة]]=$BZ$2),1,0)</f>
        <v>0</v>
      </c>
      <c r="M18" s="120">
        <f>IF(AND(الجدول145[[#This Row],[نوع الجلسة]]=$BZ$2,الجدول145[[#This Row],[البرنامج]]="PLW"),الجدول145[[#This Row],[عدد الذكور]],0)</f>
        <v>0</v>
      </c>
      <c r="N18" s="120">
        <f>IF(AND(الجدول145[[#This Row],[نوع الجلسة]]=$BZ$2,الجدول145[[#This Row],[البرنامج]]="PLW"),الجدول145[[#This Row],[عدد الأناث]],0)</f>
        <v>0</v>
      </c>
      <c r="O18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18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18" s="123">
        <f>IF(AND(الجدول145[[#This Row],[البرنامج]]="OOSCH",الجدول145[[#This Row],[نوع الجلسة]]=$BZ$2),1,0)</f>
        <v>0</v>
      </c>
      <c r="R18" s="123">
        <f>IF(AND(الجدول145[[#This Row],[البرنامج]]="OOSCH",الجدول145[[#This Row],[نوع الجلسة]]=$BZ$2),الجدول145[[#This Row],[عدد الذكور]],0)</f>
        <v>0</v>
      </c>
      <c r="S18" s="123">
        <f>IF(AND(الجدول145[[#This Row],[البرنامج]]="OOSCH",الجدول145[[#This Row],[نوع الجلسة]]=$BZ$2),الجدول145[[#This Row],[عدد الأناث]],0)</f>
        <v>0</v>
      </c>
      <c r="T18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18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18" s="124">
        <f>IF(AND(الجدول145[[#This Row],[البرنامج]]="PLW",الجدول145[[#This Row],[نوع الجلسة]]="معلومات صحة تغذوية للسيدة الحامل"),1,0)</f>
        <v>0</v>
      </c>
      <c r="W18" s="124">
        <f>IF(AND(الجدول145[[#This Row],[نوع الجلسة]]=$BZ$3,الجدول145[[#This Row],[البرنامج]]="PLW"),الجدول145[[#This Row],[عدد الذكور]],0)</f>
        <v>0</v>
      </c>
      <c r="X18" s="124">
        <f>IF(AND(الجدول145[[#This Row],[نوع الجلسة]]=$BZ$3,الجدول145[[#This Row],[البرنامج]]="PLW"),الجدول145[[#This Row],[عدد الأناث]],0)</f>
        <v>0</v>
      </c>
      <c r="Y18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18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18" s="113">
        <f>IF(AND(الجدول145[[#This Row],[البرنامج]]="PLW",الجدول145[[#This Row],[نوع الجلسة]]=$BZ$4),1,0)</f>
        <v>0</v>
      </c>
      <c r="AB18" s="113">
        <f>IF(AND(الجدول145[[#This Row],[البرنامج]]="PLW",الجدول145[[#This Row],[نوع الجلسة]]=$BZ$4),الجدول145[[#This Row],[عدد الذكور]],0)</f>
        <v>0</v>
      </c>
      <c r="AC18" s="113">
        <f>IF(AND(الجدول145[[#This Row],[البرنامج]]="PLW",الجدول145[[#This Row],[نوع الجلسة]]=$BZ$4),الجدول145[[#This Row],[عدد الأناث]],0)</f>
        <v>0</v>
      </c>
      <c r="AD18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18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18" s="125">
        <f>IF(AND(الجدول145[[#This Row],[البرنامج]]="OOSCH",الجدول145[[#This Row],[نوع الجلسة]]=$BZ$7),1,0)</f>
        <v>0</v>
      </c>
      <c r="AG18" s="125">
        <f>IF(AND(الجدول145[[#This Row],[البرنامج]]="OOSCH",الجدول145[[#This Row],[نوع الجلسة]]=$BZ$7),الجدول145[[#This Row],[عدد الذكور]],0)</f>
        <v>0</v>
      </c>
      <c r="AH18" s="125">
        <f>IF(AND(الجدول145[[#This Row],[البرنامج]]="OOSCH",الجدول145[[#This Row],[نوع الجلسة]]=$BZ$7),الجدول145[[#This Row],[عدد الأناث]],0)</f>
        <v>0</v>
      </c>
      <c r="AI18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18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18" s="126">
        <f>IF(AND(الجدول145[[#This Row],[البرنامج]]="OOSCH",الجدول145[[#This Row],[نوع الجلسة]]=$BZ$4),1,0)</f>
        <v>0</v>
      </c>
      <c r="AL18" s="126">
        <f>IF(AND(الجدول145[[#This Row],[البرنامج]]="OOSCH",الجدول145[[#This Row],[نوع الجلسة]]=$BZ$4),الجدول145[[#This Row],[عدد الذكور]],0)</f>
        <v>0</v>
      </c>
      <c r="AM18" s="126">
        <f>IF(AND(الجدول145[[#This Row],[البرنامج]]="OOSCH",الجدول145[[#This Row],[نوع الجلسة]]=$BZ$4),الجدول145[[#This Row],[عدد الأناث]],0)</f>
        <v>0</v>
      </c>
      <c r="AN18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18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18" s="123">
        <f>IF(AND(الجدول145[[#This Row],[نوع الجلسة]]=$BZ$5,الجدول145[[#This Row],[البرنامج]]=$BX$3),1,0)</f>
        <v>0</v>
      </c>
      <c r="AQ18" s="123">
        <f>IF(AND(الجدول145[[#This Row],[البرنامج]]="PLW",الجدول145[[#This Row],[نوع الجلسة]]=$BZ$5),الجدول145[[#This Row],[عدد الذكور]],0)</f>
        <v>0</v>
      </c>
      <c r="AR18" s="123">
        <f>IF(AND(الجدول145[[#This Row],[البرنامج]]="PLW",الجدول145[[#This Row],[نوع الجلسة]]=$BZ$5),الجدول145[[#This Row],[عدد الأناث]],0)</f>
        <v>0</v>
      </c>
      <c r="AS18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18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18" s="127">
        <f>IF(AND(الجدول145[[#This Row],[نوع الجلسة]]=$BZ$5,الجدول145[[#This Row],[البرنامج]]=$BX$2),1,0)</f>
        <v>0</v>
      </c>
      <c r="AV18" s="127">
        <f>IF(AND(الجدول145[[#This Row],[البرنامج]]="OOSCH",الجدول145[[#This Row],[نوع الجلسة]]=$BZ$5),الجدول145[[#This Row],[عدد الذكور]],0)</f>
        <v>0</v>
      </c>
      <c r="AW18" s="127">
        <f>IF(AND(الجدول145[[#This Row],[البرنامج]]="OOSCH",الجدول145[[#This Row],[نوع الجلسة]]=$BZ$5),الجدول145[[#This Row],[عدد الأناث]],0)</f>
        <v>0</v>
      </c>
      <c r="AX18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18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18" s="121">
        <f>IF(AND(الجدول145[[#This Row],[نوع الجلسة]]=$BZ$6,الجدول145[[#This Row],[البرنامج]]=$BX$3),1,0)</f>
        <v>0</v>
      </c>
      <c r="BA18" s="121">
        <f>IF(AND(الجدول145[[#This Row],[البرنامج]]="PLW",الجدول145[[#This Row],[نوع الجلسة]]=$BZ$6),الجدول145[[#This Row],[عدد الذكور]],0)</f>
        <v>0</v>
      </c>
      <c r="BB18" s="121">
        <f>IF(AND(الجدول145[[#This Row],[البرنامج]]="PLW",الجدول145[[#This Row],[نوع الجلسة]]=$BZ$6),الجدول145[[#This Row],[عدد الأناث]],0)</f>
        <v>0</v>
      </c>
      <c r="BC18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18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18" s="122">
        <f>IF(AND(الجدول145[[#This Row],[نوع الجلسة]]=$BZ$6,الجدول145[[#This Row],[البرنامج]]=$BX$2),1,0)</f>
        <v>0</v>
      </c>
      <c r="BF18" s="122">
        <f>IF(AND(الجدول145[[#This Row],[البرنامج]]="OOSCH",الجدول145[[#This Row],[نوع الجلسة]]=$BZ$6),الجدول145[[#This Row],[عدد الذكور]],0)</f>
        <v>0</v>
      </c>
      <c r="BG18" s="122">
        <f>IF(AND(الجدول145[[#This Row],[البرنامج]]="OOSCH",الجدول145[[#This Row],[نوع الجلسة]]=$BZ$6),الجدول145[[#This Row],[عدد الأناث]],0)</f>
        <v>0</v>
      </c>
      <c r="BH18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18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19" spans="4:61" ht="31.5" customHeight="1" x14ac:dyDescent="0.25">
      <c r="D19" s="9"/>
      <c r="E19" s="9"/>
      <c r="F19" s="9"/>
      <c r="G19" s="9"/>
      <c r="H19" s="9"/>
      <c r="I19" s="9"/>
      <c r="J19" s="9"/>
      <c r="K19" s="9">
        <f>SUM(الجدول145[[#This Row],[عدد الذكور]:[عدد الأناث]])</f>
        <v>0</v>
      </c>
      <c r="L19" s="120">
        <f>IF(AND(الجدول145[[#This Row],[البرنامج]]="PLW",الجدول145[[#This Row],[نوع الجلسة]]=$BZ$2),1,0)</f>
        <v>0</v>
      </c>
      <c r="M19" s="120">
        <f>IF(AND(الجدول145[[#This Row],[نوع الجلسة]]=$BZ$2,الجدول145[[#This Row],[البرنامج]]="PLW"),الجدول145[[#This Row],[عدد الذكور]],0)</f>
        <v>0</v>
      </c>
      <c r="N19" s="120">
        <f>IF(AND(الجدول145[[#This Row],[نوع الجلسة]]=$BZ$2,الجدول145[[#This Row],[البرنامج]]="PLW"),الجدول145[[#This Row],[عدد الأناث]],0)</f>
        <v>0</v>
      </c>
      <c r="O19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19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19" s="123">
        <f>IF(AND(الجدول145[[#This Row],[البرنامج]]="OOSCH",الجدول145[[#This Row],[نوع الجلسة]]=$BZ$2),1,0)</f>
        <v>0</v>
      </c>
      <c r="R19" s="123">
        <f>IF(AND(الجدول145[[#This Row],[البرنامج]]="OOSCH",الجدول145[[#This Row],[نوع الجلسة]]=$BZ$2),الجدول145[[#This Row],[عدد الذكور]],0)</f>
        <v>0</v>
      </c>
      <c r="S19" s="123">
        <f>IF(AND(الجدول145[[#This Row],[البرنامج]]="OOSCH",الجدول145[[#This Row],[نوع الجلسة]]=$BZ$2),الجدول145[[#This Row],[عدد الأناث]],0)</f>
        <v>0</v>
      </c>
      <c r="T19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19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19" s="124">
        <f>IF(AND(الجدول145[[#This Row],[البرنامج]]="PLW",الجدول145[[#This Row],[نوع الجلسة]]="معلومات صحة تغذوية للسيدة الحامل"),1,0)</f>
        <v>0</v>
      </c>
      <c r="W19" s="124">
        <f>IF(AND(الجدول145[[#This Row],[نوع الجلسة]]=$BZ$3,الجدول145[[#This Row],[البرنامج]]="PLW"),الجدول145[[#This Row],[عدد الذكور]],0)</f>
        <v>0</v>
      </c>
      <c r="X19" s="124">
        <f>IF(AND(الجدول145[[#This Row],[نوع الجلسة]]=$BZ$3,الجدول145[[#This Row],[البرنامج]]="PLW"),الجدول145[[#This Row],[عدد الأناث]],0)</f>
        <v>0</v>
      </c>
      <c r="Y19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19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19" s="113">
        <f>IF(AND(الجدول145[[#This Row],[البرنامج]]="PLW",الجدول145[[#This Row],[نوع الجلسة]]=$BZ$4),1,0)</f>
        <v>0</v>
      </c>
      <c r="AB19" s="113">
        <f>IF(AND(الجدول145[[#This Row],[البرنامج]]="PLW",الجدول145[[#This Row],[نوع الجلسة]]=$BZ$4),الجدول145[[#This Row],[عدد الذكور]],0)</f>
        <v>0</v>
      </c>
      <c r="AC19" s="113">
        <f>IF(AND(الجدول145[[#This Row],[البرنامج]]="PLW",الجدول145[[#This Row],[نوع الجلسة]]=$BZ$4),الجدول145[[#This Row],[عدد الأناث]],0)</f>
        <v>0</v>
      </c>
      <c r="AD19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19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19" s="125">
        <f>IF(AND(الجدول145[[#This Row],[البرنامج]]="OOSCH",الجدول145[[#This Row],[نوع الجلسة]]=$BZ$7),1,0)</f>
        <v>0</v>
      </c>
      <c r="AG19" s="125">
        <f>IF(AND(الجدول145[[#This Row],[البرنامج]]="OOSCH",الجدول145[[#This Row],[نوع الجلسة]]=$BZ$7),الجدول145[[#This Row],[عدد الذكور]],0)</f>
        <v>0</v>
      </c>
      <c r="AH19" s="125">
        <f>IF(AND(الجدول145[[#This Row],[البرنامج]]="OOSCH",الجدول145[[#This Row],[نوع الجلسة]]=$BZ$7),الجدول145[[#This Row],[عدد الأناث]],0)</f>
        <v>0</v>
      </c>
      <c r="AI19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19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19" s="126">
        <f>IF(AND(الجدول145[[#This Row],[البرنامج]]="OOSCH",الجدول145[[#This Row],[نوع الجلسة]]=$BZ$4),1,0)</f>
        <v>0</v>
      </c>
      <c r="AL19" s="126">
        <f>IF(AND(الجدول145[[#This Row],[البرنامج]]="OOSCH",الجدول145[[#This Row],[نوع الجلسة]]=$BZ$4),الجدول145[[#This Row],[عدد الذكور]],0)</f>
        <v>0</v>
      </c>
      <c r="AM19" s="126">
        <f>IF(AND(الجدول145[[#This Row],[البرنامج]]="OOSCH",الجدول145[[#This Row],[نوع الجلسة]]=$BZ$4),الجدول145[[#This Row],[عدد الأناث]],0)</f>
        <v>0</v>
      </c>
      <c r="AN19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19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19" s="123">
        <f>IF(AND(الجدول145[[#This Row],[نوع الجلسة]]=$BZ$5,الجدول145[[#This Row],[البرنامج]]=$BX$3),1,0)</f>
        <v>0</v>
      </c>
      <c r="AQ19" s="123">
        <f>IF(AND(الجدول145[[#This Row],[البرنامج]]="PLW",الجدول145[[#This Row],[نوع الجلسة]]=$BZ$5),الجدول145[[#This Row],[عدد الذكور]],0)</f>
        <v>0</v>
      </c>
      <c r="AR19" s="123">
        <f>IF(AND(الجدول145[[#This Row],[البرنامج]]="PLW",الجدول145[[#This Row],[نوع الجلسة]]=$BZ$5),الجدول145[[#This Row],[عدد الأناث]],0)</f>
        <v>0</v>
      </c>
      <c r="AS19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19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19" s="127">
        <f>IF(AND(الجدول145[[#This Row],[نوع الجلسة]]=$BZ$5,الجدول145[[#This Row],[البرنامج]]=$BX$2),1,0)</f>
        <v>0</v>
      </c>
      <c r="AV19" s="127">
        <f>IF(AND(الجدول145[[#This Row],[البرنامج]]="OOSCH",الجدول145[[#This Row],[نوع الجلسة]]=$BZ$5),الجدول145[[#This Row],[عدد الذكور]],0)</f>
        <v>0</v>
      </c>
      <c r="AW19" s="127">
        <f>IF(AND(الجدول145[[#This Row],[البرنامج]]="OOSCH",الجدول145[[#This Row],[نوع الجلسة]]=$BZ$5),الجدول145[[#This Row],[عدد الأناث]],0)</f>
        <v>0</v>
      </c>
      <c r="AX19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19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19" s="121">
        <f>IF(AND(الجدول145[[#This Row],[نوع الجلسة]]=$BZ$6,الجدول145[[#This Row],[البرنامج]]=$BX$3),1,0)</f>
        <v>0</v>
      </c>
      <c r="BA19" s="121">
        <f>IF(AND(الجدول145[[#This Row],[البرنامج]]="PLW",الجدول145[[#This Row],[نوع الجلسة]]=$BZ$6),الجدول145[[#This Row],[عدد الذكور]],0)</f>
        <v>0</v>
      </c>
      <c r="BB19" s="121">
        <f>IF(AND(الجدول145[[#This Row],[البرنامج]]="PLW",الجدول145[[#This Row],[نوع الجلسة]]=$BZ$6),الجدول145[[#This Row],[عدد الأناث]],0)</f>
        <v>0</v>
      </c>
      <c r="BC19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19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19" s="122">
        <f>IF(AND(الجدول145[[#This Row],[نوع الجلسة]]=$BZ$6,الجدول145[[#This Row],[البرنامج]]=$BX$2),1,0)</f>
        <v>0</v>
      </c>
      <c r="BF19" s="122">
        <f>IF(AND(الجدول145[[#This Row],[البرنامج]]="OOSCH",الجدول145[[#This Row],[نوع الجلسة]]=$BZ$6),الجدول145[[#This Row],[عدد الذكور]],0)</f>
        <v>0</v>
      </c>
      <c r="BG19" s="122">
        <f>IF(AND(الجدول145[[#This Row],[البرنامج]]="OOSCH",الجدول145[[#This Row],[نوع الجلسة]]=$BZ$6),الجدول145[[#This Row],[عدد الأناث]],0)</f>
        <v>0</v>
      </c>
      <c r="BH19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19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20" spans="4:61" ht="31.5" customHeight="1" x14ac:dyDescent="0.25">
      <c r="D20" s="9"/>
      <c r="E20" s="9"/>
      <c r="F20" s="9"/>
      <c r="G20" s="9"/>
      <c r="H20" s="9"/>
      <c r="I20" s="9"/>
      <c r="J20" s="9"/>
      <c r="K20" s="9">
        <f>SUM(الجدول145[[#This Row],[عدد الذكور]:[عدد الأناث]])</f>
        <v>0</v>
      </c>
      <c r="L20" s="120">
        <f>IF(AND(الجدول145[[#This Row],[البرنامج]]="PLW",الجدول145[[#This Row],[نوع الجلسة]]=$BZ$2),1,0)</f>
        <v>0</v>
      </c>
      <c r="M20" s="120">
        <f>IF(AND(الجدول145[[#This Row],[نوع الجلسة]]=$BZ$2,الجدول145[[#This Row],[البرنامج]]="PLW"),الجدول145[[#This Row],[عدد الذكور]],0)</f>
        <v>0</v>
      </c>
      <c r="N20" s="120">
        <f>IF(AND(الجدول145[[#This Row],[نوع الجلسة]]=$BZ$2,الجدول145[[#This Row],[البرنامج]]="PLW"),الجدول145[[#This Row],[عدد الأناث]],0)</f>
        <v>0</v>
      </c>
      <c r="O20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20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20" s="123">
        <f>IF(AND(الجدول145[[#This Row],[البرنامج]]="OOSCH",الجدول145[[#This Row],[نوع الجلسة]]=$BZ$2),1,0)</f>
        <v>0</v>
      </c>
      <c r="R20" s="123">
        <f>IF(AND(الجدول145[[#This Row],[البرنامج]]="OOSCH",الجدول145[[#This Row],[نوع الجلسة]]=$BZ$2),الجدول145[[#This Row],[عدد الذكور]],0)</f>
        <v>0</v>
      </c>
      <c r="S20" s="123">
        <f>IF(AND(الجدول145[[#This Row],[البرنامج]]="OOSCH",الجدول145[[#This Row],[نوع الجلسة]]=$BZ$2),الجدول145[[#This Row],[عدد الأناث]],0)</f>
        <v>0</v>
      </c>
      <c r="T20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20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20" s="124">
        <f>IF(AND(الجدول145[[#This Row],[البرنامج]]="PLW",الجدول145[[#This Row],[نوع الجلسة]]="معلومات صحة تغذوية للسيدة الحامل"),1,0)</f>
        <v>0</v>
      </c>
      <c r="W20" s="124">
        <f>IF(AND(الجدول145[[#This Row],[نوع الجلسة]]=$BZ$3,الجدول145[[#This Row],[البرنامج]]="PLW"),الجدول145[[#This Row],[عدد الذكور]],0)</f>
        <v>0</v>
      </c>
      <c r="X20" s="124">
        <f>IF(AND(الجدول145[[#This Row],[نوع الجلسة]]=$BZ$3,الجدول145[[#This Row],[البرنامج]]="PLW"),الجدول145[[#This Row],[عدد الأناث]],0)</f>
        <v>0</v>
      </c>
      <c r="Y20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20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20" s="113">
        <f>IF(AND(الجدول145[[#This Row],[البرنامج]]="PLW",الجدول145[[#This Row],[نوع الجلسة]]=$BZ$4),1,0)</f>
        <v>0</v>
      </c>
      <c r="AB20" s="113">
        <f>IF(AND(الجدول145[[#This Row],[البرنامج]]="PLW",الجدول145[[#This Row],[نوع الجلسة]]=$BZ$4),الجدول145[[#This Row],[عدد الذكور]],0)</f>
        <v>0</v>
      </c>
      <c r="AC20" s="113">
        <f>IF(AND(الجدول145[[#This Row],[البرنامج]]="PLW",الجدول145[[#This Row],[نوع الجلسة]]=$BZ$4),الجدول145[[#This Row],[عدد الأناث]],0)</f>
        <v>0</v>
      </c>
      <c r="AD20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20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20" s="125">
        <f>IF(AND(الجدول145[[#This Row],[البرنامج]]="OOSCH",الجدول145[[#This Row],[نوع الجلسة]]=$BZ$7),1,0)</f>
        <v>0</v>
      </c>
      <c r="AG20" s="125">
        <f>IF(AND(الجدول145[[#This Row],[البرنامج]]="OOSCH",الجدول145[[#This Row],[نوع الجلسة]]=$BZ$7),الجدول145[[#This Row],[عدد الذكور]],0)</f>
        <v>0</v>
      </c>
      <c r="AH20" s="125">
        <f>IF(AND(الجدول145[[#This Row],[البرنامج]]="OOSCH",الجدول145[[#This Row],[نوع الجلسة]]=$BZ$7),الجدول145[[#This Row],[عدد الأناث]],0)</f>
        <v>0</v>
      </c>
      <c r="AI20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20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20" s="126">
        <f>IF(AND(الجدول145[[#This Row],[البرنامج]]="OOSCH",الجدول145[[#This Row],[نوع الجلسة]]=$BZ$4),1,0)</f>
        <v>0</v>
      </c>
      <c r="AL20" s="126">
        <f>IF(AND(الجدول145[[#This Row],[البرنامج]]="OOSCH",الجدول145[[#This Row],[نوع الجلسة]]=$BZ$4),الجدول145[[#This Row],[عدد الذكور]],0)</f>
        <v>0</v>
      </c>
      <c r="AM20" s="126">
        <f>IF(AND(الجدول145[[#This Row],[البرنامج]]="OOSCH",الجدول145[[#This Row],[نوع الجلسة]]=$BZ$4),الجدول145[[#This Row],[عدد الأناث]],0)</f>
        <v>0</v>
      </c>
      <c r="AN20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20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20" s="123">
        <f>IF(AND(الجدول145[[#This Row],[نوع الجلسة]]=$BZ$5,الجدول145[[#This Row],[البرنامج]]=$BX$3),1,0)</f>
        <v>0</v>
      </c>
      <c r="AQ20" s="123">
        <f>IF(AND(الجدول145[[#This Row],[البرنامج]]="PLW",الجدول145[[#This Row],[نوع الجلسة]]=$BZ$5),الجدول145[[#This Row],[عدد الذكور]],0)</f>
        <v>0</v>
      </c>
      <c r="AR20" s="123">
        <f>IF(AND(الجدول145[[#This Row],[البرنامج]]="PLW",الجدول145[[#This Row],[نوع الجلسة]]=$BZ$5),الجدول145[[#This Row],[عدد الأناث]],0)</f>
        <v>0</v>
      </c>
      <c r="AS20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20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20" s="127">
        <f>IF(AND(الجدول145[[#This Row],[نوع الجلسة]]=$BZ$5,الجدول145[[#This Row],[البرنامج]]=$BX$2),1,0)</f>
        <v>0</v>
      </c>
      <c r="AV20" s="127">
        <f>IF(AND(الجدول145[[#This Row],[البرنامج]]="OOSCH",الجدول145[[#This Row],[نوع الجلسة]]=$BZ$5),الجدول145[[#This Row],[عدد الذكور]],0)</f>
        <v>0</v>
      </c>
      <c r="AW20" s="127">
        <f>IF(AND(الجدول145[[#This Row],[البرنامج]]="OOSCH",الجدول145[[#This Row],[نوع الجلسة]]=$BZ$5),الجدول145[[#This Row],[عدد الأناث]],0)</f>
        <v>0</v>
      </c>
      <c r="AX20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20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20" s="121">
        <f>IF(AND(الجدول145[[#This Row],[نوع الجلسة]]=$BZ$6,الجدول145[[#This Row],[البرنامج]]=$BX$3),1,0)</f>
        <v>0</v>
      </c>
      <c r="BA20" s="121">
        <f>IF(AND(الجدول145[[#This Row],[البرنامج]]="PLW",الجدول145[[#This Row],[نوع الجلسة]]=$BZ$6),الجدول145[[#This Row],[عدد الذكور]],0)</f>
        <v>0</v>
      </c>
      <c r="BB20" s="121">
        <f>IF(AND(الجدول145[[#This Row],[البرنامج]]="PLW",الجدول145[[#This Row],[نوع الجلسة]]=$BZ$6),الجدول145[[#This Row],[عدد الأناث]],0)</f>
        <v>0</v>
      </c>
      <c r="BC20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20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20" s="122">
        <f>IF(AND(الجدول145[[#This Row],[نوع الجلسة]]=$BZ$6,الجدول145[[#This Row],[البرنامج]]=$BX$2),1,0)</f>
        <v>0</v>
      </c>
      <c r="BF20" s="122">
        <f>IF(AND(الجدول145[[#This Row],[البرنامج]]="OOSCH",الجدول145[[#This Row],[نوع الجلسة]]=$BZ$6),الجدول145[[#This Row],[عدد الذكور]],0)</f>
        <v>0</v>
      </c>
      <c r="BG20" s="122">
        <f>IF(AND(الجدول145[[#This Row],[البرنامج]]="OOSCH",الجدول145[[#This Row],[نوع الجلسة]]=$BZ$6),الجدول145[[#This Row],[عدد الأناث]],0)</f>
        <v>0</v>
      </c>
      <c r="BH20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20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21" spans="4:61" ht="31.5" customHeight="1" x14ac:dyDescent="0.25">
      <c r="D21" s="9"/>
      <c r="E21" s="9"/>
      <c r="F21" s="9"/>
      <c r="G21" s="9"/>
      <c r="H21" s="9"/>
      <c r="I21" s="9"/>
      <c r="J21" s="9"/>
      <c r="K21" s="9">
        <f>SUM(الجدول145[[#This Row],[عدد الذكور]:[عدد الأناث]])</f>
        <v>0</v>
      </c>
      <c r="L21" s="120">
        <f>IF(AND(الجدول145[[#This Row],[البرنامج]]="PLW",الجدول145[[#This Row],[نوع الجلسة]]=$BZ$2),1,0)</f>
        <v>0</v>
      </c>
      <c r="M21" s="120">
        <f>IF(AND(الجدول145[[#This Row],[نوع الجلسة]]=$BZ$2,الجدول145[[#This Row],[البرنامج]]="PLW"),الجدول145[[#This Row],[عدد الذكور]],0)</f>
        <v>0</v>
      </c>
      <c r="N21" s="120">
        <f>IF(AND(الجدول145[[#This Row],[نوع الجلسة]]=$BZ$2,الجدول145[[#This Row],[البرنامج]]="PLW"),الجدول145[[#This Row],[عدد الأناث]],0)</f>
        <v>0</v>
      </c>
      <c r="O21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21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21" s="123">
        <f>IF(AND(الجدول145[[#This Row],[البرنامج]]="OOSCH",الجدول145[[#This Row],[نوع الجلسة]]=$BZ$2),1,0)</f>
        <v>0</v>
      </c>
      <c r="R21" s="123">
        <f>IF(AND(الجدول145[[#This Row],[البرنامج]]="OOSCH",الجدول145[[#This Row],[نوع الجلسة]]=$BZ$2),الجدول145[[#This Row],[عدد الذكور]],0)</f>
        <v>0</v>
      </c>
      <c r="S21" s="123">
        <f>IF(AND(الجدول145[[#This Row],[البرنامج]]="OOSCH",الجدول145[[#This Row],[نوع الجلسة]]=$BZ$2),الجدول145[[#This Row],[عدد الأناث]],0)</f>
        <v>0</v>
      </c>
      <c r="T21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21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21" s="124">
        <f>IF(AND(الجدول145[[#This Row],[البرنامج]]="PLW",الجدول145[[#This Row],[نوع الجلسة]]="معلومات صحة تغذوية للسيدة الحامل"),1,0)</f>
        <v>0</v>
      </c>
      <c r="W21" s="124">
        <f>IF(AND(الجدول145[[#This Row],[نوع الجلسة]]=$BZ$3,الجدول145[[#This Row],[البرنامج]]="PLW"),الجدول145[[#This Row],[عدد الذكور]],0)</f>
        <v>0</v>
      </c>
      <c r="X21" s="124">
        <f>IF(AND(الجدول145[[#This Row],[نوع الجلسة]]=$BZ$3,الجدول145[[#This Row],[البرنامج]]="PLW"),الجدول145[[#This Row],[عدد الأناث]],0)</f>
        <v>0</v>
      </c>
      <c r="Y21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21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21" s="113">
        <f>IF(AND(الجدول145[[#This Row],[البرنامج]]="PLW",الجدول145[[#This Row],[نوع الجلسة]]=$BZ$4),1,0)</f>
        <v>0</v>
      </c>
      <c r="AB21" s="113">
        <f>IF(AND(الجدول145[[#This Row],[البرنامج]]="PLW",الجدول145[[#This Row],[نوع الجلسة]]=$BZ$4),الجدول145[[#This Row],[عدد الذكور]],0)</f>
        <v>0</v>
      </c>
      <c r="AC21" s="113">
        <f>IF(AND(الجدول145[[#This Row],[البرنامج]]="PLW",الجدول145[[#This Row],[نوع الجلسة]]=$BZ$4),الجدول145[[#This Row],[عدد الأناث]],0)</f>
        <v>0</v>
      </c>
      <c r="AD21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21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21" s="125">
        <f>IF(AND(الجدول145[[#This Row],[البرنامج]]="OOSCH",الجدول145[[#This Row],[نوع الجلسة]]=$BZ$7),1,0)</f>
        <v>0</v>
      </c>
      <c r="AG21" s="125">
        <f>IF(AND(الجدول145[[#This Row],[البرنامج]]="OOSCH",الجدول145[[#This Row],[نوع الجلسة]]=$BZ$7),الجدول145[[#This Row],[عدد الذكور]],0)</f>
        <v>0</v>
      </c>
      <c r="AH21" s="125">
        <f>IF(AND(الجدول145[[#This Row],[البرنامج]]="OOSCH",الجدول145[[#This Row],[نوع الجلسة]]=$BZ$7),الجدول145[[#This Row],[عدد الأناث]],0)</f>
        <v>0</v>
      </c>
      <c r="AI21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21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21" s="126">
        <f>IF(AND(الجدول145[[#This Row],[البرنامج]]="OOSCH",الجدول145[[#This Row],[نوع الجلسة]]=$BZ$4),1,0)</f>
        <v>0</v>
      </c>
      <c r="AL21" s="126">
        <f>IF(AND(الجدول145[[#This Row],[البرنامج]]="OOSCH",الجدول145[[#This Row],[نوع الجلسة]]=$BZ$4),الجدول145[[#This Row],[عدد الذكور]],0)</f>
        <v>0</v>
      </c>
      <c r="AM21" s="126">
        <f>IF(AND(الجدول145[[#This Row],[البرنامج]]="OOSCH",الجدول145[[#This Row],[نوع الجلسة]]=$BZ$4),الجدول145[[#This Row],[عدد الأناث]],0)</f>
        <v>0</v>
      </c>
      <c r="AN21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21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21" s="123">
        <f>IF(AND(الجدول145[[#This Row],[نوع الجلسة]]=$BZ$5,الجدول145[[#This Row],[البرنامج]]=$BX$3),1,0)</f>
        <v>0</v>
      </c>
      <c r="AQ21" s="123">
        <f>IF(AND(الجدول145[[#This Row],[البرنامج]]="PLW",الجدول145[[#This Row],[نوع الجلسة]]=$BZ$5),الجدول145[[#This Row],[عدد الذكور]],0)</f>
        <v>0</v>
      </c>
      <c r="AR21" s="123">
        <f>IF(AND(الجدول145[[#This Row],[البرنامج]]="PLW",الجدول145[[#This Row],[نوع الجلسة]]=$BZ$5),الجدول145[[#This Row],[عدد الأناث]],0)</f>
        <v>0</v>
      </c>
      <c r="AS21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21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21" s="127">
        <f>IF(AND(الجدول145[[#This Row],[نوع الجلسة]]=$BZ$5,الجدول145[[#This Row],[البرنامج]]=$BX$2),1,0)</f>
        <v>0</v>
      </c>
      <c r="AV21" s="127">
        <f>IF(AND(الجدول145[[#This Row],[البرنامج]]="OOSCH",الجدول145[[#This Row],[نوع الجلسة]]=$BZ$5),الجدول145[[#This Row],[عدد الذكور]],0)</f>
        <v>0</v>
      </c>
      <c r="AW21" s="127">
        <f>IF(AND(الجدول145[[#This Row],[البرنامج]]="OOSCH",الجدول145[[#This Row],[نوع الجلسة]]=$BZ$5),الجدول145[[#This Row],[عدد الأناث]],0)</f>
        <v>0</v>
      </c>
      <c r="AX21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21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21" s="121">
        <f>IF(AND(الجدول145[[#This Row],[نوع الجلسة]]=$BZ$6,الجدول145[[#This Row],[البرنامج]]=$BX$3),1,0)</f>
        <v>0</v>
      </c>
      <c r="BA21" s="121">
        <f>IF(AND(الجدول145[[#This Row],[البرنامج]]="PLW",الجدول145[[#This Row],[نوع الجلسة]]=$BZ$6),الجدول145[[#This Row],[عدد الذكور]],0)</f>
        <v>0</v>
      </c>
      <c r="BB21" s="121">
        <f>IF(AND(الجدول145[[#This Row],[البرنامج]]="PLW",الجدول145[[#This Row],[نوع الجلسة]]=$BZ$6),الجدول145[[#This Row],[عدد الأناث]],0)</f>
        <v>0</v>
      </c>
      <c r="BC21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21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21" s="122">
        <f>IF(AND(الجدول145[[#This Row],[نوع الجلسة]]=$BZ$6,الجدول145[[#This Row],[البرنامج]]=$BX$2),1,0)</f>
        <v>0</v>
      </c>
      <c r="BF21" s="122">
        <f>IF(AND(الجدول145[[#This Row],[البرنامج]]="OOSCH",الجدول145[[#This Row],[نوع الجلسة]]=$BZ$6),الجدول145[[#This Row],[عدد الذكور]],0)</f>
        <v>0</v>
      </c>
      <c r="BG21" s="122">
        <f>IF(AND(الجدول145[[#This Row],[البرنامج]]="OOSCH",الجدول145[[#This Row],[نوع الجلسة]]=$BZ$6),الجدول145[[#This Row],[عدد الأناث]],0)</f>
        <v>0</v>
      </c>
      <c r="BH21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21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22" spans="4:61" ht="31.5" customHeight="1" x14ac:dyDescent="0.25">
      <c r="D22" s="9"/>
      <c r="E22" s="9"/>
      <c r="F22" s="9"/>
      <c r="G22" s="9"/>
      <c r="H22" s="9"/>
      <c r="I22" s="9"/>
      <c r="J22" s="9"/>
      <c r="K22" s="9">
        <f>SUM(الجدول145[[#This Row],[عدد الذكور]:[عدد الأناث]])</f>
        <v>0</v>
      </c>
      <c r="L22" s="120">
        <f>IF(AND(الجدول145[[#This Row],[البرنامج]]="PLW",الجدول145[[#This Row],[نوع الجلسة]]=$BZ$2),1,0)</f>
        <v>0</v>
      </c>
      <c r="M22" s="120">
        <f>IF(AND(الجدول145[[#This Row],[نوع الجلسة]]=$BZ$2,الجدول145[[#This Row],[البرنامج]]="PLW"),الجدول145[[#This Row],[عدد الذكور]],0)</f>
        <v>0</v>
      </c>
      <c r="N22" s="120">
        <f>IF(AND(الجدول145[[#This Row],[نوع الجلسة]]=$BZ$2,الجدول145[[#This Row],[البرنامج]]="PLW"),الجدول145[[#This Row],[عدد الأناث]],0)</f>
        <v>0</v>
      </c>
      <c r="O22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22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22" s="123">
        <f>IF(AND(الجدول145[[#This Row],[البرنامج]]="OOSCH",الجدول145[[#This Row],[نوع الجلسة]]=$BZ$2),1,0)</f>
        <v>0</v>
      </c>
      <c r="R22" s="123">
        <f>IF(AND(الجدول145[[#This Row],[البرنامج]]="OOSCH",الجدول145[[#This Row],[نوع الجلسة]]=$BZ$2),الجدول145[[#This Row],[عدد الذكور]],0)</f>
        <v>0</v>
      </c>
      <c r="S22" s="123">
        <f>IF(AND(الجدول145[[#This Row],[البرنامج]]="OOSCH",الجدول145[[#This Row],[نوع الجلسة]]=$BZ$2),الجدول145[[#This Row],[عدد الأناث]],0)</f>
        <v>0</v>
      </c>
      <c r="T22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22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22" s="124">
        <f>IF(AND(الجدول145[[#This Row],[البرنامج]]="PLW",الجدول145[[#This Row],[نوع الجلسة]]="معلومات صحة تغذوية للسيدة الحامل"),1,0)</f>
        <v>0</v>
      </c>
      <c r="W22" s="124">
        <f>IF(AND(الجدول145[[#This Row],[نوع الجلسة]]=$BZ$3,الجدول145[[#This Row],[البرنامج]]="PLW"),الجدول145[[#This Row],[عدد الذكور]],0)</f>
        <v>0</v>
      </c>
      <c r="X22" s="124">
        <f>IF(AND(الجدول145[[#This Row],[نوع الجلسة]]=$BZ$3,الجدول145[[#This Row],[البرنامج]]="PLW"),الجدول145[[#This Row],[عدد الأناث]],0)</f>
        <v>0</v>
      </c>
      <c r="Y22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22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22" s="113">
        <f>IF(AND(الجدول145[[#This Row],[البرنامج]]="PLW",الجدول145[[#This Row],[نوع الجلسة]]=$BZ$4),1,0)</f>
        <v>0</v>
      </c>
      <c r="AB22" s="113">
        <f>IF(AND(الجدول145[[#This Row],[البرنامج]]="PLW",الجدول145[[#This Row],[نوع الجلسة]]=$BZ$4),الجدول145[[#This Row],[عدد الذكور]],0)</f>
        <v>0</v>
      </c>
      <c r="AC22" s="113">
        <f>IF(AND(الجدول145[[#This Row],[البرنامج]]="PLW",الجدول145[[#This Row],[نوع الجلسة]]=$BZ$4),الجدول145[[#This Row],[عدد الأناث]],0)</f>
        <v>0</v>
      </c>
      <c r="AD22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22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22" s="125">
        <f>IF(AND(الجدول145[[#This Row],[البرنامج]]="OOSCH",الجدول145[[#This Row],[نوع الجلسة]]=$BZ$7),1,0)</f>
        <v>0</v>
      </c>
      <c r="AG22" s="125">
        <f>IF(AND(الجدول145[[#This Row],[البرنامج]]="OOSCH",الجدول145[[#This Row],[نوع الجلسة]]=$BZ$7),الجدول145[[#This Row],[عدد الذكور]],0)</f>
        <v>0</v>
      </c>
      <c r="AH22" s="125">
        <f>IF(AND(الجدول145[[#This Row],[البرنامج]]="OOSCH",الجدول145[[#This Row],[نوع الجلسة]]=$BZ$7),الجدول145[[#This Row],[عدد الأناث]],0)</f>
        <v>0</v>
      </c>
      <c r="AI22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22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22" s="126">
        <f>IF(AND(الجدول145[[#This Row],[البرنامج]]="OOSCH",الجدول145[[#This Row],[نوع الجلسة]]=$BZ$4),1,0)</f>
        <v>0</v>
      </c>
      <c r="AL22" s="126">
        <f>IF(AND(الجدول145[[#This Row],[البرنامج]]="OOSCH",الجدول145[[#This Row],[نوع الجلسة]]=$BZ$4),الجدول145[[#This Row],[عدد الذكور]],0)</f>
        <v>0</v>
      </c>
      <c r="AM22" s="126">
        <f>IF(AND(الجدول145[[#This Row],[البرنامج]]="OOSCH",الجدول145[[#This Row],[نوع الجلسة]]=$BZ$4),الجدول145[[#This Row],[عدد الأناث]],0)</f>
        <v>0</v>
      </c>
      <c r="AN22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22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22" s="123">
        <f>IF(AND(الجدول145[[#This Row],[نوع الجلسة]]=$BZ$5,الجدول145[[#This Row],[البرنامج]]=$BX$3),1,0)</f>
        <v>0</v>
      </c>
      <c r="AQ22" s="123">
        <f>IF(AND(الجدول145[[#This Row],[البرنامج]]="PLW",الجدول145[[#This Row],[نوع الجلسة]]=$BZ$5),الجدول145[[#This Row],[عدد الذكور]],0)</f>
        <v>0</v>
      </c>
      <c r="AR22" s="123">
        <f>IF(AND(الجدول145[[#This Row],[البرنامج]]="PLW",الجدول145[[#This Row],[نوع الجلسة]]=$BZ$5),الجدول145[[#This Row],[عدد الأناث]],0)</f>
        <v>0</v>
      </c>
      <c r="AS22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22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22" s="127">
        <f>IF(AND(الجدول145[[#This Row],[نوع الجلسة]]=$BZ$5,الجدول145[[#This Row],[البرنامج]]=$BX$2),1,0)</f>
        <v>0</v>
      </c>
      <c r="AV22" s="127">
        <f>IF(AND(الجدول145[[#This Row],[البرنامج]]="OOSCH",الجدول145[[#This Row],[نوع الجلسة]]=$BZ$5),الجدول145[[#This Row],[عدد الذكور]],0)</f>
        <v>0</v>
      </c>
      <c r="AW22" s="127">
        <f>IF(AND(الجدول145[[#This Row],[البرنامج]]="OOSCH",الجدول145[[#This Row],[نوع الجلسة]]=$BZ$5),الجدول145[[#This Row],[عدد الأناث]],0)</f>
        <v>0</v>
      </c>
      <c r="AX22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22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22" s="121">
        <f>IF(AND(الجدول145[[#This Row],[نوع الجلسة]]=$BZ$6,الجدول145[[#This Row],[البرنامج]]=$BX$3),1,0)</f>
        <v>0</v>
      </c>
      <c r="BA22" s="121">
        <f>IF(AND(الجدول145[[#This Row],[البرنامج]]="PLW",الجدول145[[#This Row],[نوع الجلسة]]=$BZ$6),الجدول145[[#This Row],[عدد الذكور]],0)</f>
        <v>0</v>
      </c>
      <c r="BB22" s="121">
        <f>IF(AND(الجدول145[[#This Row],[البرنامج]]="PLW",الجدول145[[#This Row],[نوع الجلسة]]=$BZ$6),الجدول145[[#This Row],[عدد الأناث]],0)</f>
        <v>0</v>
      </c>
      <c r="BC22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22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22" s="122">
        <f>IF(AND(الجدول145[[#This Row],[نوع الجلسة]]=$BZ$6,الجدول145[[#This Row],[البرنامج]]=$BX$2),1,0)</f>
        <v>0</v>
      </c>
      <c r="BF22" s="122">
        <f>IF(AND(الجدول145[[#This Row],[البرنامج]]="OOSCH",الجدول145[[#This Row],[نوع الجلسة]]=$BZ$6),الجدول145[[#This Row],[عدد الذكور]],0)</f>
        <v>0</v>
      </c>
      <c r="BG22" s="122">
        <f>IF(AND(الجدول145[[#This Row],[البرنامج]]="OOSCH",الجدول145[[#This Row],[نوع الجلسة]]=$BZ$6),الجدول145[[#This Row],[عدد الأناث]],0)</f>
        <v>0</v>
      </c>
      <c r="BH22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22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23" spans="4:61" ht="31.5" customHeight="1" x14ac:dyDescent="0.25">
      <c r="D23" s="9"/>
      <c r="E23" s="9"/>
      <c r="F23" s="9"/>
      <c r="G23" s="9"/>
      <c r="H23" s="9"/>
      <c r="I23" s="9"/>
      <c r="J23" s="9"/>
      <c r="K23" s="9">
        <f>SUM(الجدول145[[#This Row],[عدد الذكور]:[عدد الأناث]])</f>
        <v>0</v>
      </c>
      <c r="L23" s="120">
        <f>IF(AND(الجدول145[[#This Row],[البرنامج]]="PLW",الجدول145[[#This Row],[نوع الجلسة]]=$BZ$2),1,0)</f>
        <v>0</v>
      </c>
      <c r="M23" s="120">
        <f>IF(AND(الجدول145[[#This Row],[نوع الجلسة]]=$BZ$2,الجدول145[[#This Row],[البرنامج]]="PLW"),الجدول145[[#This Row],[عدد الذكور]],0)</f>
        <v>0</v>
      </c>
      <c r="N23" s="120">
        <f>IF(AND(الجدول145[[#This Row],[نوع الجلسة]]=$BZ$2,الجدول145[[#This Row],[البرنامج]]="PLW"),الجدول145[[#This Row],[عدد الأناث]],0)</f>
        <v>0</v>
      </c>
      <c r="O23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23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23" s="123">
        <f>IF(AND(الجدول145[[#This Row],[البرنامج]]="OOSCH",الجدول145[[#This Row],[نوع الجلسة]]=$BZ$2),1,0)</f>
        <v>0</v>
      </c>
      <c r="R23" s="123">
        <f>IF(AND(الجدول145[[#This Row],[البرنامج]]="OOSCH",الجدول145[[#This Row],[نوع الجلسة]]=$BZ$2),الجدول145[[#This Row],[عدد الذكور]],0)</f>
        <v>0</v>
      </c>
      <c r="S23" s="123">
        <f>IF(AND(الجدول145[[#This Row],[البرنامج]]="OOSCH",الجدول145[[#This Row],[نوع الجلسة]]=$BZ$2),الجدول145[[#This Row],[عدد الأناث]],0)</f>
        <v>0</v>
      </c>
      <c r="T23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23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23" s="124">
        <f>IF(AND(الجدول145[[#This Row],[البرنامج]]="PLW",الجدول145[[#This Row],[نوع الجلسة]]="معلومات صحة تغذوية للسيدة الحامل"),1,0)</f>
        <v>0</v>
      </c>
      <c r="W23" s="124">
        <f>IF(AND(الجدول145[[#This Row],[نوع الجلسة]]=$BZ$3,الجدول145[[#This Row],[البرنامج]]="PLW"),الجدول145[[#This Row],[عدد الذكور]],0)</f>
        <v>0</v>
      </c>
      <c r="X23" s="124">
        <f>IF(AND(الجدول145[[#This Row],[نوع الجلسة]]=$BZ$3,الجدول145[[#This Row],[البرنامج]]="PLW"),الجدول145[[#This Row],[عدد الأناث]],0)</f>
        <v>0</v>
      </c>
      <c r="Y23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23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23" s="113">
        <f>IF(AND(الجدول145[[#This Row],[البرنامج]]="PLW",الجدول145[[#This Row],[نوع الجلسة]]=$BZ$4),1,0)</f>
        <v>0</v>
      </c>
      <c r="AB23" s="113">
        <f>IF(AND(الجدول145[[#This Row],[البرنامج]]="PLW",الجدول145[[#This Row],[نوع الجلسة]]=$BZ$4),الجدول145[[#This Row],[عدد الذكور]],0)</f>
        <v>0</v>
      </c>
      <c r="AC23" s="113">
        <f>IF(AND(الجدول145[[#This Row],[البرنامج]]="PLW",الجدول145[[#This Row],[نوع الجلسة]]=$BZ$4),الجدول145[[#This Row],[عدد الأناث]],0)</f>
        <v>0</v>
      </c>
      <c r="AD23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23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23" s="125">
        <f>IF(AND(الجدول145[[#This Row],[البرنامج]]="OOSCH",الجدول145[[#This Row],[نوع الجلسة]]=$BZ$7),1,0)</f>
        <v>0</v>
      </c>
      <c r="AG23" s="125">
        <f>IF(AND(الجدول145[[#This Row],[البرنامج]]="OOSCH",الجدول145[[#This Row],[نوع الجلسة]]=$BZ$7),الجدول145[[#This Row],[عدد الذكور]],0)</f>
        <v>0</v>
      </c>
      <c r="AH23" s="125">
        <f>IF(AND(الجدول145[[#This Row],[البرنامج]]="OOSCH",الجدول145[[#This Row],[نوع الجلسة]]=$BZ$7),الجدول145[[#This Row],[عدد الأناث]],0)</f>
        <v>0</v>
      </c>
      <c r="AI23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23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23" s="126">
        <f>IF(AND(الجدول145[[#This Row],[البرنامج]]="OOSCH",الجدول145[[#This Row],[نوع الجلسة]]=$BZ$4),1,0)</f>
        <v>0</v>
      </c>
      <c r="AL23" s="126">
        <f>IF(AND(الجدول145[[#This Row],[البرنامج]]="OOSCH",الجدول145[[#This Row],[نوع الجلسة]]=$BZ$4),الجدول145[[#This Row],[عدد الذكور]],0)</f>
        <v>0</v>
      </c>
      <c r="AM23" s="126">
        <f>IF(AND(الجدول145[[#This Row],[البرنامج]]="OOSCH",الجدول145[[#This Row],[نوع الجلسة]]=$BZ$4),الجدول145[[#This Row],[عدد الأناث]],0)</f>
        <v>0</v>
      </c>
      <c r="AN23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23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23" s="123">
        <f>IF(AND(الجدول145[[#This Row],[نوع الجلسة]]=$BZ$5,الجدول145[[#This Row],[البرنامج]]=$BX$3),1,0)</f>
        <v>0</v>
      </c>
      <c r="AQ23" s="123">
        <f>IF(AND(الجدول145[[#This Row],[البرنامج]]="PLW",الجدول145[[#This Row],[نوع الجلسة]]=$BZ$5),الجدول145[[#This Row],[عدد الذكور]],0)</f>
        <v>0</v>
      </c>
      <c r="AR23" s="123">
        <f>IF(AND(الجدول145[[#This Row],[البرنامج]]="PLW",الجدول145[[#This Row],[نوع الجلسة]]=$BZ$5),الجدول145[[#This Row],[عدد الأناث]],0)</f>
        <v>0</v>
      </c>
      <c r="AS23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23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23" s="127">
        <f>IF(AND(الجدول145[[#This Row],[نوع الجلسة]]=$BZ$5,الجدول145[[#This Row],[البرنامج]]=$BX$2),1,0)</f>
        <v>0</v>
      </c>
      <c r="AV23" s="127">
        <f>IF(AND(الجدول145[[#This Row],[البرنامج]]="OOSCH",الجدول145[[#This Row],[نوع الجلسة]]=$BZ$5),الجدول145[[#This Row],[عدد الذكور]],0)</f>
        <v>0</v>
      </c>
      <c r="AW23" s="127">
        <f>IF(AND(الجدول145[[#This Row],[البرنامج]]="OOSCH",الجدول145[[#This Row],[نوع الجلسة]]=$BZ$5),الجدول145[[#This Row],[عدد الأناث]],0)</f>
        <v>0</v>
      </c>
      <c r="AX23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23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23" s="121">
        <f>IF(AND(الجدول145[[#This Row],[نوع الجلسة]]=$BZ$6,الجدول145[[#This Row],[البرنامج]]=$BX$3),1,0)</f>
        <v>0</v>
      </c>
      <c r="BA23" s="121">
        <f>IF(AND(الجدول145[[#This Row],[البرنامج]]="PLW",الجدول145[[#This Row],[نوع الجلسة]]=$BZ$6),الجدول145[[#This Row],[عدد الذكور]],0)</f>
        <v>0</v>
      </c>
      <c r="BB23" s="121">
        <f>IF(AND(الجدول145[[#This Row],[البرنامج]]="PLW",الجدول145[[#This Row],[نوع الجلسة]]=$BZ$6),الجدول145[[#This Row],[عدد الأناث]],0)</f>
        <v>0</v>
      </c>
      <c r="BC23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23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23" s="122">
        <f>IF(AND(الجدول145[[#This Row],[نوع الجلسة]]=$BZ$6,الجدول145[[#This Row],[البرنامج]]=$BX$2),1,0)</f>
        <v>0</v>
      </c>
      <c r="BF23" s="122">
        <f>IF(AND(الجدول145[[#This Row],[البرنامج]]="OOSCH",الجدول145[[#This Row],[نوع الجلسة]]=$BZ$6),الجدول145[[#This Row],[عدد الذكور]],0)</f>
        <v>0</v>
      </c>
      <c r="BG23" s="122">
        <f>IF(AND(الجدول145[[#This Row],[البرنامج]]="OOSCH",الجدول145[[#This Row],[نوع الجلسة]]=$BZ$6),الجدول145[[#This Row],[عدد الأناث]],0)</f>
        <v>0</v>
      </c>
      <c r="BH23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23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24" spans="4:61" ht="31.5" customHeight="1" x14ac:dyDescent="0.25">
      <c r="D24" s="9"/>
      <c r="E24" s="9"/>
      <c r="F24" s="9"/>
      <c r="G24" s="9"/>
      <c r="H24" s="9"/>
      <c r="I24" s="9"/>
      <c r="J24" s="9"/>
      <c r="K24" s="9">
        <f>SUM(الجدول145[[#This Row],[عدد الذكور]:[عدد الأناث]])</f>
        <v>0</v>
      </c>
      <c r="L24" s="120">
        <f>IF(AND(الجدول145[[#This Row],[البرنامج]]="PLW",الجدول145[[#This Row],[نوع الجلسة]]=$BZ$2),1,0)</f>
        <v>0</v>
      </c>
      <c r="M24" s="120">
        <f>IF(AND(الجدول145[[#This Row],[نوع الجلسة]]=$BZ$2,الجدول145[[#This Row],[البرنامج]]="PLW"),الجدول145[[#This Row],[عدد الذكور]],0)</f>
        <v>0</v>
      </c>
      <c r="N24" s="120">
        <f>IF(AND(الجدول145[[#This Row],[نوع الجلسة]]=$BZ$2,الجدول145[[#This Row],[البرنامج]]="PLW"),الجدول145[[#This Row],[عدد الأناث]],0)</f>
        <v>0</v>
      </c>
      <c r="O24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24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24" s="123">
        <f>IF(AND(الجدول145[[#This Row],[البرنامج]]="OOSCH",الجدول145[[#This Row],[نوع الجلسة]]=$BZ$2),1,0)</f>
        <v>0</v>
      </c>
      <c r="R24" s="123">
        <f>IF(AND(الجدول145[[#This Row],[البرنامج]]="OOSCH",الجدول145[[#This Row],[نوع الجلسة]]=$BZ$2),الجدول145[[#This Row],[عدد الذكور]],0)</f>
        <v>0</v>
      </c>
      <c r="S24" s="123">
        <f>IF(AND(الجدول145[[#This Row],[البرنامج]]="OOSCH",الجدول145[[#This Row],[نوع الجلسة]]=$BZ$2),الجدول145[[#This Row],[عدد الأناث]],0)</f>
        <v>0</v>
      </c>
      <c r="T24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24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24" s="124">
        <f>IF(AND(الجدول145[[#This Row],[البرنامج]]="PLW",الجدول145[[#This Row],[نوع الجلسة]]="معلومات صحة تغذوية للسيدة الحامل"),1,0)</f>
        <v>0</v>
      </c>
      <c r="W24" s="124">
        <f>IF(AND(الجدول145[[#This Row],[نوع الجلسة]]=$BZ$3,الجدول145[[#This Row],[البرنامج]]="PLW"),الجدول145[[#This Row],[عدد الذكور]],0)</f>
        <v>0</v>
      </c>
      <c r="X24" s="124">
        <f>IF(AND(الجدول145[[#This Row],[نوع الجلسة]]=$BZ$3,الجدول145[[#This Row],[البرنامج]]="PLW"),الجدول145[[#This Row],[عدد الأناث]],0)</f>
        <v>0</v>
      </c>
      <c r="Y24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24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24" s="113">
        <f>IF(AND(الجدول145[[#This Row],[البرنامج]]="PLW",الجدول145[[#This Row],[نوع الجلسة]]=$BZ$4),1,0)</f>
        <v>0</v>
      </c>
      <c r="AB24" s="113">
        <f>IF(AND(الجدول145[[#This Row],[البرنامج]]="PLW",الجدول145[[#This Row],[نوع الجلسة]]=$BZ$4),الجدول145[[#This Row],[عدد الذكور]],0)</f>
        <v>0</v>
      </c>
      <c r="AC24" s="113">
        <f>IF(AND(الجدول145[[#This Row],[البرنامج]]="PLW",الجدول145[[#This Row],[نوع الجلسة]]=$BZ$4),الجدول145[[#This Row],[عدد الأناث]],0)</f>
        <v>0</v>
      </c>
      <c r="AD24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24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24" s="125">
        <f>IF(AND(الجدول145[[#This Row],[البرنامج]]="OOSCH",الجدول145[[#This Row],[نوع الجلسة]]=$BZ$7),1,0)</f>
        <v>0</v>
      </c>
      <c r="AG24" s="125">
        <f>IF(AND(الجدول145[[#This Row],[البرنامج]]="OOSCH",الجدول145[[#This Row],[نوع الجلسة]]=$BZ$7),الجدول145[[#This Row],[عدد الذكور]],0)</f>
        <v>0</v>
      </c>
      <c r="AH24" s="125">
        <f>IF(AND(الجدول145[[#This Row],[البرنامج]]="OOSCH",الجدول145[[#This Row],[نوع الجلسة]]=$BZ$7),الجدول145[[#This Row],[عدد الأناث]],0)</f>
        <v>0</v>
      </c>
      <c r="AI24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24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24" s="126">
        <f>IF(AND(الجدول145[[#This Row],[البرنامج]]="OOSCH",الجدول145[[#This Row],[نوع الجلسة]]=$BZ$4),1,0)</f>
        <v>0</v>
      </c>
      <c r="AL24" s="126">
        <f>IF(AND(الجدول145[[#This Row],[البرنامج]]="OOSCH",الجدول145[[#This Row],[نوع الجلسة]]=$BZ$4),الجدول145[[#This Row],[عدد الذكور]],0)</f>
        <v>0</v>
      </c>
      <c r="AM24" s="126">
        <f>IF(AND(الجدول145[[#This Row],[البرنامج]]="OOSCH",الجدول145[[#This Row],[نوع الجلسة]]=$BZ$4),الجدول145[[#This Row],[عدد الأناث]],0)</f>
        <v>0</v>
      </c>
      <c r="AN24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24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24" s="123">
        <f>IF(AND(الجدول145[[#This Row],[نوع الجلسة]]=$BZ$5,الجدول145[[#This Row],[البرنامج]]=$BX$3),1,0)</f>
        <v>0</v>
      </c>
      <c r="AQ24" s="123">
        <f>IF(AND(الجدول145[[#This Row],[البرنامج]]="PLW",الجدول145[[#This Row],[نوع الجلسة]]=$BZ$5),الجدول145[[#This Row],[عدد الذكور]],0)</f>
        <v>0</v>
      </c>
      <c r="AR24" s="123">
        <f>IF(AND(الجدول145[[#This Row],[البرنامج]]="PLW",الجدول145[[#This Row],[نوع الجلسة]]=$BZ$5),الجدول145[[#This Row],[عدد الأناث]],0)</f>
        <v>0</v>
      </c>
      <c r="AS24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24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24" s="127">
        <f>IF(AND(الجدول145[[#This Row],[نوع الجلسة]]=$BZ$5,الجدول145[[#This Row],[البرنامج]]=$BX$2),1,0)</f>
        <v>0</v>
      </c>
      <c r="AV24" s="127">
        <f>IF(AND(الجدول145[[#This Row],[البرنامج]]="OOSCH",الجدول145[[#This Row],[نوع الجلسة]]=$BZ$5),الجدول145[[#This Row],[عدد الذكور]],0)</f>
        <v>0</v>
      </c>
      <c r="AW24" s="127">
        <f>IF(AND(الجدول145[[#This Row],[البرنامج]]="OOSCH",الجدول145[[#This Row],[نوع الجلسة]]=$BZ$5),الجدول145[[#This Row],[عدد الأناث]],0)</f>
        <v>0</v>
      </c>
      <c r="AX24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24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24" s="121">
        <f>IF(AND(الجدول145[[#This Row],[نوع الجلسة]]=$BZ$6,الجدول145[[#This Row],[البرنامج]]=$BX$3),1,0)</f>
        <v>0</v>
      </c>
      <c r="BA24" s="121">
        <f>IF(AND(الجدول145[[#This Row],[البرنامج]]="PLW",الجدول145[[#This Row],[نوع الجلسة]]=$BZ$6),الجدول145[[#This Row],[عدد الذكور]],0)</f>
        <v>0</v>
      </c>
      <c r="BB24" s="121">
        <f>IF(AND(الجدول145[[#This Row],[البرنامج]]="PLW",الجدول145[[#This Row],[نوع الجلسة]]=$BZ$6),الجدول145[[#This Row],[عدد الأناث]],0)</f>
        <v>0</v>
      </c>
      <c r="BC24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24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24" s="122">
        <f>IF(AND(الجدول145[[#This Row],[نوع الجلسة]]=$BZ$6,الجدول145[[#This Row],[البرنامج]]=$BX$2),1,0)</f>
        <v>0</v>
      </c>
      <c r="BF24" s="122">
        <f>IF(AND(الجدول145[[#This Row],[البرنامج]]="OOSCH",الجدول145[[#This Row],[نوع الجلسة]]=$BZ$6),الجدول145[[#This Row],[عدد الذكور]],0)</f>
        <v>0</v>
      </c>
      <c r="BG24" s="122">
        <f>IF(AND(الجدول145[[#This Row],[البرنامج]]="OOSCH",الجدول145[[#This Row],[نوع الجلسة]]=$BZ$6),الجدول145[[#This Row],[عدد الأناث]],0)</f>
        <v>0</v>
      </c>
      <c r="BH24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24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25" spans="4:61" ht="31.5" customHeight="1" x14ac:dyDescent="0.25">
      <c r="D25" s="9"/>
      <c r="E25" s="9"/>
      <c r="F25" s="9"/>
      <c r="G25" s="9"/>
      <c r="H25" s="9"/>
      <c r="I25" s="9"/>
      <c r="J25" s="9"/>
      <c r="K25" s="9">
        <f>SUM(الجدول145[[#This Row],[عدد الذكور]:[عدد الأناث]])</f>
        <v>0</v>
      </c>
      <c r="L25" s="120">
        <f>IF(AND(الجدول145[[#This Row],[البرنامج]]="PLW",الجدول145[[#This Row],[نوع الجلسة]]=$BZ$2),1,0)</f>
        <v>0</v>
      </c>
      <c r="M25" s="120">
        <f>IF(AND(الجدول145[[#This Row],[نوع الجلسة]]=$BZ$2,الجدول145[[#This Row],[البرنامج]]="PLW"),الجدول145[[#This Row],[عدد الذكور]],0)</f>
        <v>0</v>
      </c>
      <c r="N25" s="120">
        <f>IF(AND(الجدول145[[#This Row],[نوع الجلسة]]=$BZ$2,الجدول145[[#This Row],[البرنامج]]="PLW"),الجدول145[[#This Row],[عدد الأناث]],0)</f>
        <v>0</v>
      </c>
      <c r="O25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25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25" s="123">
        <f>IF(AND(الجدول145[[#This Row],[البرنامج]]="OOSCH",الجدول145[[#This Row],[نوع الجلسة]]=$BZ$2),1,0)</f>
        <v>0</v>
      </c>
      <c r="R25" s="123">
        <f>IF(AND(الجدول145[[#This Row],[البرنامج]]="OOSCH",الجدول145[[#This Row],[نوع الجلسة]]=$BZ$2),الجدول145[[#This Row],[عدد الذكور]],0)</f>
        <v>0</v>
      </c>
      <c r="S25" s="123">
        <f>IF(AND(الجدول145[[#This Row],[البرنامج]]="OOSCH",الجدول145[[#This Row],[نوع الجلسة]]=$BZ$2),الجدول145[[#This Row],[عدد الأناث]],0)</f>
        <v>0</v>
      </c>
      <c r="T25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25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25" s="124">
        <f>IF(AND(الجدول145[[#This Row],[البرنامج]]="PLW",الجدول145[[#This Row],[نوع الجلسة]]="معلومات صحة تغذوية للسيدة الحامل"),1,0)</f>
        <v>0</v>
      </c>
      <c r="W25" s="124">
        <f>IF(AND(الجدول145[[#This Row],[نوع الجلسة]]=$BZ$3,الجدول145[[#This Row],[البرنامج]]="PLW"),الجدول145[[#This Row],[عدد الذكور]],0)</f>
        <v>0</v>
      </c>
      <c r="X25" s="124">
        <f>IF(AND(الجدول145[[#This Row],[نوع الجلسة]]=$BZ$3,الجدول145[[#This Row],[البرنامج]]="PLW"),الجدول145[[#This Row],[عدد الأناث]],0)</f>
        <v>0</v>
      </c>
      <c r="Y25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25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25" s="113">
        <f>IF(AND(الجدول145[[#This Row],[البرنامج]]="PLW",الجدول145[[#This Row],[نوع الجلسة]]=$BZ$4),1,0)</f>
        <v>0</v>
      </c>
      <c r="AB25" s="113">
        <f>IF(AND(الجدول145[[#This Row],[البرنامج]]="PLW",الجدول145[[#This Row],[نوع الجلسة]]=$BZ$4),الجدول145[[#This Row],[عدد الذكور]],0)</f>
        <v>0</v>
      </c>
      <c r="AC25" s="113">
        <f>IF(AND(الجدول145[[#This Row],[البرنامج]]="PLW",الجدول145[[#This Row],[نوع الجلسة]]=$BZ$4),الجدول145[[#This Row],[عدد الأناث]],0)</f>
        <v>0</v>
      </c>
      <c r="AD25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25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25" s="125">
        <f>IF(AND(الجدول145[[#This Row],[البرنامج]]="OOSCH",الجدول145[[#This Row],[نوع الجلسة]]=$BZ$7),1,0)</f>
        <v>0</v>
      </c>
      <c r="AG25" s="125">
        <f>IF(AND(الجدول145[[#This Row],[البرنامج]]="OOSCH",الجدول145[[#This Row],[نوع الجلسة]]=$BZ$7),الجدول145[[#This Row],[عدد الذكور]],0)</f>
        <v>0</v>
      </c>
      <c r="AH25" s="125">
        <f>IF(AND(الجدول145[[#This Row],[البرنامج]]="OOSCH",الجدول145[[#This Row],[نوع الجلسة]]=$BZ$7),الجدول145[[#This Row],[عدد الأناث]],0)</f>
        <v>0</v>
      </c>
      <c r="AI25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25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25" s="126">
        <f>IF(AND(الجدول145[[#This Row],[البرنامج]]="OOSCH",الجدول145[[#This Row],[نوع الجلسة]]=$BZ$4),1,0)</f>
        <v>0</v>
      </c>
      <c r="AL25" s="126">
        <f>IF(AND(الجدول145[[#This Row],[البرنامج]]="OOSCH",الجدول145[[#This Row],[نوع الجلسة]]=$BZ$4),الجدول145[[#This Row],[عدد الذكور]],0)</f>
        <v>0</v>
      </c>
      <c r="AM25" s="126">
        <f>IF(AND(الجدول145[[#This Row],[البرنامج]]="OOSCH",الجدول145[[#This Row],[نوع الجلسة]]=$BZ$4),الجدول145[[#This Row],[عدد الأناث]],0)</f>
        <v>0</v>
      </c>
      <c r="AN25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25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25" s="123">
        <f>IF(AND(الجدول145[[#This Row],[نوع الجلسة]]=$BZ$5,الجدول145[[#This Row],[البرنامج]]=$BX$3),1,0)</f>
        <v>0</v>
      </c>
      <c r="AQ25" s="123">
        <f>IF(AND(الجدول145[[#This Row],[البرنامج]]="PLW",الجدول145[[#This Row],[نوع الجلسة]]=$BZ$5),الجدول145[[#This Row],[عدد الذكور]],0)</f>
        <v>0</v>
      </c>
      <c r="AR25" s="123">
        <f>IF(AND(الجدول145[[#This Row],[البرنامج]]="PLW",الجدول145[[#This Row],[نوع الجلسة]]=$BZ$5),الجدول145[[#This Row],[عدد الأناث]],0)</f>
        <v>0</v>
      </c>
      <c r="AS25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25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25" s="127">
        <f>IF(AND(الجدول145[[#This Row],[نوع الجلسة]]=$BZ$5,الجدول145[[#This Row],[البرنامج]]=$BX$2),1,0)</f>
        <v>0</v>
      </c>
      <c r="AV25" s="127">
        <f>IF(AND(الجدول145[[#This Row],[البرنامج]]="OOSCH",الجدول145[[#This Row],[نوع الجلسة]]=$BZ$5),الجدول145[[#This Row],[عدد الذكور]],0)</f>
        <v>0</v>
      </c>
      <c r="AW25" s="127">
        <f>IF(AND(الجدول145[[#This Row],[البرنامج]]="OOSCH",الجدول145[[#This Row],[نوع الجلسة]]=$BZ$5),الجدول145[[#This Row],[عدد الأناث]],0)</f>
        <v>0</v>
      </c>
      <c r="AX25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25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25" s="121">
        <f>IF(AND(الجدول145[[#This Row],[نوع الجلسة]]=$BZ$6,الجدول145[[#This Row],[البرنامج]]=$BX$3),1,0)</f>
        <v>0</v>
      </c>
      <c r="BA25" s="121">
        <f>IF(AND(الجدول145[[#This Row],[البرنامج]]="PLW",الجدول145[[#This Row],[نوع الجلسة]]=$BZ$6),الجدول145[[#This Row],[عدد الذكور]],0)</f>
        <v>0</v>
      </c>
      <c r="BB25" s="121">
        <f>IF(AND(الجدول145[[#This Row],[البرنامج]]="PLW",الجدول145[[#This Row],[نوع الجلسة]]=$BZ$6),الجدول145[[#This Row],[عدد الأناث]],0)</f>
        <v>0</v>
      </c>
      <c r="BC25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25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25" s="122">
        <f>IF(AND(الجدول145[[#This Row],[نوع الجلسة]]=$BZ$6,الجدول145[[#This Row],[البرنامج]]=$BX$2),1,0)</f>
        <v>0</v>
      </c>
      <c r="BF25" s="122">
        <f>IF(AND(الجدول145[[#This Row],[البرنامج]]="OOSCH",الجدول145[[#This Row],[نوع الجلسة]]=$BZ$6),الجدول145[[#This Row],[عدد الذكور]],0)</f>
        <v>0</v>
      </c>
      <c r="BG25" s="122">
        <f>IF(AND(الجدول145[[#This Row],[البرنامج]]="OOSCH",الجدول145[[#This Row],[نوع الجلسة]]=$BZ$6),الجدول145[[#This Row],[عدد الأناث]],0)</f>
        <v>0</v>
      </c>
      <c r="BH25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25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26" spans="4:61" ht="31.5" customHeight="1" x14ac:dyDescent="0.25">
      <c r="D26" s="9"/>
      <c r="E26" s="9"/>
      <c r="F26" s="9"/>
      <c r="G26" s="9"/>
      <c r="H26" s="9"/>
      <c r="I26" s="9"/>
      <c r="J26" s="9"/>
      <c r="K26" s="9">
        <f>SUM(الجدول145[[#This Row],[عدد الذكور]:[عدد الأناث]])</f>
        <v>0</v>
      </c>
      <c r="L26" s="120">
        <f>IF(AND(الجدول145[[#This Row],[البرنامج]]="PLW",الجدول145[[#This Row],[نوع الجلسة]]=$BZ$2),1,0)</f>
        <v>0</v>
      </c>
      <c r="M26" s="120">
        <f>IF(AND(الجدول145[[#This Row],[نوع الجلسة]]=$BZ$2,الجدول145[[#This Row],[البرنامج]]="PLW"),الجدول145[[#This Row],[عدد الذكور]],0)</f>
        <v>0</v>
      </c>
      <c r="N26" s="120">
        <f>IF(AND(الجدول145[[#This Row],[نوع الجلسة]]=$BZ$2,الجدول145[[#This Row],[البرنامج]]="PLW"),الجدول145[[#This Row],[عدد الأناث]],0)</f>
        <v>0</v>
      </c>
      <c r="O26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26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26" s="123">
        <f>IF(AND(الجدول145[[#This Row],[البرنامج]]="OOSCH",الجدول145[[#This Row],[نوع الجلسة]]=$BZ$2),1,0)</f>
        <v>0</v>
      </c>
      <c r="R26" s="123">
        <f>IF(AND(الجدول145[[#This Row],[البرنامج]]="OOSCH",الجدول145[[#This Row],[نوع الجلسة]]=$BZ$2),الجدول145[[#This Row],[عدد الذكور]],0)</f>
        <v>0</v>
      </c>
      <c r="S26" s="123">
        <f>IF(AND(الجدول145[[#This Row],[البرنامج]]="OOSCH",الجدول145[[#This Row],[نوع الجلسة]]=$BZ$2),الجدول145[[#This Row],[عدد الأناث]],0)</f>
        <v>0</v>
      </c>
      <c r="T26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26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26" s="124">
        <f>IF(AND(الجدول145[[#This Row],[البرنامج]]="PLW",الجدول145[[#This Row],[نوع الجلسة]]="معلومات صحة تغذوية للسيدة الحامل"),1,0)</f>
        <v>0</v>
      </c>
      <c r="W26" s="124">
        <f>IF(AND(الجدول145[[#This Row],[نوع الجلسة]]=$BZ$3,الجدول145[[#This Row],[البرنامج]]="PLW"),الجدول145[[#This Row],[عدد الذكور]],0)</f>
        <v>0</v>
      </c>
      <c r="X26" s="124">
        <f>IF(AND(الجدول145[[#This Row],[نوع الجلسة]]=$BZ$3,الجدول145[[#This Row],[البرنامج]]="PLW"),الجدول145[[#This Row],[عدد الأناث]],0)</f>
        <v>0</v>
      </c>
      <c r="Y26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26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26" s="113">
        <f>IF(AND(الجدول145[[#This Row],[البرنامج]]="PLW",الجدول145[[#This Row],[نوع الجلسة]]=$BZ$4),1,0)</f>
        <v>0</v>
      </c>
      <c r="AB26" s="113">
        <f>IF(AND(الجدول145[[#This Row],[البرنامج]]="PLW",الجدول145[[#This Row],[نوع الجلسة]]=$BZ$4),الجدول145[[#This Row],[عدد الذكور]],0)</f>
        <v>0</v>
      </c>
      <c r="AC26" s="113">
        <f>IF(AND(الجدول145[[#This Row],[البرنامج]]="PLW",الجدول145[[#This Row],[نوع الجلسة]]=$BZ$4),الجدول145[[#This Row],[عدد الأناث]],0)</f>
        <v>0</v>
      </c>
      <c r="AD26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26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26" s="125">
        <f>IF(AND(الجدول145[[#This Row],[البرنامج]]="OOSCH",الجدول145[[#This Row],[نوع الجلسة]]=$BZ$7),1,0)</f>
        <v>0</v>
      </c>
      <c r="AG26" s="125">
        <f>IF(AND(الجدول145[[#This Row],[البرنامج]]="OOSCH",الجدول145[[#This Row],[نوع الجلسة]]=$BZ$7),الجدول145[[#This Row],[عدد الذكور]],0)</f>
        <v>0</v>
      </c>
      <c r="AH26" s="125">
        <f>IF(AND(الجدول145[[#This Row],[البرنامج]]="OOSCH",الجدول145[[#This Row],[نوع الجلسة]]=$BZ$7),الجدول145[[#This Row],[عدد الأناث]],0)</f>
        <v>0</v>
      </c>
      <c r="AI26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26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26" s="126">
        <f>IF(AND(الجدول145[[#This Row],[البرنامج]]="OOSCH",الجدول145[[#This Row],[نوع الجلسة]]=$BZ$4),1,0)</f>
        <v>0</v>
      </c>
      <c r="AL26" s="126">
        <f>IF(AND(الجدول145[[#This Row],[البرنامج]]="OOSCH",الجدول145[[#This Row],[نوع الجلسة]]=$BZ$4),الجدول145[[#This Row],[عدد الذكور]],0)</f>
        <v>0</v>
      </c>
      <c r="AM26" s="126">
        <f>IF(AND(الجدول145[[#This Row],[البرنامج]]="OOSCH",الجدول145[[#This Row],[نوع الجلسة]]=$BZ$4),الجدول145[[#This Row],[عدد الأناث]],0)</f>
        <v>0</v>
      </c>
      <c r="AN26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26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26" s="123">
        <f>IF(AND(الجدول145[[#This Row],[نوع الجلسة]]=$BZ$5,الجدول145[[#This Row],[البرنامج]]=$BX$3),1,0)</f>
        <v>0</v>
      </c>
      <c r="AQ26" s="123">
        <f>IF(AND(الجدول145[[#This Row],[البرنامج]]="PLW",الجدول145[[#This Row],[نوع الجلسة]]=$BZ$5),الجدول145[[#This Row],[عدد الذكور]],0)</f>
        <v>0</v>
      </c>
      <c r="AR26" s="123">
        <f>IF(AND(الجدول145[[#This Row],[البرنامج]]="PLW",الجدول145[[#This Row],[نوع الجلسة]]=$BZ$5),الجدول145[[#This Row],[عدد الأناث]],0)</f>
        <v>0</v>
      </c>
      <c r="AS26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26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26" s="127">
        <f>IF(AND(الجدول145[[#This Row],[نوع الجلسة]]=$BZ$5,الجدول145[[#This Row],[البرنامج]]=$BX$2),1,0)</f>
        <v>0</v>
      </c>
      <c r="AV26" s="127">
        <f>IF(AND(الجدول145[[#This Row],[البرنامج]]="OOSCH",الجدول145[[#This Row],[نوع الجلسة]]=$BZ$5),الجدول145[[#This Row],[عدد الذكور]],0)</f>
        <v>0</v>
      </c>
      <c r="AW26" s="127">
        <f>IF(AND(الجدول145[[#This Row],[البرنامج]]="OOSCH",الجدول145[[#This Row],[نوع الجلسة]]=$BZ$5),الجدول145[[#This Row],[عدد الأناث]],0)</f>
        <v>0</v>
      </c>
      <c r="AX26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26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26" s="121">
        <f>IF(AND(الجدول145[[#This Row],[نوع الجلسة]]=$BZ$6,الجدول145[[#This Row],[البرنامج]]=$BX$3),1,0)</f>
        <v>0</v>
      </c>
      <c r="BA26" s="121">
        <f>IF(AND(الجدول145[[#This Row],[البرنامج]]="PLW",الجدول145[[#This Row],[نوع الجلسة]]=$BZ$6),الجدول145[[#This Row],[عدد الذكور]],0)</f>
        <v>0</v>
      </c>
      <c r="BB26" s="121">
        <f>IF(AND(الجدول145[[#This Row],[البرنامج]]="PLW",الجدول145[[#This Row],[نوع الجلسة]]=$BZ$6),الجدول145[[#This Row],[عدد الأناث]],0)</f>
        <v>0</v>
      </c>
      <c r="BC26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26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26" s="122">
        <f>IF(AND(الجدول145[[#This Row],[نوع الجلسة]]=$BZ$6,الجدول145[[#This Row],[البرنامج]]=$BX$2),1,0)</f>
        <v>0</v>
      </c>
      <c r="BF26" s="122">
        <f>IF(AND(الجدول145[[#This Row],[البرنامج]]="OOSCH",الجدول145[[#This Row],[نوع الجلسة]]=$BZ$6),الجدول145[[#This Row],[عدد الذكور]],0)</f>
        <v>0</v>
      </c>
      <c r="BG26" s="122">
        <f>IF(AND(الجدول145[[#This Row],[البرنامج]]="OOSCH",الجدول145[[#This Row],[نوع الجلسة]]=$BZ$6),الجدول145[[#This Row],[عدد الأناث]],0)</f>
        <v>0</v>
      </c>
      <c r="BH26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26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27" spans="4:61" ht="31.5" customHeight="1" x14ac:dyDescent="0.25">
      <c r="D27" s="9"/>
      <c r="E27" s="9"/>
      <c r="F27" s="9"/>
      <c r="G27" s="9"/>
      <c r="H27" s="9"/>
      <c r="I27" s="9"/>
      <c r="J27" s="9"/>
      <c r="K27" s="9">
        <f>SUM(الجدول145[[#This Row],[عدد الذكور]:[عدد الأناث]])</f>
        <v>0</v>
      </c>
      <c r="L27" s="120">
        <f>IF(AND(الجدول145[[#This Row],[البرنامج]]="PLW",الجدول145[[#This Row],[نوع الجلسة]]=$BZ$2),1,0)</f>
        <v>0</v>
      </c>
      <c r="M27" s="120">
        <f>IF(AND(الجدول145[[#This Row],[نوع الجلسة]]=$BZ$2,الجدول145[[#This Row],[البرنامج]]="PLW"),الجدول145[[#This Row],[عدد الذكور]],0)</f>
        <v>0</v>
      </c>
      <c r="N27" s="120">
        <f>IF(AND(الجدول145[[#This Row],[نوع الجلسة]]=$BZ$2,الجدول145[[#This Row],[البرنامج]]="PLW"),الجدول145[[#This Row],[عدد الأناث]],0)</f>
        <v>0</v>
      </c>
      <c r="O27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27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27" s="123">
        <f>IF(AND(الجدول145[[#This Row],[البرنامج]]="OOSCH",الجدول145[[#This Row],[نوع الجلسة]]=$BZ$2),1,0)</f>
        <v>0</v>
      </c>
      <c r="R27" s="123">
        <f>IF(AND(الجدول145[[#This Row],[البرنامج]]="OOSCH",الجدول145[[#This Row],[نوع الجلسة]]=$BZ$2),الجدول145[[#This Row],[عدد الذكور]],0)</f>
        <v>0</v>
      </c>
      <c r="S27" s="123">
        <f>IF(AND(الجدول145[[#This Row],[البرنامج]]="OOSCH",الجدول145[[#This Row],[نوع الجلسة]]=$BZ$2),الجدول145[[#This Row],[عدد الأناث]],0)</f>
        <v>0</v>
      </c>
      <c r="T27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27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27" s="124">
        <f>IF(AND(الجدول145[[#This Row],[البرنامج]]="PLW",الجدول145[[#This Row],[نوع الجلسة]]="معلومات صحة تغذوية للسيدة الحامل"),1,0)</f>
        <v>0</v>
      </c>
      <c r="W27" s="124">
        <f>IF(AND(الجدول145[[#This Row],[نوع الجلسة]]=$BZ$3,الجدول145[[#This Row],[البرنامج]]="PLW"),الجدول145[[#This Row],[عدد الذكور]],0)</f>
        <v>0</v>
      </c>
      <c r="X27" s="124">
        <f>IF(AND(الجدول145[[#This Row],[نوع الجلسة]]=$BZ$3,الجدول145[[#This Row],[البرنامج]]="PLW"),الجدول145[[#This Row],[عدد الأناث]],0)</f>
        <v>0</v>
      </c>
      <c r="Y27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27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27" s="113">
        <f>IF(AND(الجدول145[[#This Row],[البرنامج]]="PLW",الجدول145[[#This Row],[نوع الجلسة]]=$BZ$4),1,0)</f>
        <v>0</v>
      </c>
      <c r="AB27" s="113">
        <f>IF(AND(الجدول145[[#This Row],[البرنامج]]="PLW",الجدول145[[#This Row],[نوع الجلسة]]=$BZ$4),الجدول145[[#This Row],[عدد الذكور]],0)</f>
        <v>0</v>
      </c>
      <c r="AC27" s="113">
        <f>IF(AND(الجدول145[[#This Row],[البرنامج]]="PLW",الجدول145[[#This Row],[نوع الجلسة]]=$BZ$4),الجدول145[[#This Row],[عدد الأناث]],0)</f>
        <v>0</v>
      </c>
      <c r="AD27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27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27" s="125">
        <f>IF(AND(الجدول145[[#This Row],[البرنامج]]="OOSCH",الجدول145[[#This Row],[نوع الجلسة]]=$BZ$7),1,0)</f>
        <v>0</v>
      </c>
      <c r="AG27" s="125">
        <f>IF(AND(الجدول145[[#This Row],[البرنامج]]="OOSCH",الجدول145[[#This Row],[نوع الجلسة]]=$BZ$7),الجدول145[[#This Row],[عدد الذكور]],0)</f>
        <v>0</v>
      </c>
      <c r="AH27" s="125">
        <f>IF(AND(الجدول145[[#This Row],[البرنامج]]="OOSCH",الجدول145[[#This Row],[نوع الجلسة]]=$BZ$7),الجدول145[[#This Row],[عدد الأناث]],0)</f>
        <v>0</v>
      </c>
      <c r="AI27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27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27" s="126">
        <f>IF(AND(الجدول145[[#This Row],[البرنامج]]="OOSCH",الجدول145[[#This Row],[نوع الجلسة]]=$BZ$4),1,0)</f>
        <v>0</v>
      </c>
      <c r="AL27" s="126">
        <f>IF(AND(الجدول145[[#This Row],[البرنامج]]="OOSCH",الجدول145[[#This Row],[نوع الجلسة]]=$BZ$4),الجدول145[[#This Row],[عدد الذكور]],0)</f>
        <v>0</v>
      </c>
      <c r="AM27" s="126">
        <f>IF(AND(الجدول145[[#This Row],[البرنامج]]="OOSCH",الجدول145[[#This Row],[نوع الجلسة]]=$BZ$4),الجدول145[[#This Row],[عدد الأناث]],0)</f>
        <v>0</v>
      </c>
      <c r="AN27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27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27" s="123">
        <f>IF(AND(الجدول145[[#This Row],[نوع الجلسة]]=$BZ$5,الجدول145[[#This Row],[البرنامج]]=$BX$3),1,0)</f>
        <v>0</v>
      </c>
      <c r="AQ27" s="123">
        <f>IF(AND(الجدول145[[#This Row],[البرنامج]]="PLW",الجدول145[[#This Row],[نوع الجلسة]]=$BZ$5),الجدول145[[#This Row],[عدد الذكور]],0)</f>
        <v>0</v>
      </c>
      <c r="AR27" s="123">
        <f>IF(AND(الجدول145[[#This Row],[البرنامج]]="PLW",الجدول145[[#This Row],[نوع الجلسة]]=$BZ$5),الجدول145[[#This Row],[عدد الأناث]],0)</f>
        <v>0</v>
      </c>
      <c r="AS27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27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27" s="127">
        <f>IF(AND(الجدول145[[#This Row],[نوع الجلسة]]=$BZ$5,الجدول145[[#This Row],[البرنامج]]=$BX$2),1,0)</f>
        <v>0</v>
      </c>
      <c r="AV27" s="127">
        <f>IF(AND(الجدول145[[#This Row],[البرنامج]]="OOSCH",الجدول145[[#This Row],[نوع الجلسة]]=$BZ$5),الجدول145[[#This Row],[عدد الذكور]],0)</f>
        <v>0</v>
      </c>
      <c r="AW27" s="127">
        <f>IF(AND(الجدول145[[#This Row],[البرنامج]]="OOSCH",الجدول145[[#This Row],[نوع الجلسة]]=$BZ$5),الجدول145[[#This Row],[عدد الأناث]],0)</f>
        <v>0</v>
      </c>
      <c r="AX27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27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27" s="121">
        <f>IF(AND(الجدول145[[#This Row],[نوع الجلسة]]=$BZ$6,الجدول145[[#This Row],[البرنامج]]=$BX$3),1,0)</f>
        <v>0</v>
      </c>
      <c r="BA27" s="121">
        <f>IF(AND(الجدول145[[#This Row],[البرنامج]]="PLW",الجدول145[[#This Row],[نوع الجلسة]]=$BZ$6),الجدول145[[#This Row],[عدد الذكور]],0)</f>
        <v>0</v>
      </c>
      <c r="BB27" s="121">
        <f>IF(AND(الجدول145[[#This Row],[البرنامج]]="PLW",الجدول145[[#This Row],[نوع الجلسة]]=$BZ$6),الجدول145[[#This Row],[عدد الأناث]],0)</f>
        <v>0</v>
      </c>
      <c r="BC27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27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27" s="122">
        <f>IF(AND(الجدول145[[#This Row],[نوع الجلسة]]=$BZ$6,الجدول145[[#This Row],[البرنامج]]=$BX$2),1,0)</f>
        <v>0</v>
      </c>
      <c r="BF27" s="122">
        <f>IF(AND(الجدول145[[#This Row],[البرنامج]]="OOSCH",الجدول145[[#This Row],[نوع الجلسة]]=$BZ$6),الجدول145[[#This Row],[عدد الذكور]],0)</f>
        <v>0</v>
      </c>
      <c r="BG27" s="122">
        <f>IF(AND(الجدول145[[#This Row],[البرنامج]]="OOSCH",الجدول145[[#This Row],[نوع الجلسة]]=$BZ$6),الجدول145[[#This Row],[عدد الأناث]],0)</f>
        <v>0</v>
      </c>
      <c r="BH27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27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28" spans="4:61" ht="31.5" customHeight="1" x14ac:dyDescent="0.25">
      <c r="D28" s="9"/>
      <c r="E28" s="9"/>
      <c r="F28" s="9"/>
      <c r="G28" s="9"/>
      <c r="H28" s="9"/>
      <c r="I28" s="9"/>
      <c r="J28" s="9"/>
      <c r="K28" s="9">
        <f>SUM(الجدول145[[#This Row],[عدد الذكور]:[عدد الأناث]])</f>
        <v>0</v>
      </c>
      <c r="L28" s="120">
        <f>IF(AND(الجدول145[[#This Row],[البرنامج]]="PLW",الجدول145[[#This Row],[نوع الجلسة]]=$BZ$2),1,0)</f>
        <v>0</v>
      </c>
      <c r="M28" s="120">
        <f>IF(AND(الجدول145[[#This Row],[نوع الجلسة]]=$BZ$2,الجدول145[[#This Row],[البرنامج]]="PLW"),الجدول145[[#This Row],[عدد الذكور]],0)</f>
        <v>0</v>
      </c>
      <c r="N28" s="120">
        <f>IF(AND(الجدول145[[#This Row],[نوع الجلسة]]=$BZ$2,الجدول145[[#This Row],[البرنامج]]="PLW"),الجدول145[[#This Row],[عدد الأناث]],0)</f>
        <v>0</v>
      </c>
      <c r="O28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28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28" s="123">
        <f>IF(AND(الجدول145[[#This Row],[البرنامج]]="OOSCH",الجدول145[[#This Row],[نوع الجلسة]]=$BZ$2),1,0)</f>
        <v>0</v>
      </c>
      <c r="R28" s="123">
        <f>IF(AND(الجدول145[[#This Row],[البرنامج]]="OOSCH",الجدول145[[#This Row],[نوع الجلسة]]=$BZ$2),الجدول145[[#This Row],[عدد الذكور]],0)</f>
        <v>0</v>
      </c>
      <c r="S28" s="123">
        <f>IF(AND(الجدول145[[#This Row],[البرنامج]]="OOSCH",الجدول145[[#This Row],[نوع الجلسة]]=$BZ$2),الجدول145[[#This Row],[عدد الأناث]],0)</f>
        <v>0</v>
      </c>
      <c r="T28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28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28" s="124">
        <f>IF(AND(الجدول145[[#This Row],[البرنامج]]="PLW",الجدول145[[#This Row],[نوع الجلسة]]="معلومات صحة تغذوية للسيدة الحامل"),1,0)</f>
        <v>0</v>
      </c>
      <c r="W28" s="124">
        <f>IF(AND(الجدول145[[#This Row],[نوع الجلسة]]=$BZ$3,الجدول145[[#This Row],[البرنامج]]="PLW"),الجدول145[[#This Row],[عدد الذكور]],0)</f>
        <v>0</v>
      </c>
      <c r="X28" s="124">
        <f>IF(AND(الجدول145[[#This Row],[نوع الجلسة]]=$BZ$3,الجدول145[[#This Row],[البرنامج]]="PLW"),الجدول145[[#This Row],[عدد الأناث]],0)</f>
        <v>0</v>
      </c>
      <c r="Y28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28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28" s="113">
        <f>IF(AND(الجدول145[[#This Row],[البرنامج]]="PLW",الجدول145[[#This Row],[نوع الجلسة]]=$BZ$4),1,0)</f>
        <v>0</v>
      </c>
      <c r="AB28" s="113">
        <f>IF(AND(الجدول145[[#This Row],[البرنامج]]="PLW",الجدول145[[#This Row],[نوع الجلسة]]=$BZ$4),الجدول145[[#This Row],[عدد الذكور]],0)</f>
        <v>0</v>
      </c>
      <c r="AC28" s="113">
        <f>IF(AND(الجدول145[[#This Row],[البرنامج]]="PLW",الجدول145[[#This Row],[نوع الجلسة]]=$BZ$4),الجدول145[[#This Row],[عدد الأناث]],0)</f>
        <v>0</v>
      </c>
      <c r="AD28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28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28" s="125">
        <f>IF(AND(الجدول145[[#This Row],[البرنامج]]="OOSCH",الجدول145[[#This Row],[نوع الجلسة]]=$BZ$7),1,0)</f>
        <v>0</v>
      </c>
      <c r="AG28" s="125">
        <f>IF(AND(الجدول145[[#This Row],[البرنامج]]="OOSCH",الجدول145[[#This Row],[نوع الجلسة]]=$BZ$7),الجدول145[[#This Row],[عدد الذكور]],0)</f>
        <v>0</v>
      </c>
      <c r="AH28" s="125">
        <f>IF(AND(الجدول145[[#This Row],[البرنامج]]="OOSCH",الجدول145[[#This Row],[نوع الجلسة]]=$BZ$7),الجدول145[[#This Row],[عدد الأناث]],0)</f>
        <v>0</v>
      </c>
      <c r="AI28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28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28" s="126">
        <f>IF(AND(الجدول145[[#This Row],[البرنامج]]="OOSCH",الجدول145[[#This Row],[نوع الجلسة]]=$BZ$4),1,0)</f>
        <v>0</v>
      </c>
      <c r="AL28" s="126">
        <f>IF(AND(الجدول145[[#This Row],[البرنامج]]="OOSCH",الجدول145[[#This Row],[نوع الجلسة]]=$BZ$4),الجدول145[[#This Row],[عدد الذكور]],0)</f>
        <v>0</v>
      </c>
      <c r="AM28" s="126">
        <f>IF(AND(الجدول145[[#This Row],[البرنامج]]="OOSCH",الجدول145[[#This Row],[نوع الجلسة]]=$BZ$4),الجدول145[[#This Row],[عدد الأناث]],0)</f>
        <v>0</v>
      </c>
      <c r="AN28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28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28" s="123">
        <f>IF(AND(الجدول145[[#This Row],[نوع الجلسة]]=$BZ$5,الجدول145[[#This Row],[البرنامج]]=$BX$3),1,0)</f>
        <v>0</v>
      </c>
      <c r="AQ28" s="123">
        <f>IF(AND(الجدول145[[#This Row],[البرنامج]]="PLW",الجدول145[[#This Row],[نوع الجلسة]]=$BZ$5),الجدول145[[#This Row],[عدد الذكور]],0)</f>
        <v>0</v>
      </c>
      <c r="AR28" s="123">
        <f>IF(AND(الجدول145[[#This Row],[البرنامج]]="PLW",الجدول145[[#This Row],[نوع الجلسة]]=$BZ$5),الجدول145[[#This Row],[عدد الأناث]],0)</f>
        <v>0</v>
      </c>
      <c r="AS28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28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28" s="127">
        <f>IF(AND(الجدول145[[#This Row],[نوع الجلسة]]=$BZ$5,الجدول145[[#This Row],[البرنامج]]=$BX$2),1,0)</f>
        <v>0</v>
      </c>
      <c r="AV28" s="127">
        <f>IF(AND(الجدول145[[#This Row],[البرنامج]]="OOSCH",الجدول145[[#This Row],[نوع الجلسة]]=$BZ$5),الجدول145[[#This Row],[عدد الذكور]],0)</f>
        <v>0</v>
      </c>
      <c r="AW28" s="127">
        <f>IF(AND(الجدول145[[#This Row],[البرنامج]]="OOSCH",الجدول145[[#This Row],[نوع الجلسة]]=$BZ$5),الجدول145[[#This Row],[عدد الأناث]],0)</f>
        <v>0</v>
      </c>
      <c r="AX28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28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28" s="121">
        <f>IF(AND(الجدول145[[#This Row],[نوع الجلسة]]=$BZ$6,الجدول145[[#This Row],[البرنامج]]=$BX$3),1,0)</f>
        <v>0</v>
      </c>
      <c r="BA28" s="121">
        <f>IF(AND(الجدول145[[#This Row],[البرنامج]]="PLW",الجدول145[[#This Row],[نوع الجلسة]]=$BZ$6),الجدول145[[#This Row],[عدد الذكور]],0)</f>
        <v>0</v>
      </c>
      <c r="BB28" s="121">
        <f>IF(AND(الجدول145[[#This Row],[البرنامج]]="PLW",الجدول145[[#This Row],[نوع الجلسة]]=$BZ$6),الجدول145[[#This Row],[عدد الأناث]],0)</f>
        <v>0</v>
      </c>
      <c r="BC28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28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28" s="122">
        <f>IF(AND(الجدول145[[#This Row],[نوع الجلسة]]=$BZ$6,الجدول145[[#This Row],[البرنامج]]=$BX$2),1,0)</f>
        <v>0</v>
      </c>
      <c r="BF28" s="122">
        <f>IF(AND(الجدول145[[#This Row],[البرنامج]]="OOSCH",الجدول145[[#This Row],[نوع الجلسة]]=$BZ$6),الجدول145[[#This Row],[عدد الذكور]],0)</f>
        <v>0</v>
      </c>
      <c r="BG28" s="122">
        <f>IF(AND(الجدول145[[#This Row],[البرنامج]]="OOSCH",الجدول145[[#This Row],[نوع الجلسة]]=$BZ$6),الجدول145[[#This Row],[عدد الأناث]],0)</f>
        <v>0</v>
      </c>
      <c r="BH28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28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29" spans="4:61" ht="31.5" customHeight="1" x14ac:dyDescent="0.25">
      <c r="D29" s="9"/>
      <c r="E29" s="9"/>
      <c r="F29" s="9"/>
      <c r="G29" s="9"/>
      <c r="H29" s="9"/>
      <c r="I29" s="9"/>
      <c r="J29" s="9"/>
      <c r="K29" s="9">
        <f>SUM(الجدول145[[#This Row],[عدد الذكور]:[عدد الأناث]])</f>
        <v>0</v>
      </c>
      <c r="L29" s="120">
        <f>IF(AND(الجدول145[[#This Row],[البرنامج]]="PLW",الجدول145[[#This Row],[نوع الجلسة]]=$BZ$2),1,0)</f>
        <v>0</v>
      </c>
      <c r="M29" s="120">
        <f>IF(AND(الجدول145[[#This Row],[نوع الجلسة]]=$BZ$2,الجدول145[[#This Row],[البرنامج]]="PLW"),الجدول145[[#This Row],[عدد الذكور]],0)</f>
        <v>0</v>
      </c>
      <c r="N29" s="120">
        <f>IF(AND(الجدول145[[#This Row],[نوع الجلسة]]=$BZ$2,الجدول145[[#This Row],[البرنامج]]="PLW"),الجدول145[[#This Row],[عدد الأناث]],0)</f>
        <v>0</v>
      </c>
      <c r="O29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29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29" s="123">
        <f>IF(AND(الجدول145[[#This Row],[البرنامج]]="OOSCH",الجدول145[[#This Row],[نوع الجلسة]]=$BZ$2),1,0)</f>
        <v>0</v>
      </c>
      <c r="R29" s="123">
        <f>IF(AND(الجدول145[[#This Row],[البرنامج]]="OOSCH",الجدول145[[#This Row],[نوع الجلسة]]=$BZ$2),الجدول145[[#This Row],[عدد الذكور]],0)</f>
        <v>0</v>
      </c>
      <c r="S29" s="123">
        <f>IF(AND(الجدول145[[#This Row],[البرنامج]]="OOSCH",الجدول145[[#This Row],[نوع الجلسة]]=$BZ$2),الجدول145[[#This Row],[عدد الأناث]],0)</f>
        <v>0</v>
      </c>
      <c r="T29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29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29" s="124">
        <f>IF(AND(الجدول145[[#This Row],[البرنامج]]="PLW",الجدول145[[#This Row],[نوع الجلسة]]="معلومات صحة تغذوية للسيدة الحامل"),1,0)</f>
        <v>0</v>
      </c>
      <c r="W29" s="124">
        <f>IF(AND(الجدول145[[#This Row],[نوع الجلسة]]=$BZ$3,الجدول145[[#This Row],[البرنامج]]="PLW"),الجدول145[[#This Row],[عدد الذكور]],0)</f>
        <v>0</v>
      </c>
      <c r="X29" s="124">
        <f>IF(AND(الجدول145[[#This Row],[نوع الجلسة]]=$BZ$3,الجدول145[[#This Row],[البرنامج]]="PLW"),الجدول145[[#This Row],[عدد الأناث]],0)</f>
        <v>0</v>
      </c>
      <c r="Y29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29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29" s="113">
        <f>IF(AND(الجدول145[[#This Row],[البرنامج]]="PLW",الجدول145[[#This Row],[نوع الجلسة]]=$BZ$4),1,0)</f>
        <v>0</v>
      </c>
      <c r="AB29" s="113">
        <f>IF(AND(الجدول145[[#This Row],[البرنامج]]="PLW",الجدول145[[#This Row],[نوع الجلسة]]=$BZ$4),الجدول145[[#This Row],[عدد الذكور]],0)</f>
        <v>0</v>
      </c>
      <c r="AC29" s="113">
        <f>IF(AND(الجدول145[[#This Row],[البرنامج]]="PLW",الجدول145[[#This Row],[نوع الجلسة]]=$BZ$4),الجدول145[[#This Row],[عدد الأناث]],0)</f>
        <v>0</v>
      </c>
      <c r="AD29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29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29" s="125">
        <f>IF(AND(الجدول145[[#This Row],[البرنامج]]="OOSCH",الجدول145[[#This Row],[نوع الجلسة]]=$BZ$7),1,0)</f>
        <v>0</v>
      </c>
      <c r="AG29" s="125">
        <f>IF(AND(الجدول145[[#This Row],[البرنامج]]="OOSCH",الجدول145[[#This Row],[نوع الجلسة]]=$BZ$7),الجدول145[[#This Row],[عدد الذكور]],0)</f>
        <v>0</v>
      </c>
      <c r="AH29" s="125">
        <f>IF(AND(الجدول145[[#This Row],[البرنامج]]="OOSCH",الجدول145[[#This Row],[نوع الجلسة]]=$BZ$7),الجدول145[[#This Row],[عدد الأناث]],0)</f>
        <v>0</v>
      </c>
      <c r="AI29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29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29" s="126">
        <f>IF(AND(الجدول145[[#This Row],[البرنامج]]="OOSCH",الجدول145[[#This Row],[نوع الجلسة]]=$BZ$4),1,0)</f>
        <v>0</v>
      </c>
      <c r="AL29" s="126">
        <f>IF(AND(الجدول145[[#This Row],[البرنامج]]="OOSCH",الجدول145[[#This Row],[نوع الجلسة]]=$BZ$4),الجدول145[[#This Row],[عدد الذكور]],0)</f>
        <v>0</v>
      </c>
      <c r="AM29" s="126">
        <f>IF(AND(الجدول145[[#This Row],[البرنامج]]="OOSCH",الجدول145[[#This Row],[نوع الجلسة]]=$BZ$4),الجدول145[[#This Row],[عدد الأناث]],0)</f>
        <v>0</v>
      </c>
      <c r="AN29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29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29" s="123">
        <f>IF(AND(الجدول145[[#This Row],[نوع الجلسة]]=$BZ$5,الجدول145[[#This Row],[البرنامج]]=$BX$3),1,0)</f>
        <v>0</v>
      </c>
      <c r="AQ29" s="123">
        <f>IF(AND(الجدول145[[#This Row],[البرنامج]]="PLW",الجدول145[[#This Row],[نوع الجلسة]]=$BZ$5),الجدول145[[#This Row],[عدد الذكور]],0)</f>
        <v>0</v>
      </c>
      <c r="AR29" s="123">
        <f>IF(AND(الجدول145[[#This Row],[البرنامج]]="PLW",الجدول145[[#This Row],[نوع الجلسة]]=$BZ$5),الجدول145[[#This Row],[عدد الأناث]],0)</f>
        <v>0</v>
      </c>
      <c r="AS29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29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29" s="127">
        <f>IF(AND(الجدول145[[#This Row],[نوع الجلسة]]=$BZ$5,الجدول145[[#This Row],[البرنامج]]=$BX$2),1,0)</f>
        <v>0</v>
      </c>
      <c r="AV29" s="127">
        <f>IF(AND(الجدول145[[#This Row],[البرنامج]]="OOSCH",الجدول145[[#This Row],[نوع الجلسة]]=$BZ$5),الجدول145[[#This Row],[عدد الذكور]],0)</f>
        <v>0</v>
      </c>
      <c r="AW29" s="127">
        <f>IF(AND(الجدول145[[#This Row],[البرنامج]]="OOSCH",الجدول145[[#This Row],[نوع الجلسة]]=$BZ$5),الجدول145[[#This Row],[عدد الأناث]],0)</f>
        <v>0</v>
      </c>
      <c r="AX29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29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29" s="121">
        <f>IF(AND(الجدول145[[#This Row],[نوع الجلسة]]=$BZ$6,الجدول145[[#This Row],[البرنامج]]=$BX$3),1,0)</f>
        <v>0</v>
      </c>
      <c r="BA29" s="121">
        <f>IF(AND(الجدول145[[#This Row],[البرنامج]]="PLW",الجدول145[[#This Row],[نوع الجلسة]]=$BZ$6),الجدول145[[#This Row],[عدد الذكور]],0)</f>
        <v>0</v>
      </c>
      <c r="BB29" s="121">
        <f>IF(AND(الجدول145[[#This Row],[البرنامج]]="PLW",الجدول145[[#This Row],[نوع الجلسة]]=$BZ$6),الجدول145[[#This Row],[عدد الأناث]],0)</f>
        <v>0</v>
      </c>
      <c r="BC29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29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29" s="122">
        <f>IF(AND(الجدول145[[#This Row],[نوع الجلسة]]=$BZ$6,الجدول145[[#This Row],[البرنامج]]=$BX$2),1,0)</f>
        <v>0</v>
      </c>
      <c r="BF29" s="122">
        <f>IF(AND(الجدول145[[#This Row],[البرنامج]]="OOSCH",الجدول145[[#This Row],[نوع الجلسة]]=$BZ$6),الجدول145[[#This Row],[عدد الذكور]],0)</f>
        <v>0</v>
      </c>
      <c r="BG29" s="122">
        <f>IF(AND(الجدول145[[#This Row],[البرنامج]]="OOSCH",الجدول145[[#This Row],[نوع الجلسة]]=$BZ$6),الجدول145[[#This Row],[عدد الأناث]],0)</f>
        <v>0</v>
      </c>
      <c r="BH29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29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30" spans="4:61" ht="31.5" customHeight="1" x14ac:dyDescent="0.25">
      <c r="D30" s="9"/>
      <c r="E30" s="9"/>
      <c r="F30" s="9"/>
      <c r="G30" s="9"/>
      <c r="H30" s="9"/>
      <c r="I30" s="9"/>
      <c r="J30" s="9"/>
      <c r="K30" s="9">
        <f>SUM(الجدول145[[#This Row],[عدد الذكور]:[عدد الأناث]])</f>
        <v>0</v>
      </c>
      <c r="L30" s="120">
        <f>IF(AND(الجدول145[[#This Row],[البرنامج]]="PLW",الجدول145[[#This Row],[نوع الجلسة]]=$BZ$2),1,0)</f>
        <v>0</v>
      </c>
      <c r="M30" s="120">
        <f>IF(AND(الجدول145[[#This Row],[نوع الجلسة]]=$BZ$2,الجدول145[[#This Row],[البرنامج]]="PLW"),الجدول145[[#This Row],[عدد الذكور]],0)</f>
        <v>0</v>
      </c>
      <c r="N30" s="120">
        <f>IF(AND(الجدول145[[#This Row],[نوع الجلسة]]=$BZ$2,الجدول145[[#This Row],[البرنامج]]="PLW"),الجدول145[[#This Row],[عدد الأناث]],0)</f>
        <v>0</v>
      </c>
      <c r="O30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30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30" s="123">
        <f>IF(AND(الجدول145[[#This Row],[البرنامج]]="OOSCH",الجدول145[[#This Row],[نوع الجلسة]]=$BZ$2),1,0)</f>
        <v>0</v>
      </c>
      <c r="R30" s="123">
        <f>IF(AND(الجدول145[[#This Row],[البرنامج]]="OOSCH",الجدول145[[#This Row],[نوع الجلسة]]=$BZ$2),الجدول145[[#This Row],[عدد الذكور]],0)</f>
        <v>0</v>
      </c>
      <c r="S30" s="123">
        <f>IF(AND(الجدول145[[#This Row],[البرنامج]]="OOSCH",الجدول145[[#This Row],[نوع الجلسة]]=$BZ$2),الجدول145[[#This Row],[عدد الأناث]],0)</f>
        <v>0</v>
      </c>
      <c r="T30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30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30" s="124">
        <f>IF(AND(الجدول145[[#This Row],[البرنامج]]="PLW",الجدول145[[#This Row],[نوع الجلسة]]="معلومات صحة تغذوية للسيدة الحامل"),1,0)</f>
        <v>0</v>
      </c>
      <c r="W30" s="124">
        <f>IF(AND(الجدول145[[#This Row],[نوع الجلسة]]=$BZ$3,الجدول145[[#This Row],[البرنامج]]="PLW"),الجدول145[[#This Row],[عدد الذكور]],0)</f>
        <v>0</v>
      </c>
      <c r="X30" s="124">
        <f>IF(AND(الجدول145[[#This Row],[نوع الجلسة]]=$BZ$3,الجدول145[[#This Row],[البرنامج]]="PLW"),الجدول145[[#This Row],[عدد الأناث]],0)</f>
        <v>0</v>
      </c>
      <c r="Y30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30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30" s="113">
        <f>IF(AND(الجدول145[[#This Row],[البرنامج]]="PLW",الجدول145[[#This Row],[نوع الجلسة]]=$BZ$4),1,0)</f>
        <v>0</v>
      </c>
      <c r="AB30" s="113">
        <f>IF(AND(الجدول145[[#This Row],[البرنامج]]="PLW",الجدول145[[#This Row],[نوع الجلسة]]=$BZ$4),الجدول145[[#This Row],[عدد الذكور]],0)</f>
        <v>0</v>
      </c>
      <c r="AC30" s="113">
        <f>IF(AND(الجدول145[[#This Row],[البرنامج]]="PLW",الجدول145[[#This Row],[نوع الجلسة]]=$BZ$4),الجدول145[[#This Row],[عدد الأناث]],0)</f>
        <v>0</v>
      </c>
      <c r="AD30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30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30" s="125">
        <f>IF(AND(الجدول145[[#This Row],[البرنامج]]="OOSCH",الجدول145[[#This Row],[نوع الجلسة]]=$BZ$7),1,0)</f>
        <v>0</v>
      </c>
      <c r="AG30" s="125">
        <f>IF(AND(الجدول145[[#This Row],[البرنامج]]="OOSCH",الجدول145[[#This Row],[نوع الجلسة]]=$BZ$7),الجدول145[[#This Row],[عدد الذكور]],0)</f>
        <v>0</v>
      </c>
      <c r="AH30" s="125">
        <f>IF(AND(الجدول145[[#This Row],[البرنامج]]="OOSCH",الجدول145[[#This Row],[نوع الجلسة]]=$BZ$7),الجدول145[[#This Row],[عدد الأناث]],0)</f>
        <v>0</v>
      </c>
      <c r="AI30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30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30" s="126">
        <f>IF(AND(الجدول145[[#This Row],[البرنامج]]="OOSCH",الجدول145[[#This Row],[نوع الجلسة]]=$BZ$4),1,0)</f>
        <v>0</v>
      </c>
      <c r="AL30" s="126">
        <f>IF(AND(الجدول145[[#This Row],[البرنامج]]="OOSCH",الجدول145[[#This Row],[نوع الجلسة]]=$BZ$4),الجدول145[[#This Row],[عدد الذكور]],0)</f>
        <v>0</v>
      </c>
      <c r="AM30" s="126">
        <f>IF(AND(الجدول145[[#This Row],[البرنامج]]="OOSCH",الجدول145[[#This Row],[نوع الجلسة]]=$BZ$4),الجدول145[[#This Row],[عدد الأناث]],0)</f>
        <v>0</v>
      </c>
      <c r="AN30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30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30" s="123">
        <f>IF(AND(الجدول145[[#This Row],[نوع الجلسة]]=$BZ$5,الجدول145[[#This Row],[البرنامج]]=$BX$3),1,0)</f>
        <v>0</v>
      </c>
      <c r="AQ30" s="123">
        <f>IF(AND(الجدول145[[#This Row],[البرنامج]]="PLW",الجدول145[[#This Row],[نوع الجلسة]]=$BZ$5),الجدول145[[#This Row],[عدد الذكور]],0)</f>
        <v>0</v>
      </c>
      <c r="AR30" s="123">
        <f>IF(AND(الجدول145[[#This Row],[البرنامج]]="PLW",الجدول145[[#This Row],[نوع الجلسة]]=$BZ$5),الجدول145[[#This Row],[عدد الأناث]],0)</f>
        <v>0</v>
      </c>
      <c r="AS30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30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30" s="127">
        <f>IF(AND(الجدول145[[#This Row],[نوع الجلسة]]=$BZ$5,الجدول145[[#This Row],[البرنامج]]=$BX$2),1,0)</f>
        <v>0</v>
      </c>
      <c r="AV30" s="127">
        <f>IF(AND(الجدول145[[#This Row],[البرنامج]]="OOSCH",الجدول145[[#This Row],[نوع الجلسة]]=$BZ$5),الجدول145[[#This Row],[عدد الذكور]],0)</f>
        <v>0</v>
      </c>
      <c r="AW30" s="127">
        <f>IF(AND(الجدول145[[#This Row],[البرنامج]]="OOSCH",الجدول145[[#This Row],[نوع الجلسة]]=$BZ$5),الجدول145[[#This Row],[عدد الأناث]],0)</f>
        <v>0</v>
      </c>
      <c r="AX30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30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30" s="121">
        <f>IF(AND(الجدول145[[#This Row],[نوع الجلسة]]=$BZ$6,الجدول145[[#This Row],[البرنامج]]=$BX$3),1,0)</f>
        <v>0</v>
      </c>
      <c r="BA30" s="121">
        <f>IF(AND(الجدول145[[#This Row],[البرنامج]]="PLW",الجدول145[[#This Row],[نوع الجلسة]]=$BZ$6),الجدول145[[#This Row],[عدد الذكور]],0)</f>
        <v>0</v>
      </c>
      <c r="BB30" s="121">
        <f>IF(AND(الجدول145[[#This Row],[البرنامج]]="PLW",الجدول145[[#This Row],[نوع الجلسة]]=$BZ$6),الجدول145[[#This Row],[عدد الأناث]],0)</f>
        <v>0</v>
      </c>
      <c r="BC30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30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30" s="122">
        <f>IF(AND(الجدول145[[#This Row],[نوع الجلسة]]=$BZ$6,الجدول145[[#This Row],[البرنامج]]=$BX$2),1,0)</f>
        <v>0</v>
      </c>
      <c r="BF30" s="122">
        <f>IF(AND(الجدول145[[#This Row],[البرنامج]]="OOSCH",الجدول145[[#This Row],[نوع الجلسة]]=$BZ$6),الجدول145[[#This Row],[عدد الذكور]],0)</f>
        <v>0</v>
      </c>
      <c r="BG30" s="122">
        <f>IF(AND(الجدول145[[#This Row],[البرنامج]]="OOSCH",الجدول145[[#This Row],[نوع الجلسة]]=$BZ$6),الجدول145[[#This Row],[عدد الأناث]],0)</f>
        <v>0</v>
      </c>
      <c r="BH30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30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31" spans="4:61" ht="31.5" customHeight="1" x14ac:dyDescent="0.25">
      <c r="D31" s="9"/>
      <c r="E31" s="9"/>
      <c r="F31" s="9"/>
      <c r="G31" s="9"/>
      <c r="H31" s="9"/>
      <c r="I31" s="9"/>
      <c r="J31" s="9"/>
      <c r="K31" s="9">
        <f>SUM(الجدول145[[#This Row],[عدد الذكور]:[عدد الأناث]])</f>
        <v>0</v>
      </c>
      <c r="L31" s="120">
        <f>IF(AND(الجدول145[[#This Row],[البرنامج]]="PLW",الجدول145[[#This Row],[نوع الجلسة]]=$BZ$2),1,0)</f>
        <v>0</v>
      </c>
      <c r="M31" s="120">
        <f>IF(AND(الجدول145[[#This Row],[نوع الجلسة]]=$BZ$2,الجدول145[[#This Row],[البرنامج]]="PLW"),الجدول145[[#This Row],[عدد الذكور]],0)</f>
        <v>0</v>
      </c>
      <c r="N31" s="120">
        <f>IF(AND(الجدول145[[#This Row],[نوع الجلسة]]=$BZ$2,الجدول145[[#This Row],[البرنامج]]="PLW"),الجدول145[[#This Row],[عدد الأناث]],0)</f>
        <v>0</v>
      </c>
      <c r="O31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31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31" s="123">
        <f>IF(AND(الجدول145[[#This Row],[البرنامج]]="OOSCH",الجدول145[[#This Row],[نوع الجلسة]]=$BZ$2),1,0)</f>
        <v>0</v>
      </c>
      <c r="R31" s="123">
        <f>IF(AND(الجدول145[[#This Row],[البرنامج]]="OOSCH",الجدول145[[#This Row],[نوع الجلسة]]=$BZ$2),الجدول145[[#This Row],[عدد الذكور]],0)</f>
        <v>0</v>
      </c>
      <c r="S31" s="123">
        <f>IF(AND(الجدول145[[#This Row],[البرنامج]]="OOSCH",الجدول145[[#This Row],[نوع الجلسة]]=$BZ$2),الجدول145[[#This Row],[عدد الأناث]],0)</f>
        <v>0</v>
      </c>
      <c r="T31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31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31" s="124">
        <f>IF(AND(الجدول145[[#This Row],[البرنامج]]="PLW",الجدول145[[#This Row],[نوع الجلسة]]="معلومات صحة تغذوية للسيدة الحامل"),1,0)</f>
        <v>0</v>
      </c>
      <c r="W31" s="124">
        <f>IF(AND(الجدول145[[#This Row],[نوع الجلسة]]=$BZ$3,الجدول145[[#This Row],[البرنامج]]="PLW"),الجدول145[[#This Row],[عدد الذكور]],0)</f>
        <v>0</v>
      </c>
      <c r="X31" s="124">
        <f>IF(AND(الجدول145[[#This Row],[نوع الجلسة]]=$BZ$3,الجدول145[[#This Row],[البرنامج]]="PLW"),الجدول145[[#This Row],[عدد الأناث]],0)</f>
        <v>0</v>
      </c>
      <c r="Y31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31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31" s="113">
        <f>IF(AND(الجدول145[[#This Row],[البرنامج]]="PLW",الجدول145[[#This Row],[نوع الجلسة]]=$BZ$4),1,0)</f>
        <v>0</v>
      </c>
      <c r="AB31" s="113">
        <f>IF(AND(الجدول145[[#This Row],[البرنامج]]="PLW",الجدول145[[#This Row],[نوع الجلسة]]=$BZ$4),الجدول145[[#This Row],[عدد الذكور]],0)</f>
        <v>0</v>
      </c>
      <c r="AC31" s="113">
        <f>IF(AND(الجدول145[[#This Row],[البرنامج]]="PLW",الجدول145[[#This Row],[نوع الجلسة]]=$BZ$4),الجدول145[[#This Row],[عدد الأناث]],0)</f>
        <v>0</v>
      </c>
      <c r="AD31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31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31" s="125">
        <f>IF(AND(الجدول145[[#This Row],[البرنامج]]="OOSCH",الجدول145[[#This Row],[نوع الجلسة]]=$BZ$7),1,0)</f>
        <v>0</v>
      </c>
      <c r="AG31" s="125">
        <f>IF(AND(الجدول145[[#This Row],[البرنامج]]="OOSCH",الجدول145[[#This Row],[نوع الجلسة]]=$BZ$7),الجدول145[[#This Row],[عدد الذكور]],0)</f>
        <v>0</v>
      </c>
      <c r="AH31" s="125">
        <f>IF(AND(الجدول145[[#This Row],[البرنامج]]="OOSCH",الجدول145[[#This Row],[نوع الجلسة]]=$BZ$7),الجدول145[[#This Row],[عدد الأناث]],0)</f>
        <v>0</v>
      </c>
      <c r="AI31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31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31" s="126">
        <f>IF(AND(الجدول145[[#This Row],[البرنامج]]="OOSCH",الجدول145[[#This Row],[نوع الجلسة]]=$BZ$4),1,0)</f>
        <v>0</v>
      </c>
      <c r="AL31" s="126">
        <f>IF(AND(الجدول145[[#This Row],[البرنامج]]="OOSCH",الجدول145[[#This Row],[نوع الجلسة]]=$BZ$4),الجدول145[[#This Row],[عدد الذكور]],0)</f>
        <v>0</v>
      </c>
      <c r="AM31" s="126">
        <f>IF(AND(الجدول145[[#This Row],[البرنامج]]="OOSCH",الجدول145[[#This Row],[نوع الجلسة]]=$BZ$4),الجدول145[[#This Row],[عدد الأناث]],0)</f>
        <v>0</v>
      </c>
      <c r="AN31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31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31" s="123">
        <f>IF(AND(الجدول145[[#This Row],[نوع الجلسة]]=$BZ$5,الجدول145[[#This Row],[البرنامج]]=$BX$3),1,0)</f>
        <v>0</v>
      </c>
      <c r="AQ31" s="123">
        <f>IF(AND(الجدول145[[#This Row],[البرنامج]]="PLW",الجدول145[[#This Row],[نوع الجلسة]]=$BZ$5),الجدول145[[#This Row],[عدد الذكور]],0)</f>
        <v>0</v>
      </c>
      <c r="AR31" s="123">
        <f>IF(AND(الجدول145[[#This Row],[البرنامج]]="PLW",الجدول145[[#This Row],[نوع الجلسة]]=$BZ$5),الجدول145[[#This Row],[عدد الأناث]],0)</f>
        <v>0</v>
      </c>
      <c r="AS31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31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31" s="127">
        <f>IF(AND(الجدول145[[#This Row],[نوع الجلسة]]=$BZ$5,الجدول145[[#This Row],[البرنامج]]=$BX$2),1,0)</f>
        <v>0</v>
      </c>
      <c r="AV31" s="127">
        <f>IF(AND(الجدول145[[#This Row],[البرنامج]]="OOSCH",الجدول145[[#This Row],[نوع الجلسة]]=$BZ$5),الجدول145[[#This Row],[عدد الذكور]],0)</f>
        <v>0</v>
      </c>
      <c r="AW31" s="127">
        <f>IF(AND(الجدول145[[#This Row],[البرنامج]]="OOSCH",الجدول145[[#This Row],[نوع الجلسة]]=$BZ$5),الجدول145[[#This Row],[عدد الأناث]],0)</f>
        <v>0</v>
      </c>
      <c r="AX31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31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31" s="121">
        <f>IF(AND(الجدول145[[#This Row],[نوع الجلسة]]=$BZ$6,الجدول145[[#This Row],[البرنامج]]=$BX$3),1,0)</f>
        <v>0</v>
      </c>
      <c r="BA31" s="121">
        <f>IF(AND(الجدول145[[#This Row],[البرنامج]]="PLW",الجدول145[[#This Row],[نوع الجلسة]]=$BZ$6),الجدول145[[#This Row],[عدد الذكور]],0)</f>
        <v>0</v>
      </c>
      <c r="BB31" s="121">
        <f>IF(AND(الجدول145[[#This Row],[البرنامج]]="PLW",الجدول145[[#This Row],[نوع الجلسة]]=$BZ$6),الجدول145[[#This Row],[عدد الأناث]],0)</f>
        <v>0</v>
      </c>
      <c r="BC31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31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31" s="122">
        <f>IF(AND(الجدول145[[#This Row],[نوع الجلسة]]=$BZ$6,الجدول145[[#This Row],[البرنامج]]=$BX$2),1,0)</f>
        <v>0</v>
      </c>
      <c r="BF31" s="122">
        <f>IF(AND(الجدول145[[#This Row],[البرنامج]]="OOSCH",الجدول145[[#This Row],[نوع الجلسة]]=$BZ$6),الجدول145[[#This Row],[عدد الذكور]],0)</f>
        <v>0</v>
      </c>
      <c r="BG31" s="122">
        <f>IF(AND(الجدول145[[#This Row],[البرنامج]]="OOSCH",الجدول145[[#This Row],[نوع الجلسة]]=$BZ$6),الجدول145[[#This Row],[عدد الأناث]],0)</f>
        <v>0</v>
      </c>
      <c r="BH31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31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32" spans="4:61" ht="31.5" customHeight="1" x14ac:dyDescent="0.25">
      <c r="D32" s="9"/>
      <c r="E32" s="9"/>
      <c r="F32" s="9"/>
      <c r="G32" s="9"/>
      <c r="H32" s="9"/>
      <c r="I32" s="9"/>
      <c r="J32" s="9"/>
      <c r="K32" s="9">
        <f>SUM(الجدول145[[#This Row],[عدد الذكور]:[عدد الأناث]])</f>
        <v>0</v>
      </c>
      <c r="L32" s="120">
        <f>IF(AND(الجدول145[[#This Row],[البرنامج]]="PLW",الجدول145[[#This Row],[نوع الجلسة]]=$BZ$2),1,0)</f>
        <v>0</v>
      </c>
      <c r="M32" s="120">
        <f>IF(AND(الجدول145[[#This Row],[نوع الجلسة]]=$BZ$2,الجدول145[[#This Row],[البرنامج]]="PLW"),الجدول145[[#This Row],[عدد الذكور]],0)</f>
        <v>0</v>
      </c>
      <c r="N32" s="120">
        <f>IF(AND(الجدول145[[#This Row],[نوع الجلسة]]=$BZ$2,الجدول145[[#This Row],[البرنامج]]="PLW"),الجدول145[[#This Row],[عدد الأناث]],0)</f>
        <v>0</v>
      </c>
      <c r="O32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32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32" s="123">
        <f>IF(AND(الجدول145[[#This Row],[البرنامج]]="OOSCH",الجدول145[[#This Row],[نوع الجلسة]]=$BZ$2),1,0)</f>
        <v>0</v>
      </c>
      <c r="R32" s="123">
        <f>IF(AND(الجدول145[[#This Row],[البرنامج]]="OOSCH",الجدول145[[#This Row],[نوع الجلسة]]=$BZ$2),الجدول145[[#This Row],[عدد الذكور]],0)</f>
        <v>0</v>
      </c>
      <c r="S32" s="123">
        <f>IF(AND(الجدول145[[#This Row],[البرنامج]]="OOSCH",الجدول145[[#This Row],[نوع الجلسة]]=$BZ$2),الجدول145[[#This Row],[عدد الأناث]],0)</f>
        <v>0</v>
      </c>
      <c r="T32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32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32" s="124">
        <f>IF(AND(الجدول145[[#This Row],[البرنامج]]="PLW",الجدول145[[#This Row],[نوع الجلسة]]="معلومات صحة تغذوية للسيدة الحامل"),1,0)</f>
        <v>0</v>
      </c>
      <c r="W32" s="124">
        <f>IF(AND(الجدول145[[#This Row],[نوع الجلسة]]=$BZ$3,الجدول145[[#This Row],[البرنامج]]="PLW"),الجدول145[[#This Row],[عدد الذكور]],0)</f>
        <v>0</v>
      </c>
      <c r="X32" s="124">
        <f>IF(AND(الجدول145[[#This Row],[نوع الجلسة]]=$BZ$3,الجدول145[[#This Row],[البرنامج]]="PLW"),الجدول145[[#This Row],[عدد الأناث]],0)</f>
        <v>0</v>
      </c>
      <c r="Y32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32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32" s="113">
        <f>IF(AND(الجدول145[[#This Row],[البرنامج]]="PLW",الجدول145[[#This Row],[نوع الجلسة]]=$BZ$4),1,0)</f>
        <v>0</v>
      </c>
      <c r="AB32" s="113">
        <f>IF(AND(الجدول145[[#This Row],[البرنامج]]="PLW",الجدول145[[#This Row],[نوع الجلسة]]=$BZ$4),الجدول145[[#This Row],[عدد الذكور]],0)</f>
        <v>0</v>
      </c>
      <c r="AC32" s="113">
        <f>IF(AND(الجدول145[[#This Row],[البرنامج]]="PLW",الجدول145[[#This Row],[نوع الجلسة]]=$BZ$4),الجدول145[[#This Row],[عدد الأناث]],0)</f>
        <v>0</v>
      </c>
      <c r="AD32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32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32" s="125">
        <f>IF(AND(الجدول145[[#This Row],[البرنامج]]="OOSCH",الجدول145[[#This Row],[نوع الجلسة]]=$BZ$7),1,0)</f>
        <v>0</v>
      </c>
      <c r="AG32" s="125">
        <f>IF(AND(الجدول145[[#This Row],[البرنامج]]="OOSCH",الجدول145[[#This Row],[نوع الجلسة]]=$BZ$7),الجدول145[[#This Row],[عدد الذكور]],0)</f>
        <v>0</v>
      </c>
      <c r="AH32" s="125">
        <f>IF(AND(الجدول145[[#This Row],[البرنامج]]="OOSCH",الجدول145[[#This Row],[نوع الجلسة]]=$BZ$7),الجدول145[[#This Row],[عدد الأناث]],0)</f>
        <v>0</v>
      </c>
      <c r="AI32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32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32" s="126">
        <f>IF(AND(الجدول145[[#This Row],[البرنامج]]="OOSCH",الجدول145[[#This Row],[نوع الجلسة]]=$BZ$4),1,0)</f>
        <v>0</v>
      </c>
      <c r="AL32" s="126">
        <f>IF(AND(الجدول145[[#This Row],[البرنامج]]="OOSCH",الجدول145[[#This Row],[نوع الجلسة]]=$BZ$4),الجدول145[[#This Row],[عدد الذكور]],0)</f>
        <v>0</v>
      </c>
      <c r="AM32" s="126">
        <f>IF(AND(الجدول145[[#This Row],[البرنامج]]="OOSCH",الجدول145[[#This Row],[نوع الجلسة]]=$BZ$4),الجدول145[[#This Row],[عدد الأناث]],0)</f>
        <v>0</v>
      </c>
      <c r="AN32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32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32" s="123">
        <f>IF(AND(الجدول145[[#This Row],[نوع الجلسة]]=$BZ$5,الجدول145[[#This Row],[البرنامج]]=$BX$3),1,0)</f>
        <v>0</v>
      </c>
      <c r="AQ32" s="123">
        <f>IF(AND(الجدول145[[#This Row],[البرنامج]]="PLW",الجدول145[[#This Row],[نوع الجلسة]]=$BZ$5),الجدول145[[#This Row],[عدد الذكور]],0)</f>
        <v>0</v>
      </c>
      <c r="AR32" s="123">
        <f>IF(AND(الجدول145[[#This Row],[البرنامج]]="PLW",الجدول145[[#This Row],[نوع الجلسة]]=$BZ$5),الجدول145[[#This Row],[عدد الأناث]],0)</f>
        <v>0</v>
      </c>
      <c r="AS32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32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32" s="127">
        <f>IF(AND(الجدول145[[#This Row],[نوع الجلسة]]=$BZ$5,الجدول145[[#This Row],[البرنامج]]=$BX$2),1,0)</f>
        <v>0</v>
      </c>
      <c r="AV32" s="127">
        <f>IF(AND(الجدول145[[#This Row],[البرنامج]]="OOSCH",الجدول145[[#This Row],[نوع الجلسة]]=$BZ$5),الجدول145[[#This Row],[عدد الذكور]],0)</f>
        <v>0</v>
      </c>
      <c r="AW32" s="127">
        <f>IF(AND(الجدول145[[#This Row],[البرنامج]]="OOSCH",الجدول145[[#This Row],[نوع الجلسة]]=$BZ$5),الجدول145[[#This Row],[عدد الأناث]],0)</f>
        <v>0</v>
      </c>
      <c r="AX32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32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32" s="121">
        <f>IF(AND(الجدول145[[#This Row],[نوع الجلسة]]=$BZ$6,الجدول145[[#This Row],[البرنامج]]=$BX$3),1,0)</f>
        <v>0</v>
      </c>
      <c r="BA32" s="121">
        <f>IF(AND(الجدول145[[#This Row],[البرنامج]]="PLW",الجدول145[[#This Row],[نوع الجلسة]]=$BZ$6),الجدول145[[#This Row],[عدد الذكور]],0)</f>
        <v>0</v>
      </c>
      <c r="BB32" s="121">
        <f>IF(AND(الجدول145[[#This Row],[البرنامج]]="PLW",الجدول145[[#This Row],[نوع الجلسة]]=$BZ$6),الجدول145[[#This Row],[عدد الأناث]],0)</f>
        <v>0</v>
      </c>
      <c r="BC32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32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32" s="122">
        <f>IF(AND(الجدول145[[#This Row],[نوع الجلسة]]=$BZ$6,الجدول145[[#This Row],[البرنامج]]=$BX$2),1,0)</f>
        <v>0</v>
      </c>
      <c r="BF32" s="122">
        <f>IF(AND(الجدول145[[#This Row],[البرنامج]]="OOSCH",الجدول145[[#This Row],[نوع الجلسة]]=$BZ$6),الجدول145[[#This Row],[عدد الذكور]],0)</f>
        <v>0</v>
      </c>
      <c r="BG32" s="122">
        <f>IF(AND(الجدول145[[#This Row],[البرنامج]]="OOSCH",الجدول145[[#This Row],[نوع الجلسة]]=$BZ$6),الجدول145[[#This Row],[عدد الأناث]],0)</f>
        <v>0</v>
      </c>
      <c r="BH32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32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33" spans="4:61" ht="31.5" customHeight="1" x14ac:dyDescent="0.25">
      <c r="D33" s="9"/>
      <c r="E33" s="9"/>
      <c r="F33" s="9"/>
      <c r="G33" s="9"/>
      <c r="H33" s="9"/>
      <c r="I33" s="9"/>
      <c r="J33" s="9"/>
      <c r="K33" s="9">
        <f>SUM(الجدول145[[#This Row],[عدد الذكور]:[عدد الأناث]])</f>
        <v>0</v>
      </c>
      <c r="L33" s="120">
        <f>IF(AND(الجدول145[[#This Row],[البرنامج]]="PLW",الجدول145[[#This Row],[نوع الجلسة]]=$BZ$2),1,0)</f>
        <v>0</v>
      </c>
      <c r="M33" s="120">
        <f>IF(AND(الجدول145[[#This Row],[نوع الجلسة]]=$BZ$2,الجدول145[[#This Row],[البرنامج]]="PLW"),الجدول145[[#This Row],[عدد الذكور]],0)</f>
        <v>0</v>
      </c>
      <c r="N33" s="120">
        <f>IF(AND(الجدول145[[#This Row],[نوع الجلسة]]=$BZ$2,الجدول145[[#This Row],[البرنامج]]="PLW"),الجدول145[[#This Row],[عدد الأناث]],0)</f>
        <v>0</v>
      </c>
      <c r="O33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33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33" s="123">
        <f>IF(AND(الجدول145[[#This Row],[البرنامج]]="OOSCH",الجدول145[[#This Row],[نوع الجلسة]]=$BZ$2),1,0)</f>
        <v>0</v>
      </c>
      <c r="R33" s="123">
        <f>IF(AND(الجدول145[[#This Row],[البرنامج]]="OOSCH",الجدول145[[#This Row],[نوع الجلسة]]=$BZ$2),الجدول145[[#This Row],[عدد الذكور]],0)</f>
        <v>0</v>
      </c>
      <c r="S33" s="123">
        <f>IF(AND(الجدول145[[#This Row],[البرنامج]]="OOSCH",الجدول145[[#This Row],[نوع الجلسة]]=$BZ$2),الجدول145[[#This Row],[عدد الأناث]],0)</f>
        <v>0</v>
      </c>
      <c r="T33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33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33" s="124">
        <f>IF(AND(الجدول145[[#This Row],[البرنامج]]="PLW",الجدول145[[#This Row],[نوع الجلسة]]="معلومات صحة تغذوية للسيدة الحامل"),1,0)</f>
        <v>0</v>
      </c>
      <c r="W33" s="124">
        <f>IF(AND(الجدول145[[#This Row],[نوع الجلسة]]=$BZ$3,الجدول145[[#This Row],[البرنامج]]="PLW"),الجدول145[[#This Row],[عدد الذكور]],0)</f>
        <v>0</v>
      </c>
      <c r="X33" s="124">
        <f>IF(AND(الجدول145[[#This Row],[نوع الجلسة]]=$BZ$3,الجدول145[[#This Row],[البرنامج]]="PLW"),الجدول145[[#This Row],[عدد الأناث]],0)</f>
        <v>0</v>
      </c>
      <c r="Y33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33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33" s="113">
        <f>IF(AND(الجدول145[[#This Row],[البرنامج]]="PLW",الجدول145[[#This Row],[نوع الجلسة]]=$BZ$4),1,0)</f>
        <v>0</v>
      </c>
      <c r="AB33" s="113">
        <f>IF(AND(الجدول145[[#This Row],[البرنامج]]="PLW",الجدول145[[#This Row],[نوع الجلسة]]=$BZ$4),الجدول145[[#This Row],[عدد الذكور]],0)</f>
        <v>0</v>
      </c>
      <c r="AC33" s="113">
        <f>IF(AND(الجدول145[[#This Row],[البرنامج]]="PLW",الجدول145[[#This Row],[نوع الجلسة]]=$BZ$4),الجدول145[[#This Row],[عدد الأناث]],0)</f>
        <v>0</v>
      </c>
      <c r="AD33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33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33" s="125">
        <f>IF(AND(الجدول145[[#This Row],[البرنامج]]="OOSCH",الجدول145[[#This Row],[نوع الجلسة]]=$BZ$7),1,0)</f>
        <v>0</v>
      </c>
      <c r="AG33" s="125">
        <f>IF(AND(الجدول145[[#This Row],[البرنامج]]="OOSCH",الجدول145[[#This Row],[نوع الجلسة]]=$BZ$7),الجدول145[[#This Row],[عدد الذكور]],0)</f>
        <v>0</v>
      </c>
      <c r="AH33" s="125">
        <f>IF(AND(الجدول145[[#This Row],[البرنامج]]="OOSCH",الجدول145[[#This Row],[نوع الجلسة]]=$BZ$7),الجدول145[[#This Row],[عدد الأناث]],0)</f>
        <v>0</v>
      </c>
      <c r="AI33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33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33" s="126">
        <f>IF(AND(الجدول145[[#This Row],[البرنامج]]="OOSCH",الجدول145[[#This Row],[نوع الجلسة]]=$BZ$4),1,0)</f>
        <v>0</v>
      </c>
      <c r="AL33" s="126">
        <f>IF(AND(الجدول145[[#This Row],[البرنامج]]="OOSCH",الجدول145[[#This Row],[نوع الجلسة]]=$BZ$4),الجدول145[[#This Row],[عدد الذكور]],0)</f>
        <v>0</v>
      </c>
      <c r="AM33" s="126">
        <f>IF(AND(الجدول145[[#This Row],[البرنامج]]="OOSCH",الجدول145[[#This Row],[نوع الجلسة]]=$BZ$4),الجدول145[[#This Row],[عدد الأناث]],0)</f>
        <v>0</v>
      </c>
      <c r="AN33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33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33" s="123">
        <f>IF(AND(الجدول145[[#This Row],[نوع الجلسة]]=$BZ$5,الجدول145[[#This Row],[البرنامج]]=$BX$3),1,0)</f>
        <v>0</v>
      </c>
      <c r="AQ33" s="123">
        <f>IF(AND(الجدول145[[#This Row],[البرنامج]]="PLW",الجدول145[[#This Row],[نوع الجلسة]]=$BZ$5),الجدول145[[#This Row],[عدد الذكور]],0)</f>
        <v>0</v>
      </c>
      <c r="AR33" s="123">
        <f>IF(AND(الجدول145[[#This Row],[البرنامج]]="PLW",الجدول145[[#This Row],[نوع الجلسة]]=$BZ$5),الجدول145[[#This Row],[عدد الأناث]],0)</f>
        <v>0</v>
      </c>
      <c r="AS33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33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33" s="127">
        <f>IF(AND(الجدول145[[#This Row],[نوع الجلسة]]=$BZ$5,الجدول145[[#This Row],[البرنامج]]=$BX$2),1,0)</f>
        <v>0</v>
      </c>
      <c r="AV33" s="127">
        <f>IF(AND(الجدول145[[#This Row],[البرنامج]]="OOSCH",الجدول145[[#This Row],[نوع الجلسة]]=$BZ$5),الجدول145[[#This Row],[عدد الذكور]],0)</f>
        <v>0</v>
      </c>
      <c r="AW33" s="127">
        <f>IF(AND(الجدول145[[#This Row],[البرنامج]]="OOSCH",الجدول145[[#This Row],[نوع الجلسة]]=$BZ$5),الجدول145[[#This Row],[عدد الأناث]],0)</f>
        <v>0</v>
      </c>
      <c r="AX33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33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33" s="121">
        <f>IF(AND(الجدول145[[#This Row],[نوع الجلسة]]=$BZ$6,الجدول145[[#This Row],[البرنامج]]=$BX$3),1,0)</f>
        <v>0</v>
      </c>
      <c r="BA33" s="121">
        <f>IF(AND(الجدول145[[#This Row],[البرنامج]]="PLW",الجدول145[[#This Row],[نوع الجلسة]]=$BZ$6),الجدول145[[#This Row],[عدد الذكور]],0)</f>
        <v>0</v>
      </c>
      <c r="BB33" s="121">
        <f>IF(AND(الجدول145[[#This Row],[البرنامج]]="PLW",الجدول145[[#This Row],[نوع الجلسة]]=$BZ$6),الجدول145[[#This Row],[عدد الأناث]],0)</f>
        <v>0</v>
      </c>
      <c r="BC33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33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33" s="122">
        <f>IF(AND(الجدول145[[#This Row],[نوع الجلسة]]=$BZ$6,الجدول145[[#This Row],[البرنامج]]=$BX$2),1,0)</f>
        <v>0</v>
      </c>
      <c r="BF33" s="122">
        <f>IF(AND(الجدول145[[#This Row],[البرنامج]]="OOSCH",الجدول145[[#This Row],[نوع الجلسة]]=$BZ$6),الجدول145[[#This Row],[عدد الذكور]],0)</f>
        <v>0</v>
      </c>
      <c r="BG33" s="122">
        <f>IF(AND(الجدول145[[#This Row],[البرنامج]]="OOSCH",الجدول145[[#This Row],[نوع الجلسة]]=$BZ$6),الجدول145[[#This Row],[عدد الأناث]],0)</f>
        <v>0</v>
      </c>
      <c r="BH33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33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34" spans="4:61" ht="31.5" customHeight="1" x14ac:dyDescent="0.25">
      <c r="D34" s="9"/>
      <c r="E34" s="9"/>
      <c r="F34" s="9"/>
      <c r="G34" s="9"/>
      <c r="H34" s="9"/>
      <c r="I34" s="9"/>
      <c r="J34" s="9"/>
      <c r="K34" s="9">
        <f>SUM(الجدول145[[#This Row],[عدد الذكور]:[عدد الأناث]])</f>
        <v>0</v>
      </c>
      <c r="L34" s="120">
        <f>IF(AND(الجدول145[[#This Row],[البرنامج]]="PLW",الجدول145[[#This Row],[نوع الجلسة]]=$BZ$2),1,0)</f>
        <v>0</v>
      </c>
      <c r="M34" s="120">
        <f>IF(AND(الجدول145[[#This Row],[نوع الجلسة]]=$BZ$2,الجدول145[[#This Row],[البرنامج]]="PLW"),الجدول145[[#This Row],[عدد الذكور]],0)</f>
        <v>0</v>
      </c>
      <c r="N34" s="120">
        <f>IF(AND(الجدول145[[#This Row],[نوع الجلسة]]=$BZ$2,الجدول145[[#This Row],[البرنامج]]="PLW"),الجدول145[[#This Row],[عدد الأناث]],0)</f>
        <v>0</v>
      </c>
      <c r="O34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34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34" s="123">
        <f>IF(AND(الجدول145[[#This Row],[البرنامج]]="OOSCH",الجدول145[[#This Row],[نوع الجلسة]]=$BZ$2),1,0)</f>
        <v>0</v>
      </c>
      <c r="R34" s="123">
        <f>IF(AND(الجدول145[[#This Row],[البرنامج]]="OOSCH",الجدول145[[#This Row],[نوع الجلسة]]=$BZ$2),الجدول145[[#This Row],[عدد الذكور]],0)</f>
        <v>0</v>
      </c>
      <c r="S34" s="123">
        <f>IF(AND(الجدول145[[#This Row],[البرنامج]]="OOSCH",الجدول145[[#This Row],[نوع الجلسة]]=$BZ$2),الجدول145[[#This Row],[عدد الأناث]],0)</f>
        <v>0</v>
      </c>
      <c r="T34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34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34" s="124">
        <f>IF(AND(الجدول145[[#This Row],[البرنامج]]="PLW",الجدول145[[#This Row],[نوع الجلسة]]="معلومات صحة تغذوية للسيدة الحامل"),1,0)</f>
        <v>0</v>
      </c>
      <c r="W34" s="124">
        <f>IF(AND(الجدول145[[#This Row],[نوع الجلسة]]=$BZ$3,الجدول145[[#This Row],[البرنامج]]="PLW"),الجدول145[[#This Row],[عدد الذكور]],0)</f>
        <v>0</v>
      </c>
      <c r="X34" s="124">
        <f>IF(AND(الجدول145[[#This Row],[نوع الجلسة]]=$BZ$3,الجدول145[[#This Row],[البرنامج]]="PLW"),الجدول145[[#This Row],[عدد الأناث]],0)</f>
        <v>0</v>
      </c>
      <c r="Y34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34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34" s="113">
        <f>IF(AND(الجدول145[[#This Row],[البرنامج]]="PLW",الجدول145[[#This Row],[نوع الجلسة]]=$BZ$4),1,0)</f>
        <v>0</v>
      </c>
      <c r="AB34" s="113">
        <f>IF(AND(الجدول145[[#This Row],[البرنامج]]="PLW",الجدول145[[#This Row],[نوع الجلسة]]=$BZ$4),الجدول145[[#This Row],[عدد الذكور]],0)</f>
        <v>0</v>
      </c>
      <c r="AC34" s="113">
        <f>IF(AND(الجدول145[[#This Row],[البرنامج]]="PLW",الجدول145[[#This Row],[نوع الجلسة]]=$BZ$4),الجدول145[[#This Row],[عدد الأناث]],0)</f>
        <v>0</v>
      </c>
      <c r="AD34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34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34" s="125">
        <f>IF(AND(الجدول145[[#This Row],[البرنامج]]="OOSCH",الجدول145[[#This Row],[نوع الجلسة]]=$BZ$7),1,0)</f>
        <v>0</v>
      </c>
      <c r="AG34" s="125">
        <f>IF(AND(الجدول145[[#This Row],[البرنامج]]="OOSCH",الجدول145[[#This Row],[نوع الجلسة]]=$BZ$7),الجدول145[[#This Row],[عدد الذكور]],0)</f>
        <v>0</v>
      </c>
      <c r="AH34" s="125">
        <f>IF(AND(الجدول145[[#This Row],[البرنامج]]="OOSCH",الجدول145[[#This Row],[نوع الجلسة]]=$BZ$7),الجدول145[[#This Row],[عدد الأناث]],0)</f>
        <v>0</v>
      </c>
      <c r="AI34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34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34" s="126">
        <f>IF(AND(الجدول145[[#This Row],[البرنامج]]="OOSCH",الجدول145[[#This Row],[نوع الجلسة]]=$BZ$4),1,0)</f>
        <v>0</v>
      </c>
      <c r="AL34" s="126">
        <f>IF(AND(الجدول145[[#This Row],[البرنامج]]="OOSCH",الجدول145[[#This Row],[نوع الجلسة]]=$BZ$4),الجدول145[[#This Row],[عدد الذكور]],0)</f>
        <v>0</v>
      </c>
      <c r="AM34" s="126">
        <f>IF(AND(الجدول145[[#This Row],[البرنامج]]="OOSCH",الجدول145[[#This Row],[نوع الجلسة]]=$BZ$4),الجدول145[[#This Row],[عدد الأناث]],0)</f>
        <v>0</v>
      </c>
      <c r="AN34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34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34" s="123">
        <f>IF(AND(الجدول145[[#This Row],[نوع الجلسة]]=$BZ$5,الجدول145[[#This Row],[البرنامج]]=$BX$3),1,0)</f>
        <v>0</v>
      </c>
      <c r="AQ34" s="123">
        <f>IF(AND(الجدول145[[#This Row],[البرنامج]]="PLW",الجدول145[[#This Row],[نوع الجلسة]]=$BZ$5),الجدول145[[#This Row],[عدد الذكور]],0)</f>
        <v>0</v>
      </c>
      <c r="AR34" s="123">
        <f>IF(AND(الجدول145[[#This Row],[البرنامج]]="PLW",الجدول145[[#This Row],[نوع الجلسة]]=$BZ$5),الجدول145[[#This Row],[عدد الأناث]],0)</f>
        <v>0</v>
      </c>
      <c r="AS34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34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34" s="127">
        <f>IF(AND(الجدول145[[#This Row],[نوع الجلسة]]=$BZ$5,الجدول145[[#This Row],[البرنامج]]=$BX$2),1,0)</f>
        <v>0</v>
      </c>
      <c r="AV34" s="127">
        <f>IF(AND(الجدول145[[#This Row],[البرنامج]]="OOSCH",الجدول145[[#This Row],[نوع الجلسة]]=$BZ$5),الجدول145[[#This Row],[عدد الذكور]],0)</f>
        <v>0</v>
      </c>
      <c r="AW34" s="127">
        <f>IF(AND(الجدول145[[#This Row],[البرنامج]]="OOSCH",الجدول145[[#This Row],[نوع الجلسة]]=$BZ$5),الجدول145[[#This Row],[عدد الأناث]],0)</f>
        <v>0</v>
      </c>
      <c r="AX34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34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34" s="121">
        <f>IF(AND(الجدول145[[#This Row],[نوع الجلسة]]=$BZ$6,الجدول145[[#This Row],[البرنامج]]=$BX$3),1,0)</f>
        <v>0</v>
      </c>
      <c r="BA34" s="121">
        <f>IF(AND(الجدول145[[#This Row],[البرنامج]]="PLW",الجدول145[[#This Row],[نوع الجلسة]]=$BZ$6),الجدول145[[#This Row],[عدد الذكور]],0)</f>
        <v>0</v>
      </c>
      <c r="BB34" s="121">
        <f>IF(AND(الجدول145[[#This Row],[البرنامج]]="PLW",الجدول145[[#This Row],[نوع الجلسة]]=$BZ$6),الجدول145[[#This Row],[عدد الأناث]],0)</f>
        <v>0</v>
      </c>
      <c r="BC34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34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34" s="122">
        <f>IF(AND(الجدول145[[#This Row],[نوع الجلسة]]=$BZ$6,الجدول145[[#This Row],[البرنامج]]=$BX$2),1,0)</f>
        <v>0</v>
      </c>
      <c r="BF34" s="122">
        <f>IF(AND(الجدول145[[#This Row],[البرنامج]]="OOSCH",الجدول145[[#This Row],[نوع الجلسة]]=$BZ$6),الجدول145[[#This Row],[عدد الذكور]],0)</f>
        <v>0</v>
      </c>
      <c r="BG34" s="122">
        <f>IF(AND(الجدول145[[#This Row],[البرنامج]]="OOSCH",الجدول145[[#This Row],[نوع الجلسة]]=$BZ$6),الجدول145[[#This Row],[عدد الأناث]],0)</f>
        <v>0</v>
      </c>
      <c r="BH34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34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35" spans="4:61" ht="31.5" customHeight="1" x14ac:dyDescent="0.25">
      <c r="D35" s="9"/>
      <c r="E35" s="9"/>
      <c r="F35" s="9"/>
      <c r="G35" s="9"/>
      <c r="H35" s="9"/>
      <c r="I35" s="9"/>
      <c r="J35" s="9"/>
      <c r="K35" s="9">
        <f>SUM(الجدول145[[#This Row],[عدد الذكور]:[عدد الأناث]])</f>
        <v>0</v>
      </c>
      <c r="L35" s="120">
        <f>IF(AND(الجدول145[[#This Row],[البرنامج]]="PLW",الجدول145[[#This Row],[نوع الجلسة]]=$BZ$2),1,0)</f>
        <v>0</v>
      </c>
      <c r="M35" s="120">
        <f>IF(AND(الجدول145[[#This Row],[نوع الجلسة]]=$BZ$2,الجدول145[[#This Row],[البرنامج]]="PLW"),الجدول145[[#This Row],[عدد الذكور]],0)</f>
        <v>0</v>
      </c>
      <c r="N35" s="120">
        <f>IF(AND(الجدول145[[#This Row],[نوع الجلسة]]=$BZ$2,الجدول145[[#This Row],[البرنامج]]="PLW"),الجدول145[[#This Row],[عدد الأناث]],0)</f>
        <v>0</v>
      </c>
      <c r="O35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35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35" s="123">
        <f>IF(AND(الجدول145[[#This Row],[البرنامج]]="OOSCH",الجدول145[[#This Row],[نوع الجلسة]]=$BZ$2),1,0)</f>
        <v>0</v>
      </c>
      <c r="R35" s="123">
        <f>IF(AND(الجدول145[[#This Row],[البرنامج]]="OOSCH",الجدول145[[#This Row],[نوع الجلسة]]=$BZ$2),الجدول145[[#This Row],[عدد الذكور]],0)</f>
        <v>0</v>
      </c>
      <c r="S35" s="123">
        <f>IF(AND(الجدول145[[#This Row],[البرنامج]]="OOSCH",الجدول145[[#This Row],[نوع الجلسة]]=$BZ$2),الجدول145[[#This Row],[عدد الأناث]],0)</f>
        <v>0</v>
      </c>
      <c r="T35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35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35" s="124">
        <f>IF(AND(الجدول145[[#This Row],[البرنامج]]="PLW",الجدول145[[#This Row],[نوع الجلسة]]="معلومات صحة تغذوية للسيدة الحامل"),1,0)</f>
        <v>0</v>
      </c>
      <c r="W35" s="124">
        <f>IF(AND(الجدول145[[#This Row],[نوع الجلسة]]=$BZ$3,الجدول145[[#This Row],[البرنامج]]="PLW"),الجدول145[[#This Row],[عدد الذكور]],0)</f>
        <v>0</v>
      </c>
      <c r="X35" s="124">
        <f>IF(AND(الجدول145[[#This Row],[نوع الجلسة]]=$BZ$3,الجدول145[[#This Row],[البرنامج]]="PLW"),الجدول145[[#This Row],[عدد الأناث]],0)</f>
        <v>0</v>
      </c>
      <c r="Y35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35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35" s="113">
        <f>IF(AND(الجدول145[[#This Row],[البرنامج]]="PLW",الجدول145[[#This Row],[نوع الجلسة]]=$BZ$4),1,0)</f>
        <v>0</v>
      </c>
      <c r="AB35" s="113">
        <f>IF(AND(الجدول145[[#This Row],[البرنامج]]="PLW",الجدول145[[#This Row],[نوع الجلسة]]=$BZ$4),الجدول145[[#This Row],[عدد الذكور]],0)</f>
        <v>0</v>
      </c>
      <c r="AC35" s="113">
        <f>IF(AND(الجدول145[[#This Row],[البرنامج]]="PLW",الجدول145[[#This Row],[نوع الجلسة]]=$BZ$4),الجدول145[[#This Row],[عدد الأناث]],0)</f>
        <v>0</v>
      </c>
      <c r="AD35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35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35" s="125">
        <f>IF(AND(الجدول145[[#This Row],[البرنامج]]="OOSCH",الجدول145[[#This Row],[نوع الجلسة]]=$BZ$7),1,0)</f>
        <v>0</v>
      </c>
      <c r="AG35" s="125">
        <f>IF(AND(الجدول145[[#This Row],[البرنامج]]="OOSCH",الجدول145[[#This Row],[نوع الجلسة]]=$BZ$7),الجدول145[[#This Row],[عدد الذكور]],0)</f>
        <v>0</v>
      </c>
      <c r="AH35" s="125">
        <f>IF(AND(الجدول145[[#This Row],[البرنامج]]="OOSCH",الجدول145[[#This Row],[نوع الجلسة]]=$BZ$7),الجدول145[[#This Row],[عدد الأناث]],0)</f>
        <v>0</v>
      </c>
      <c r="AI35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35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35" s="126">
        <f>IF(AND(الجدول145[[#This Row],[البرنامج]]="OOSCH",الجدول145[[#This Row],[نوع الجلسة]]=$BZ$4),1,0)</f>
        <v>0</v>
      </c>
      <c r="AL35" s="126">
        <f>IF(AND(الجدول145[[#This Row],[البرنامج]]="OOSCH",الجدول145[[#This Row],[نوع الجلسة]]=$BZ$4),الجدول145[[#This Row],[عدد الذكور]],0)</f>
        <v>0</v>
      </c>
      <c r="AM35" s="126">
        <f>IF(AND(الجدول145[[#This Row],[البرنامج]]="OOSCH",الجدول145[[#This Row],[نوع الجلسة]]=$BZ$4),الجدول145[[#This Row],[عدد الأناث]],0)</f>
        <v>0</v>
      </c>
      <c r="AN35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35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35" s="123">
        <f>IF(AND(الجدول145[[#This Row],[نوع الجلسة]]=$BZ$5,الجدول145[[#This Row],[البرنامج]]=$BX$3),1,0)</f>
        <v>0</v>
      </c>
      <c r="AQ35" s="123">
        <f>IF(AND(الجدول145[[#This Row],[البرنامج]]="PLW",الجدول145[[#This Row],[نوع الجلسة]]=$BZ$5),الجدول145[[#This Row],[عدد الذكور]],0)</f>
        <v>0</v>
      </c>
      <c r="AR35" s="123">
        <f>IF(AND(الجدول145[[#This Row],[البرنامج]]="PLW",الجدول145[[#This Row],[نوع الجلسة]]=$BZ$5),الجدول145[[#This Row],[عدد الأناث]],0)</f>
        <v>0</v>
      </c>
      <c r="AS35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35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35" s="127">
        <f>IF(AND(الجدول145[[#This Row],[نوع الجلسة]]=$BZ$5,الجدول145[[#This Row],[البرنامج]]=$BX$2),1,0)</f>
        <v>0</v>
      </c>
      <c r="AV35" s="127">
        <f>IF(AND(الجدول145[[#This Row],[البرنامج]]="OOSCH",الجدول145[[#This Row],[نوع الجلسة]]=$BZ$5),الجدول145[[#This Row],[عدد الذكور]],0)</f>
        <v>0</v>
      </c>
      <c r="AW35" s="127">
        <f>IF(AND(الجدول145[[#This Row],[البرنامج]]="OOSCH",الجدول145[[#This Row],[نوع الجلسة]]=$BZ$5),الجدول145[[#This Row],[عدد الأناث]],0)</f>
        <v>0</v>
      </c>
      <c r="AX35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35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35" s="121">
        <f>IF(AND(الجدول145[[#This Row],[نوع الجلسة]]=$BZ$6,الجدول145[[#This Row],[البرنامج]]=$BX$3),1,0)</f>
        <v>0</v>
      </c>
      <c r="BA35" s="121">
        <f>IF(AND(الجدول145[[#This Row],[البرنامج]]="PLW",الجدول145[[#This Row],[نوع الجلسة]]=$BZ$6),الجدول145[[#This Row],[عدد الذكور]],0)</f>
        <v>0</v>
      </c>
      <c r="BB35" s="121">
        <f>IF(AND(الجدول145[[#This Row],[البرنامج]]="PLW",الجدول145[[#This Row],[نوع الجلسة]]=$BZ$6),الجدول145[[#This Row],[عدد الأناث]],0)</f>
        <v>0</v>
      </c>
      <c r="BC35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35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35" s="122">
        <f>IF(AND(الجدول145[[#This Row],[نوع الجلسة]]=$BZ$6,الجدول145[[#This Row],[البرنامج]]=$BX$2),1,0)</f>
        <v>0</v>
      </c>
      <c r="BF35" s="122">
        <f>IF(AND(الجدول145[[#This Row],[البرنامج]]="OOSCH",الجدول145[[#This Row],[نوع الجلسة]]=$BZ$6),الجدول145[[#This Row],[عدد الذكور]],0)</f>
        <v>0</v>
      </c>
      <c r="BG35" s="122">
        <f>IF(AND(الجدول145[[#This Row],[البرنامج]]="OOSCH",الجدول145[[#This Row],[نوع الجلسة]]=$BZ$6),الجدول145[[#This Row],[عدد الأناث]],0)</f>
        <v>0</v>
      </c>
      <c r="BH35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35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36" spans="4:61" ht="31.5" customHeight="1" x14ac:dyDescent="0.25">
      <c r="D36" s="9"/>
      <c r="E36" s="9"/>
      <c r="F36" s="9"/>
      <c r="G36" s="9"/>
      <c r="H36" s="9"/>
      <c r="I36" s="9"/>
      <c r="J36" s="9"/>
      <c r="K36" s="9">
        <f>SUM(الجدول145[[#This Row],[عدد الذكور]:[عدد الأناث]])</f>
        <v>0</v>
      </c>
      <c r="L36" s="120">
        <f>IF(AND(الجدول145[[#This Row],[البرنامج]]="PLW",الجدول145[[#This Row],[نوع الجلسة]]=$BZ$2),1,0)</f>
        <v>0</v>
      </c>
      <c r="M36" s="120">
        <f>IF(AND(الجدول145[[#This Row],[نوع الجلسة]]=$BZ$2,الجدول145[[#This Row],[البرنامج]]="PLW"),الجدول145[[#This Row],[عدد الذكور]],0)</f>
        <v>0</v>
      </c>
      <c r="N36" s="120">
        <f>IF(AND(الجدول145[[#This Row],[نوع الجلسة]]=$BZ$2,الجدول145[[#This Row],[البرنامج]]="PLW"),الجدول145[[#This Row],[عدد الأناث]],0)</f>
        <v>0</v>
      </c>
      <c r="O36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36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36" s="123">
        <f>IF(AND(الجدول145[[#This Row],[البرنامج]]="OOSCH",الجدول145[[#This Row],[نوع الجلسة]]=$BZ$2),1,0)</f>
        <v>0</v>
      </c>
      <c r="R36" s="123">
        <f>IF(AND(الجدول145[[#This Row],[البرنامج]]="OOSCH",الجدول145[[#This Row],[نوع الجلسة]]=$BZ$2),الجدول145[[#This Row],[عدد الذكور]],0)</f>
        <v>0</v>
      </c>
      <c r="S36" s="123">
        <f>IF(AND(الجدول145[[#This Row],[البرنامج]]="OOSCH",الجدول145[[#This Row],[نوع الجلسة]]=$BZ$2),الجدول145[[#This Row],[عدد الأناث]],0)</f>
        <v>0</v>
      </c>
      <c r="T36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36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36" s="124">
        <f>IF(AND(الجدول145[[#This Row],[البرنامج]]="PLW",الجدول145[[#This Row],[نوع الجلسة]]="معلومات صحة تغذوية للسيدة الحامل"),1,0)</f>
        <v>0</v>
      </c>
      <c r="W36" s="124">
        <f>IF(AND(الجدول145[[#This Row],[نوع الجلسة]]=$BZ$3,الجدول145[[#This Row],[البرنامج]]="PLW"),الجدول145[[#This Row],[عدد الذكور]],0)</f>
        <v>0</v>
      </c>
      <c r="X36" s="124">
        <f>IF(AND(الجدول145[[#This Row],[نوع الجلسة]]=$BZ$3,الجدول145[[#This Row],[البرنامج]]="PLW"),الجدول145[[#This Row],[عدد الأناث]],0)</f>
        <v>0</v>
      </c>
      <c r="Y36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36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36" s="113">
        <f>IF(AND(الجدول145[[#This Row],[البرنامج]]="PLW",الجدول145[[#This Row],[نوع الجلسة]]=$BZ$4),1,0)</f>
        <v>0</v>
      </c>
      <c r="AB36" s="113">
        <f>IF(AND(الجدول145[[#This Row],[البرنامج]]="PLW",الجدول145[[#This Row],[نوع الجلسة]]=$BZ$4),الجدول145[[#This Row],[عدد الذكور]],0)</f>
        <v>0</v>
      </c>
      <c r="AC36" s="113">
        <f>IF(AND(الجدول145[[#This Row],[البرنامج]]="PLW",الجدول145[[#This Row],[نوع الجلسة]]=$BZ$4),الجدول145[[#This Row],[عدد الأناث]],0)</f>
        <v>0</v>
      </c>
      <c r="AD36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36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36" s="125">
        <f>IF(AND(الجدول145[[#This Row],[البرنامج]]="OOSCH",الجدول145[[#This Row],[نوع الجلسة]]=$BZ$7),1,0)</f>
        <v>0</v>
      </c>
      <c r="AG36" s="125">
        <f>IF(AND(الجدول145[[#This Row],[البرنامج]]="OOSCH",الجدول145[[#This Row],[نوع الجلسة]]=$BZ$7),الجدول145[[#This Row],[عدد الذكور]],0)</f>
        <v>0</v>
      </c>
      <c r="AH36" s="125">
        <f>IF(AND(الجدول145[[#This Row],[البرنامج]]="OOSCH",الجدول145[[#This Row],[نوع الجلسة]]=$BZ$7),الجدول145[[#This Row],[عدد الأناث]],0)</f>
        <v>0</v>
      </c>
      <c r="AI36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36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36" s="126">
        <f>IF(AND(الجدول145[[#This Row],[البرنامج]]="OOSCH",الجدول145[[#This Row],[نوع الجلسة]]=$BZ$4),1,0)</f>
        <v>0</v>
      </c>
      <c r="AL36" s="126">
        <f>IF(AND(الجدول145[[#This Row],[البرنامج]]="OOSCH",الجدول145[[#This Row],[نوع الجلسة]]=$BZ$4),الجدول145[[#This Row],[عدد الذكور]],0)</f>
        <v>0</v>
      </c>
      <c r="AM36" s="126">
        <f>IF(AND(الجدول145[[#This Row],[البرنامج]]="OOSCH",الجدول145[[#This Row],[نوع الجلسة]]=$BZ$4),الجدول145[[#This Row],[عدد الأناث]],0)</f>
        <v>0</v>
      </c>
      <c r="AN36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36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36" s="123">
        <f>IF(AND(الجدول145[[#This Row],[نوع الجلسة]]=$BZ$5,الجدول145[[#This Row],[البرنامج]]=$BX$3),1,0)</f>
        <v>0</v>
      </c>
      <c r="AQ36" s="123">
        <f>IF(AND(الجدول145[[#This Row],[البرنامج]]="PLW",الجدول145[[#This Row],[نوع الجلسة]]=$BZ$5),الجدول145[[#This Row],[عدد الذكور]],0)</f>
        <v>0</v>
      </c>
      <c r="AR36" s="123">
        <f>IF(AND(الجدول145[[#This Row],[البرنامج]]="PLW",الجدول145[[#This Row],[نوع الجلسة]]=$BZ$5),الجدول145[[#This Row],[عدد الأناث]],0)</f>
        <v>0</v>
      </c>
      <c r="AS36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36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36" s="127">
        <f>IF(AND(الجدول145[[#This Row],[نوع الجلسة]]=$BZ$5,الجدول145[[#This Row],[البرنامج]]=$BX$2),1,0)</f>
        <v>0</v>
      </c>
      <c r="AV36" s="127">
        <f>IF(AND(الجدول145[[#This Row],[البرنامج]]="OOSCH",الجدول145[[#This Row],[نوع الجلسة]]=$BZ$5),الجدول145[[#This Row],[عدد الذكور]],0)</f>
        <v>0</v>
      </c>
      <c r="AW36" s="127">
        <f>IF(AND(الجدول145[[#This Row],[البرنامج]]="OOSCH",الجدول145[[#This Row],[نوع الجلسة]]=$BZ$5),الجدول145[[#This Row],[عدد الأناث]],0)</f>
        <v>0</v>
      </c>
      <c r="AX36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36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36" s="121">
        <f>IF(AND(الجدول145[[#This Row],[نوع الجلسة]]=$BZ$6,الجدول145[[#This Row],[البرنامج]]=$BX$3),1,0)</f>
        <v>0</v>
      </c>
      <c r="BA36" s="121">
        <f>IF(AND(الجدول145[[#This Row],[البرنامج]]="PLW",الجدول145[[#This Row],[نوع الجلسة]]=$BZ$6),الجدول145[[#This Row],[عدد الذكور]],0)</f>
        <v>0</v>
      </c>
      <c r="BB36" s="121">
        <f>IF(AND(الجدول145[[#This Row],[البرنامج]]="PLW",الجدول145[[#This Row],[نوع الجلسة]]=$BZ$6),الجدول145[[#This Row],[عدد الأناث]],0)</f>
        <v>0</v>
      </c>
      <c r="BC36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36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36" s="122">
        <f>IF(AND(الجدول145[[#This Row],[نوع الجلسة]]=$BZ$6,الجدول145[[#This Row],[البرنامج]]=$BX$2),1,0)</f>
        <v>0</v>
      </c>
      <c r="BF36" s="122">
        <f>IF(AND(الجدول145[[#This Row],[البرنامج]]="OOSCH",الجدول145[[#This Row],[نوع الجلسة]]=$BZ$6),الجدول145[[#This Row],[عدد الذكور]],0)</f>
        <v>0</v>
      </c>
      <c r="BG36" s="122">
        <f>IF(AND(الجدول145[[#This Row],[البرنامج]]="OOSCH",الجدول145[[#This Row],[نوع الجلسة]]=$BZ$6),الجدول145[[#This Row],[عدد الأناث]],0)</f>
        <v>0</v>
      </c>
      <c r="BH36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36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37" spans="4:61" ht="31.5" customHeight="1" x14ac:dyDescent="0.25">
      <c r="D37" s="9"/>
      <c r="E37" s="9"/>
      <c r="F37" s="9"/>
      <c r="G37" s="9"/>
      <c r="H37" s="9"/>
      <c r="I37" s="9"/>
      <c r="J37" s="9"/>
      <c r="K37" s="9">
        <f>SUM(الجدول145[[#This Row],[عدد الذكور]:[عدد الأناث]])</f>
        <v>0</v>
      </c>
      <c r="L37" s="120">
        <f>IF(AND(الجدول145[[#This Row],[البرنامج]]="PLW",الجدول145[[#This Row],[نوع الجلسة]]=$BZ$2),1,0)</f>
        <v>0</v>
      </c>
      <c r="M37" s="120">
        <f>IF(AND(الجدول145[[#This Row],[نوع الجلسة]]=$BZ$2,الجدول145[[#This Row],[البرنامج]]="PLW"),الجدول145[[#This Row],[عدد الذكور]],0)</f>
        <v>0</v>
      </c>
      <c r="N37" s="120">
        <f>IF(AND(الجدول145[[#This Row],[نوع الجلسة]]=$BZ$2,الجدول145[[#This Row],[البرنامج]]="PLW"),الجدول145[[#This Row],[عدد الأناث]],0)</f>
        <v>0</v>
      </c>
      <c r="O37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37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37" s="123">
        <f>IF(AND(الجدول145[[#This Row],[البرنامج]]="OOSCH",الجدول145[[#This Row],[نوع الجلسة]]=$BZ$2),1,0)</f>
        <v>0</v>
      </c>
      <c r="R37" s="123">
        <f>IF(AND(الجدول145[[#This Row],[البرنامج]]="OOSCH",الجدول145[[#This Row],[نوع الجلسة]]=$BZ$2),الجدول145[[#This Row],[عدد الذكور]],0)</f>
        <v>0</v>
      </c>
      <c r="S37" s="123">
        <f>IF(AND(الجدول145[[#This Row],[البرنامج]]="OOSCH",الجدول145[[#This Row],[نوع الجلسة]]=$BZ$2),الجدول145[[#This Row],[عدد الأناث]],0)</f>
        <v>0</v>
      </c>
      <c r="T37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37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37" s="124">
        <f>IF(AND(الجدول145[[#This Row],[البرنامج]]="PLW",الجدول145[[#This Row],[نوع الجلسة]]="معلومات صحة تغذوية للسيدة الحامل"),1,0)</f>
        <v>0</v>
      </c>
      <c r="W37" s="124">
        <f>IF(AND(الجدول145[[#This Row],[نوع الجلسة]]=$BZ$3,الجدول145[[#This Row],[البرنامج]]="PLW"),الجدول145[[#This Row],[عدد الذكور]],0)</f>
        <v>0</v>
      </c>
      <c r="X37" s="124">
        <f>IF(AND(الجدول145[[#This Row],[نوع الجلسة]]=$BZ$3,الجدول145[[#This Row],[البرنامج]]="PLW"),الجدول145[[#This Row],[عدد الأناث]],0)</f>
        <v>0</v>
      </c>
      <c r="Y37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37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37" s="113">
        <f>IF(AND(الجدول145[[#This Row],[البرنامج]]="PLW",الجدول145[[#This Row],[نوع الجلسة]]=$BZ$4),1,0)</f>
        <v>0</v>
      </c>
      <c r="AB37" s="113">
        <f>IF(AND(الجدول145[[#This Row],[البرنامج]]="PLW",الجدول145[[#This Row],[نوع الجلسة]]=$BZ$4),الجدول145[[#This Row],[عدد الذكور]],0)</f>
        <v>0</v>
      </c>
      <c r="AC37" s="113">
        <f>IF(AND(الجدول145[[#This Row],[البرنامج]]="PLW",الجدول145[[#This Row],[نوع الجلسة]]=$BZ$4),الجدول145[[#This Row],[عدد الأناث]],0)</f>
        <v>0</v>
      </c>
      <c r="AD37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37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37" s="125">
        <f>IF(AND(الجدول145[[#This Row],[البرنامج]]="OOSCH",الجدول145[[#This Row],[نوع الجلسة]]=$BZ$7),1,0)</f>
        <v>0</v>
      </c>
      <c r="AG37" s="125">
        <f>IF(AND(الجدول145[[#This Row],[البرنامج]]="OOSCH",الجدول145[[#This Row],[نوع الجلسة]]=$BZ$7),الجدول145[[#This Row],[عدد الذكور]],0)</f>
        <v>0</v>
      </c>
      <c r="AH37" s="125">
        <f>IF(AND(الجدول145[[#This Row],[البرنامج]]="OOSCH",الجدول145[[#This Row],[نوع الجلسة]]=$BZ$7),الجدول145[[#This Row],[عدد الأناث]],0)</f>
        <v>0</v>
      </c>
      <c r="AI37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37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37" s="126">
        <f>IF(AND(الجدول145[[#This Row],[البرنامج]]="OOSCH",الجدول145[[#This Row],[نوع الجلسة]]=$BZ$4),1,0)</f>
        <v>0</v>
      </c>
      <c r="AL37" s="126">
        <f>IF(AND(الجدول145[[#This Row],[البرنامج]]="OOSCH",الجدول145[[#This Row],[نوع الجلسة]]=$BZ$4),الجدول145[[#This Row],[عدد الذكور]],0)</f>
        <v>0</v>
      </c>
      <c r="AM37" s="126">
        <f>IF(AND(الجدول145[[#This Row],[البرنامج]]="OOSCH",الجدول145[[#This Row],[نوع الجلسة]]=$BZ$4),الجدول145[[#This Row],[عدد الأناث]],0)</f>
        <v>0</v>
      </c>
      <c r="AN37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37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37" s="123">
        <f>IF(AND(الجدول145[[#This Row],[نوع الجلسة]]=$BZ$5,الجدول145[[#This Row],[البرنامج]]=$BX$3),1,0)</f>
        <v>0</v>
      </c>
      <c r="AQ37" s="123">
        <f>IF(AND(الجدول145[[#This Row],[البرنامج]]="PLW",الجدول145[[#This Row],[نوع الجلسة]]=$BZ$5),الجدول145[[#This Row],[عدد الذكور]],0)</f>
        <v>0</v>
      </c>
      <c r="AR37" s="123">
        <f>IF(AND(الجدول145[[#This Row],[البرنامج]]="PLW",الجدول145[[#This Row],[نوع الجلسة]]=$BZ$5),الجدول145[[#This Row],[عدد الأناث]],0)</f>
        <v>0</v>
      </c>
      <c r="AS37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37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37" s="127">
        <f>IF(AND(الجدول145[[#This Row],[نوع الجلسة]]=$BZ$5,الجدول145[[#This Row],[البرنامج]]=$BX$2),1,0)</f>
        <v>0</v>
      </c>
      <c r="AV37" s="127">
        <f>IF(AND(الجدول145[[#This Row],[البرنامج]]="OOSCH",الجدول145[[#This Row],[نوع الجلسة]]=$BZ$5),الجدول145[[#This Row],[عدد الذكور]],0)</f>
        <v>0</v>
      </c>
      <c r="AW37" s="127">
        <f>IF(AND(الجدول145[[#This Row],[البرنامج]]="OOSCH",الجدول145[[#This Row],[نوع الجلسة]]=$BZ$5),الجدول145[[#This Row],[عدد الأناث]],0)</f>
        <v>0</v>
      </c>
      <c r="AX37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37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37" s="121">
        <f>IF(AND(الجدول145[[#This Row],[نوع الجلسة]]=$BZ$6,الجدول145[[#This Row],[البرنامج]]=$BX$3),1,0)</f>
        <v>0</v>
      </c>
      <c r="BA37" s="121">
        <f>IF(AND(الجدول145[[#This Row],[البرنامج]]="PLW",الجدول145[[#This Row],[نوع الجلسة]]=$BZ$6),الجدول145[[#This Row],[عدد الذكور]],0)</f>
        <v>0</v>
      </c>
      <c r="BB37" s="121">
        <f>IF(AND(الجدول145[[#This Row],[البرنامج]]="PLW",الجدول145[[#This Row],[نوع الجلسة]]=$BZ$6),الجدول145[[#This Row],[عدد الأناث]],0)</f>
        <v>0</v>
      </c>
      <c r="BC37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37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37" s="122">
        <f>IF(AND(الجدول145[[#This Row],[نوع الجلسة]]=$BZ$6,الجدول145[[#This Row],[البرنامج]]=$BX$2),1,0)</f>
        <v>0</v>
      </c>
      <c r="BF37" s="122">
        <f>IF(AND(الجدول145[[#This Row],[البرنامج]]="OOSCH",الجدول145[[#This Row],[نوع الجلسة]]=$BZ$6),الجدول145[[#This Row],[عدد الذكور]],0)</f>
        <v>0</v>
      </c>
      <c r="BG37" s="122">
        <f>IF(AND(الجدول145[[#This Row],[البرنامج]]="OOSCH",الجدول145[[#This Row],[نوع الجلسة]]=$BZ$6),الجدول145[[#This Row],[عدد الأناث]],0)</f>
        <v>0</v>
      </c>
      <c r="BH37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37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38" spans="4:61" ht="31.5" customHeight="1" x14ac:dyDescent="0.25">
      <c r="D38" s="9"/>
      <c r="E38" s="9"/>
      <c r="F38" s="9"/>
      <c r="G38" s="9"/>
      <c r="H38" s="9"/>
      <c r="I38" s="9"/>
      <c r="J38" s="9"/>
      <c r="K38" s="9">
        <f>SUM(الجدول145[[#This Row],[عدد الذكور]:[عدد الأناث]])</f>
        <v>0</v>
      </c>
      <c r="L38" s="120">
        <f>IF(AND(الجدول145[[#This Row],[البرنامج]]="PLW",الجدول145[[#This Row],[نوع الجلسة]]=$BZ$2),1,0)</f>
        <v>0</v>
      </c>
      <c r="M38" s="120">
        <f>IF(AND(الجدول145[[#This Row],[نوع الجلسة]]=$BZ$2,الجدول145[[#This Row],[البرنامج]]="PLW"),الجدول145[[#This Row],[عدد الذكور]],0)</f>
        <v>0</v>
      </c>
      <c r="N38" s="120">
        <f>IF(AND(الجدول145[[#This Row],[نوع الجلسة]]=$BZ$2,الجدول145[[#This Row],[البرنامج]]="PLW"),الجدول145[[#This Row],[عدد الأناث]],0)</f>
        <v>0</v>
      </c>
      <c r="O38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38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38" s="123">
        <f>IF(AND(الجدول145[[#This Row],[البرنامج]]="OOSCH",الجدول145[[#This Row],[نوع الجلسة]]=$BZ$2),1,0)</f>
        <v>0</v>
      </c>
      <c r="R38" s="123">
        <f>IF(AND(الجدول145[[#This Row],[البرنامج]]="OOSCH",الجدول145[[#This Row],[نوع الجلسة]]=$BZ$2),الجدول145[[#This Row],[عدد الذكور]],0)</f>
        <v>0</v>
      </c>
      <c r="S38" s="123">
        <f>IF(AND(الجدول145[[#This Row],[البرنامج]]="OOSCH",الجدول145[[#This Row],[نوع الجلسة]]=$BZ$2),الجدول145[[#This Row],[عدد الأناث]],0)</f>
        <v>0</v>
      </c>
      <c r="T38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38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38" s="124">
        <f>IF(AND(الجدول145[[#This Row],[البرنامج]]="PLW",الجدول145[[#This Row],[نوع الجلسة]]="معلومات صحة تغذوية للسيدة الحامل"),1,0)</f>
        <v>0</v>
      </c>
      <c r="W38" s="124">
        <f>IF(AND(الجدول145[[#This Row],[نوع الجلسة]]=$BZ$3,الجدول145[[#This Row],[البرنامج]]="PLW"),الجدول145[[#This Row],[عدد الذكور]],0)</f>
        <v>0</v>
      </c>
      <c r="X38" s="124">
        <f>IF(AND(الجدول145[[#This Row],[نوع الجلسة]]=$BZ$3,الجدول145[[#This Row],[البرنامج]]="PLW"),الجدول145[[#This Row],[عدد الأناث]],0)</f>
        <v>0</v>
      </c>
      <c r="Y38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38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38" s="113">
        <f>IF(AND(الجدول145[[#This Row],[البرنامج]]="PLW",الجدول145[[#This Row],[نوع الجلسة]]=$BZ$4),1,0)</f>
        <v>0</v>
      </c>
      <c r="AB38" s="113">
        <f>IF(AND(الجدول145[[#This Row],[البرنامج]]="PLW",الجدول145[[#This Row],[نوع الجلسة]]=$BZ$4),الجدول145[[#This Row],[عدد الذكور]],0)</f>
        <v>0</v>
      </c>
      <c r="AC38" s="113">
        <f>IF(AND(الجدول145[[#This Row],[البرنامج]]="PLW",الجدول145[[#This Row],[نوع الجلسة]]=$BZ$4),الجدول145[[#This Row],[عدد الأناث]],0)</f>
        <v>0</v>
      </c>
      <c r="AD38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38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38" s="125">
        <f>IF(AND(الجدول145[[#This Row],[البرنامج]]="OOSCH",الجدول145[[#This Row],[نوع الجلسة]]=$BZ$7),1,0)</f>
        <v>0</v>
      </c>
      <c r="AG38" s="125">
        <f>IF(AND(الجدول145[[#This Row],[البرنامج]]="OOSCH",الجدول145[[#This Row],[نوع الجلسة]]=$BZ$7),الجدول145[[#This Row],[عدد الذكور]],0)</f>
        <v>0</v>
      </c>
      <c r="AH38" s="125">
        <f>IF(AND(الجدول145[[#This Row],[البرنامج]]="OOSCH",الجدول145[[#This Row],[نوع الجلسة]]=$BZ$7),الجدول145[[#This Row],[عدد الأناث]],0)</f>
        <v>0</v>
      </c>
      <c r="AI38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38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38" s="126">
        <f>IF(AND(الجدول145[[#This Row],[البرنامج]]="OOSCH",الجدول145[[#This Row],[نوع الجلسة]]=$BZ$4),1,0)</f>
        <v>0</v>
      </c>
      <c r="AL38" s="126">
        <f>IF(AND(الجدول145[[#This Row],[البرنامج]]="OOSCH",الجدول145[[#This Row],[نوع الجلسة]]=$BZ$4),الجدول145[[#This Row],[عدد الذكور]],0)</f>
        <v>0</v>
      </c>
      <c r="AM38" s="126">
        <f>IF(AND(الجدول145[[#This Row],[البرنامج]]="OOSCH",الجدول145[[#This Row],[نوع الجلسة]]=$BZ$4),الجدول145[[#This Row],[عدد الأناث]],0)</f>
        <v>0</v>
      </c>
      <c r="AN38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38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38" s="123">
        <f>IF(AND(الجدول145[[#This Row],[نوع الجلسة]]=$BZ$5,الجدول145[[#This Row],[البرنامج]]=$BX$3),1,0)</f>
        <v>0</v>
      </c>
      <c r="AQ38" s="123">
        <f>IF(AND(الجدول145[[#This Row],[البرنامج]]="PLW",الجدول145[[#This Row],[نوع الجلسة]]=$BZ$5),الجدول145[[#This Row],[عدد الذكور]],0)</f>
        <v>0</v>
      </c>
      <c r="AR38" s="123">
        <f>IF(AND(الجدول145[[#This Row],[البرنامج]]="PLW",الجدول145[[#This Row],[نوع الجلسة]]=$BZ$5),الجدول145[[#This Row],[عدد الأناث]],0)</f>
        <v>0</v>
      </c>
      <c r="AS38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38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38" s="127">
        <f>IF(AND(الجدول145[[#This Row],[نوع الجلسة]]=$BZ$5,الجدول145[[#This Row],[البرنامج]]=$BX$2),1,0)</f>
        <v>0</v>
      </c>
      <c r="AV38" s="127">
        <f>IF(AND(الجدول145[[#This Row],[البرنامج]]="OOSCH",الجدول145[[#This Row],[نوع الجلسة]]=$BZ$5),الجدول145[[#This Row],[عدد الذكور]],0)</f>
        <v>0</v>
      </c>
      <c r="AW38" s="127">
        <f>IF(AND(الجدول145[[#This Row],[البرنامج]]="OOSCH",الجدول145[[#This Row],[نوع الجلسة]]=$BZ$5),الجدول145[[#This Row],[عدد الأناث]],0)</f>
        <v>0</v>
      </c>
      <c r="AX38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38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38" s="121">
        <f>IF(AND(الجدول145[[#This Row],[نوع الجلسة]]=$BZ$6,الجدول145[[#This Row],[البرنامج]]=$BX$3),1,0)</f>
        <v>0</v>
      </c>
      <c r="BA38" s="121">
        <f>IF(AND(الجدول145[[#This Row],[البرنامج]]="PLW",الجدول145[[#This Row],[نوع الجلسة]]=$BZ$6),الجدول145[[#This Row],[عدد الذكور]],0)</f>
        <v>0</v>
      </c>
      <c r="BB38" s="121">
        <f>IF(AND(الجدول145[[#This Row],[البرنامج]]="PLW",الجدول145[[#This Row],[نوع الجلسة]]=$BZ$6),الجدول145[[#This Row],[عدد الأناث]],0)</f>
        <v>0</v>
      </c>
      <c r="BC38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38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38" s="122">
        <f>IF(AND(الجدول145[[#This Row],[نوع الجلسة]]=$BZ$6,الجدول145[[#This Row],[البرنامج]]=$BX$2),1,0)</f>
        <v>0</v>
      </c>
      <c r="BF38" s="122">
        <f>IF(AND(الجدول145[[#This Row],[البرنامج]]="OOSCH",الجدول145[[#This Row],[نوع الجلسة]]=$BZ$6),الجدول145[[#This Row],[عدد الذكور]],0)</f>
        <v>0</v>
      </c>
      <c r="BG38" s="122">
        <f>IF(AND(الجدول145[[#This Row],[البرنامج]]="OOSCH",الجدول145[[#This Row],[نوع الجلسة]]=$BZ$6),الجدول145[[#This Row],[عدد الأناث]],0)</f>
        <v>0</v>
      </c>
      <c r="BH38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38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39" spans="4:61" ht="31.5" customHeight="1" x14ac:dyDescent="0.25">
      <c r="D39" s="9"/>
      <c r="E39" s="9"/>
      <c r="F39" s="9"/>
      <c r="G39" s="9"/>
      <c r="H39" s="9"/>
      <c r="I39" s="9"/>
      <c r="J39" s="9"/>
      <c r="K39" s="9">
        <f>SUM(الجدول145[[#This Row],[عدد الذكور]:[عدد الأناث]])</f>
        <v>0</v>
      </c>
      <c r="L39" s="120">
        <f>IF(AND(الجدول145[[#This Row],[البرنامج]]="PLW",الجدول145[[#This Row],[نوع الجلسة]]=$BZ$2),1,0)</f>
        <v>0</v>
      </c>
      <c r="M39" s="120">
        <f>IF(AND(الجدول145[[#This Row],[نوع الجلسة]]=$BZ$2,الجدول145[[#This Row],[البرنامج]]="PLW"),الجدول145[[#This Row],[عدد الذكور]],0)</f>
        <v>0</v>
      </c>
      <c r="N39" s="120">
        <f>IF(AND(الجدول145[[#This Row],[نوع الجلسة]]=$BZ$2,الجدول145[[#This Row],[البرنامج]]="PLW"),الجدول145[[#This Row],[عدد الأناث]],0)</f>
        <v>0</v>
      </c>
      <c r="O39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39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39" s="123">
        <f>IF(AND(الجدول145[[#This Row],[البرنامج]]="OOSCH",الجدول145[[#This Row],[نوع الجلسة]]=$BZ$2),1,0)</f>
        <v>0</v>
      </c>
      <c r="R39" s="123">
        <f>IF(AND(الجدول145[[#This Row],[البرنامج]]="OOSCH",الجدول145[[#This Row],[نوع الجلسة]]=$BZ$2),الجدول145[[#This Row],[عدد الذكور]],0)</f>
        <v>0</v>
      </c>
      <c r="S39" s="123">
        <f>IF(AND(الجدول145[[#This Row],[البرنامج]]="OOSCH",الجدول145[[#This Row],[نوع الجلسة]]=$BZ$2),الجدول145[[#This Row],[عدد الأناث]],0)</f>
        <v>0</v>
      </c>
      <c r="T39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39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39" s="124">
        <f>IF(AND(الجدول145[[#This Row],[البرنامج]]="PLW",الجدول145[[#This Row],[نوع الجلسة]]="معلومات صحة تغذوية للسيدة الحامل"),1,0)</f>
        <v>0</v>
      </c>
      <c r="W39" s="124">
        <f>IF(AND(الجدول145[[#This Row],[نوع الجلسة]]=$BZ$3,الجدول145[[#This Row],[البرنامج]]="PLW"),الجدول145[[#This Row],[عدد الذكور]],0)</f>
        <v>0</v>
      </c>
      <c r="X39" s="124">
        <f>IF(AND(الجدول145[[#This Row],[نوع الجلسة]]=$BZ$3,الجدول145[[#This Row],[البرنامج]]="PLW"),الجدول145[[#This Row],[عدد الأناث]],0)</f>
        <v>0</v>
      </c>
      <c r="Y39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39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39" s="113">
        <f>IF(AND(الجدول145[[#This Row],[البرنامج]]="PLW",الجدول145[[#This Row],[نوع الجلسة]]=$BZ$4),1,0)</f>
        <v>0</v>
      </c>
      <c r="AB39" s="113">
        <f>IF(AND(الجدول145[[#This Row],[البرنامج]]="PLW",الجدول145[[#This Row],[نوع الجلسة]]=$BZ$4),الجدول145[[#This Row],[عدد الذكور]],0)</f>
        <v>0</v>
      </c>
      <c r="AC39" s="113">
        <f>IF(AND(الجدول145[[#This Row],[البرنامج]]="PLW",الجدول145[[#This Row],[نوع الجلسة]]=$BZ$4),الجدول145[[#This Row],[عدد الأناث]],0)</f>
        <v>0</v>
      </c>
      <c r="AD39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39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39" s="125">
        <f>IF(AND(الجدول145[[#This Row],[البرنامج]]="OOSCH",الجدول145[[#This Row],[نوع الجلسة]]=$BZ$7),1,0)</f>
        <v>0</v>
      </c>
      <c r="AG39" s="125">
        <f>IF(AND(الجدول145[[#This Row],[البرنامج]]="OOSCH",الجدول145[[#This Row],[نوع الجلسة]]=$BZ$7),الجدول145[[#This Row],[عدد الذكور]],0)</f>
        <v>0</v>
      </c>
      <c r="AH39" s="125">
        <f>IF(AND(الجدول145[[#This Row],[البرنامج]]="OOSCH",الجدول145[[#This Row],[نوع الجلسة]]=$BZ$7),الجدول145[[#This Row],[عدد الأناث]],0)</f>
        <v>0</v>
      </c>
      <c r="AI39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39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39" s="126">
        <f>IF(AND(الجدول145[[#This Row],[البرنامج]]="OOSCH",الجدول145[[#This Row],[نوع الجلسة]]=$BZ$4),1,0)</f>
        <v>0</v>
      </c>
      <c r="AL39" s="126">
        <f>IF(AND(الجدول145[[#This Row],[البرنامج]]="OOSCH",الجدول145[[#This Row],[نوع الجلسة]]=$BZ$4),الجدول145[[#This Row],[عدد الذكور]],0)</f>
        <v>0</v>
      </c>
      <c r="AM39" s="126">
        <f>IF(AND(الجدول145[[#This Row],[البرنامج]]="OOSCH",الجدول145[[#This Row],[نوع الجلسة]]=$BZ$4),الجدول145[[#This Row],[عدد الأناث]],0)</f>
        <v>0</v>
      </c>
      <c r="AN39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39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39" s="123">
        <f>IF(AND(الجدول145[[#This Row],[نوع الجلسة]]=$BZ$5,الجدول145[[#This Row],[البرنامج]]=$BX$3),1,0)</f>
        <v>0</v>
      </c>
      <c r="AQ39" s="123">
        <f>IF(AND(الجدول145[[#This Row],[البرنامج]]="PLW",الجدول145[[#This Row],[نوع الجلسة]]=$BZ$5),الجدول145[[#This Row],[عدد الذكور]],0)</f>
        <v>0</v>
      </c>
      <c r="AR39" s="123">
        <f>IF(AND(الجدول145[[#This Row],[البرنامج]]="PLW",الجدول145[[#This Row],[نوع الجلسة]]=$BZ$5),الجدول145[[#This Row],[عدد الأناث]],0)</f>
        <v>0</v>
      </c>
      <c r="AS39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39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39" s="127">
        <f>IF(AND(الجدول145[[#This Row],[نوع الجلسة]]=$BZ$5,الجدول145[[#This Row],[البرنامج]]=$BX$2),1,0)</f>
        <v>0</v>
      </c>
      <c r="AV39" s="127">
        <f>IF(AND(الجدول145[[#This Row],[البرنامج]]="OOSCH",الجدول145[[#This Row],[نوع الجلسة]]=$BZ$5),الجدول145[[#This Row],[عدد الذكور]],0)</f>
        <v>0</v>
      </c>
      <c r="AW39" s="127">
        <f>IF(AND(الجدول145[[#This Row],[البرنامج]]="OOSCH",الجدول145[[#This Row],[نوع الجلسة]]=$BZ$5),الجدول145[[#This Row],[عدد الأناث]],0)</f>
        <v>0</v>
      </c>
      <c r="AX39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39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39" s="121">
        <f>IF(AND(الجدول145[[#This Row],[نوع الجلسة]]=$BZ$6,الجدول145[[#This Row],[البرنامج]]=$BX$3),1,0)</f>
        <v>0</v>
      </c>
      <c r="BA39" s="121">
        <f>IF(AND(الجدول145[[#This Row],[البرنامج]]="PLW",الجدول145[[#This Row],[نوع الجلسة]]=$BZ$6),الجدول145[[#This Row],[عدد الذكور]],0)</f>
        <v>0</v>
      </c>
      <c r="BB39" s="121">
        <f>IF(AND(الجدول145[[#This Row],[البرنامج]]="PLW",الجدول145[[#This Row],[نوع الجلسة]]=$BZ$6),الجدول145[[#This Row],[عدد الأناث]],0)</f>
        <v>0</v>
      </c>
      <c r="BC39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39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39" s="122">
        <f>IF(AND(الجدول145[[#This Row],[نوع الجلسة]]=$BZ$6,الجدول145[[#This Row],[البرنامج]]=$BX$2),1,0)</f>
        <v>0</v>
      </c>
      <c r="BF39" s="122">
        <f>IF(AND(الجدول145[[#This Row],[البرنامج]]="OOSCH",الجدول145[[#This Row],[نوع الجلسة]]=$BZ$6),الجدول145[[#This Row],[عدد الذكور]],0)</f>
        <v>0</v>
      </c>
      <c r="BG39" s="122">
        <f>IF(AND(الجدول145[[#This Row],[البرنامج]]="OOSCH",الجدول145[[#This Row],[نوع الجلسة]]=$BZ$6),الجدول145[[#This Row],[عدد الأناث]],0)</f>
        <v>0</v>
      </c>
      <c r="BH39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39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40" spans="4:61" ht="31.5" customHeight="1" x14ac:dyDescent="0.25">
      <c r="D40" s="9"/>
      <c r="E40" s="9"/>
      <c r="F40" s="9"/>
      <c r="G40" s="9"/>
      <c r="H40" s="9"/>
      <c r="I40" s="9"/>
      <c r="J40" s="9"/>
      <c r="K40" s="9">
        <f>SUM(الجدول145[[#This Row],[عدد الذكور]:[عدد الأناث]])</f>
        <v>0</v>
      </c>
      <c r="L40" s="120">
        <f>IF(AND(الجدول145[[#This Row],[البرنامج]]="PLW",الجدول145[[#This Row],[نوع الجلسة]]=$BZ$2),1,0)</f>
        <v>0</v>
      </c>
      <c r="M40" s="120">
        <f>IF(AND(الجدول145[[#This Row],[نوع الجلسة]]=$BZ$2,الجدول145[[#This Row],[البرنامج]]="PLW"),الجدول145[[#This Row],[عدد الذكور]],0)</f>
        <v>0</v>
      </c>
      <c r="N40" s="120">
        <f>IF(AND(الجدول145[[#This Row],[نوع الجلسة]]=$BZ$2,الجدول145[[#This Row],[البرنامج]]="PLW"),الجدول145[[#This Row],[عدد الأناث]],0)</f>
        <v>0</v>
      </c>
      <c r="O40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40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40" s="123">
        <f>IF(AND(الجدول145[[#This Row],[البرنامج]]="OOSCH",الجدول145[[#This Row],[نوع الجلسة]]=$BZ$2),1,0)</f>
        <v>0</v>
      </c>
      <c r="R40" s="123">
        <f>IF(AND(الجدول145[[#This Row],[البرنامج]]="OOSCH",الجدول145[[#This Row],[نوع الجلسة]]=$BZ$2),الجدول145[[#This Row],[عدد الذكور]],0)</f>
        <v>0</v>
      </c>
      <c r="S40" s="123">
        <f>IF(AND(الجدول145[[#This Row],[البرنامج]]="OOSCH",الجدول145[[#This Row],[نوع الجلسة]]=$BZ$2),الجدول145[[#This Row],[عدد الأناث]],0)</f>
        <v>0</v>
      </c>
      <c r="T40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40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40" s="124">
        <f>IF(AND(الجدول145[[#This Row],[البرنامج]]="PLW",الجدول145[[#This Row],[نوع الجلسة]]="معلومات صحة تغذوية للسيدة الحامل"),1,0)</f>
        <v>0</v>
      </c>
      <c r="W40" s="124">
        <f>IF(AND(الجدول145[[#This Row],[نوع الجلسة]]=$BZ$3,الجدول145[[#This Row],[البرنامج]]="PLW"),الجدول145[[#This Row],[عدد الذكور]],0)</f>
        <v>0</v>
      </c>
      <c r="X40" s="124">
        <f>IF(AND(الجدول145[[#This Row],[نوع الجلسة]]=$BZ$3,الجدول145[[#This Row],[البرنامج]]="PLW"),الجدول145[[#This Row],[عدد الأناث]],0)</f>
        <v>0</v>
      </c>
      <c r="Y40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40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40" s="113">
        <f>IF(AND(الجدول145[[#This Row],[البرنامج]]="PLW",الجدول145[[#This Row],[نوع الجلسة]]=$BZ$4),1,0)</f>
        <v>0</v>
      </c>
      <c r="AB40" s="113">
        <f>IF(AND(الجدول145[[#This Row],[البرنامج]]="PLW",الجدول145[[#This Row],[نوع الجلسة]]=$BZ$4),الجدول145[[#This Row],[عدد الذكور]],0)</f>
        <v>0</v>
      </c>
      <c r="AC40" s="113">
        <f>IF(AND(الجدول145[[#This Row],[البرنامج]]="PLW",الجدول145[[#This Row],[نوع الجلسة]]=$BZ$4),الجدول145[[#This Row],[عدد الأناث]],0)</f>
        <v>0</v>
      </c>
      <c r="AD40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40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40" s="125">
        <f>IF(AND(الجدول145[[#This Row],[البرنامج]]="OOSCH",الجدول145[[#This Row],[نوع الجلسة]]=$BZ$7),1,0)</f>
        <v>0</v>
      </c>
      <c r="AG40" s="125">
        <f>IF(AND(الجدول145[[#This Row],[البرنامج]]="OOSCH",الجدول145[[#This Row],[نوع الجلسة]]=$BZ$7),الجدول145[[#This Row],[عدد الذكور]],0)</f>
        <v>0</v>
      </c>
      <c r="AH40" s="125">
        <f>IF(AND(الجدول145[[#This Row],[البرنامج]]="OOSCH",الجدول145[[#This Row],[نوع الجلسة]]=$BZ$7),الجدول145[[#This Row],[عدد الأناث]],0)</f>
        <v>0</v>
      </c>
      <c r="AI40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40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40" s="126">
        <f>IF(AND(الجدول145[[#This Row],[البرنامج]]="OOSCH",الجدول145[[#This Row],[نوع الجلسة]]=$BZ$4),1,0)</f>
        <v>0</v>
      </c>
      <c r="AL40" s="126">
        <f>IF(AND(الجدول145[[#This Row],[البرنامج]]="OOSCH",الجدول145[[#This Row],[نوع الجلسة]]=$BZ$4),الجدول145[[#This Row],[عدد الذكور]],0)</f>
        <v>0</v>
      </c>
      <c r="AM40" s="126">
        <f>IF(AND(الجدول145[[#This Row],[البرنامج]]="OOSCH",الجدول145[[#This Row],[نوع الجلسة]]=$BZ$4),الجدول145[[#This Row],[عدد الأناث]],0)</f>
        <v>0</v>
      </c>
      <c r="AN40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40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40" s="123">
        <f>IF(AND(الجدول145[[#This Row],[نوع الجلسة]]=$BZ$5,الجدول145[[#This Row],[البرنامج]]=$BX$3),1,0)</f>
        <v>0</v>
      </c>
      <c r="AQ40" s="123">
        <f>IF(AND(الجدول145[[#This Row],[البرنامج]]="PLW",الجدول145[[#This Row],[نوع الجلسة]]=$BZ$5),الجدول145[[#This Row],[عدد الذكور]],0)</f>
        <v>0</v>
      </c>
      <c r="AR40" s="123">
        <f>IF(AND(الجدول145[[#This Row],[البرنامج]]="PLW",الجدول145[[#This Row],[نوع الجلسة]]=$BZ$5),الجدول145[[#This Row],[عدد الأناث]],0)</f>
        <v>0</v>
      </c>
      <c r="AS40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40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40" s="127">
        <f>IF(AND(الجدول145[[#This Row],[نوع الجلسة]]=$BZ$5,الجدول145[[#This Row],[البرنامج]]=$BX$2),1,0)</f>
        <v>0</v>
      </c>
      <c r="AV40" s="127">
        <f>IF(AND(الجدول145[[#This Row],[البرنامج]]="OOSCH",الجدول145[[#This Row],[نوع الجلسة]]=$BZ$5),الجدول145[[#This Row],[عدد الذكور]],0)</f>
        <v>0</v>
      </c>
      <c r="AW40" s="127">
        <f>IF(AND(الجدول145[[#This Row],[البرنامج]]="OOSCH",الجدول145[[#This Row],[نوع الجلسة]]=$BZ$5),الجدول145[[#This Row],[عدد الأناث]],0)</f>
        <v>0</v>
      </c>
      <c r="AX40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40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40" s="121">
        <f>IF(AND(الجدول145[[#This Row],[نوع الجلسة]]=$BZ$6,الجدول145[[#This Row],[البرنامج]]=$BX$3),1,0)</f>
        <v>0</v>
      </c>
      <c r="BA40" s="121">
        <f>IF(AND(الجدول145[[#This Row],[البرنامج]]="PLW",الجدول145[[#This Row],[نوع الجلسة]]=$BZ$6),الجدول145[[#This Row],[عدد الذكور]],0)</f>
        <v>0</v>
      </c>
      <c r="BB40" s="121">
        <f>IF(AND(الجدول145[[#This Row],[البرنامج]]="PLW",الجدول145[[#This Row],[نوع الجلسة]]=$BZ$6),الجدول145[[#This Row],[عدد الأناث]],0)</f>
        <v>0</v>
      </c>
      <c r="BC40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40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40" s="122">
        <f>IF(AND(الجدول145[[#This Row],[نوع الجلسة]]=$BZ$6,الجدول145[[#This Row],[البرنامج]]=$BX$2),1,0)</f>
        <v>0</v>
      </c>
      <c r="BF40" s="122">
        <f>IF(AND(الجدول145[[#This Row],[البرنامج]]="OOSCH",الجدول145[[#This Row],[نوع الجلسة]]=$BZ$6),الجدول145[[#This Row],[عدد الذكور]],0)</f>
        <v>0</v>
      </c>
      <c r="BG40" s="122">
        <f>IF(AND(الجدول145[[#This Row],[البرنامج]]="OOSCH",الجدول145[[#This Row],[نوع الجلسة]]=$BZ$6),الجدول145[[#This Row],[عدد الأناث]],0)</f>
        <v>0</v>
      </c>
      <c r="BH40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40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41" spans="4:61" ht="31.5" customHeight="1" x14ac:dyDescent="0.25">
      <c r="D41" s="9"/>
      <c r="E41" s="9"/>
      <c r="F41" s="9"/>
      <c r="G41" s="9"/>
      <c r="H41" s="9"/>
      <c r="I41" s="9"/>
      <c r="J41" s="9"/>
      <c r="K41" s="9">
        <f>SUM(الجدول145[[#This Row],[عدد الذكور]:[عدد الأناث]])</f>
        <v>0</v>
      </c>
      <c r="L41" s="120">
        <f>IF(AND(الجدول145[[#This Row],[البرنامج]]="PLW",الجدول145[[#This Row],[نوع الجلسة]]=$BZ$2),1,0)</f>
        <v>0</v>
      </c>
      <c r="M41" s="120">
        <f>IF(AND(الجدول145[[#This Row],[نوع الجلسة]]=$BZ$2,الجدول145[[#This Row],[البرنامج]]="PLW"),الجدول145[[#This Row],[عدد الذكور]],0)</f>
        <v>0</v>
      </c>
      <c r="N41" s="120">
        <f>IF(AND(الجدول145[[#This Row],[نوع الجلسة]]=$BZ$2,الجدول145[[#This Row],[البرنامج]]="PLW"),الجدول145[[#This Row],[عدد الأناث]],0)</f>
        <v>0</v>
      </c>
      <c r="O41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41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41" s="123">
        <f>IF(AND(الجدول145[[#This Row],[البرنامج]]="OOSCH",الجدول145[[#This Row],[نوع الجلسة]]=$BZ$2),1,0)</f>
        <v>0</v>
      </c>
      <c r="R41" s="123">
        <f>IF(AND(الجدول145[[#This Row],[البرنامج]]="OOSCH",الجدول145[[#This Row],[نوع الجلسة]]=$BZ$2),الجدول145[[#This Row],[عدد الذكور]],0)</f>
        <v>0</v>
      </c>
      <c r="S41" s="123">
        <f>IF(AND(الجدول145[[#This Row],[البرنامج]]="OOSCH",الجدول145[[#This Row],[نوع الجلسة]]=$BZ$2),الجدول145[[#This Row],[عدد الأناث]],0)</f>
        <v>0</v>
      </c>
      <c r="T41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41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41" s="124">
        <f>IF(AND(الجدول145[[#This Row],[البرنامج]]="PLW",الجدول145[[#This Row],[نوع الجلسة]]="معلومات صحة تغذوية للسيدة الحامل"),1,0)</f>
        <v>0</v>
      </c>
      <c r="W41" s="124">
        <f>IF(AND(الجدول145[[#This Row],[نوع الجلسة]]=$BZ$3,الجدول145[[#This Row],[البرنامج]]="PLW"),الجدول145[[#This Row],[عدد الذكور]],0)</f>
        <v>0</v>
      </c>
      <c r="X41" s="124">
        <f>IF(AND(الجدول145[[#This Row],[نوع الجلسة]]=$BZ$3,الجدول145[[#This Row],[البرنامج]]="PLW"),الجدول145[[#This Row],[عدد الأناث]],0)</f>
        <v>0</v>
      </c>
      <c r="Y41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41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41" s="113">
        <f>IF(AND(الجدول145[[#This Row],[البرنامج]]="PLW",الجدول145[[#This Row],[نوع الجلسة]]=$BZ$4),1,0)</f>
        <v>0</v>
      </c>
      <c r="AB41" s="113">
        <f>IF(AND(الجدول145[[#This Row],[البرنامج]]="PLW",الجدول145[[#This Row],[نوع الجلسة]]=$BZ$4),الجدول145[[#This Row],[عدد الذكور]],0)</f>
        <v>0</v>
      </c>
      <c r="AC41" s="113">
        <f>IF(AND(الجدول145[[#This Row],[البرنامج]]="PLW",الجدول145[[#This Row],[نوع الجلسة]]=$BZ$4),الجدول145[[#This Row],[عدد الأناث]],0)</f>
        <v>0</v>
      </c>
      <c r="AD41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41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41" s="125">
        <f>IF(AND(الجدول145[[#This Row],[البرنامج]]="OOSCH",الجدول145[[#This Row],[نوع الجلسة]]=$BZ$7),1,0)</f>
        <v>0</v>
      </c>
      <c r="AG41" s="125">
        <f>IF(AND(الجدول145[[#This Row],[البرنامج]]="OOSCH",الجدول145[[#This Row],[نوع الجلسة]]=$BZ$7),الجدول145[[#This Row],[عدد الذكور]],0)</f>
        <v>0</v>
      </c>
      <c r="AH41" s="125">
        <f>IF(AND(الجدول145[[#This Row],[البرنامج]]="OOSCH",الجدول145[[#This Row],[نوع الجلسة]]=$BZ$7),الجدول145[[#This Row],[عدد الأناث]],0)</f>
        <v>0</v>
      </c>
      <c r="AI41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41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41" s="126">
        <f>IF(AND(الجدول145[[#This Row],[البرنامج]]="OOSCH",الجدول145[[#This Row],[نوع الجلسة]]=$BZ$4),1,0)</f>
        <v>0</v>
      </c>
      <c r="AL41" s="126">
        <f>IF(AND(الجدول145[[#This Row],[البرنامج]]="OOSCH",الجدول145[[#This Row],[نوع الجلسة]]=$BZ$4),الجدول145[[#This Row],[عدد الذكور]],0)</f>
        <v>0</v>
      </c>
      <c r="AM41" s="126">
        <f>IF(AND(الجدول145[[#This Row],[البرنامج]]="OOSCH",الجدول145[[#This Row],[نوع الجلسة]]=$BZ$4),الجدول145[[#This Row],[عدد الأناث]],0)</f>
        <v>0</v>
      </c>
      <c r="AN41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41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41" s="123">
        <f>IF(AND(الجدول145[[#This Row],[نوع الجلسة]]=$BZ$5,الجدول145[[#This Row],[البرنامج]]=$BX$3),1,0)</f>
        <v>0</v>
      </c>
      <c r="AQ41" s="123">
        <f>IF(AND(الجدول145[[#This Row],[البرنامج]]="PLW",الجدول145[[#This Row],[نوع الجلسة]]=$BZ$5),الجدول145[[#This Row],[عدد الذكور]],0)</f>
        <v>0</v>
      </c>
      <c r="AR41" s="123">
        <f>IF(AND(الجدول145[[#This Row],[البرنامج]]="PLW",الجدول145[[#This Row],[نوع الجلسة]]=$BZ$5),الجدول145[[#This Row],[عدد الأناث]],0)</f>
        <v>0</v>
      </c>
      <c r="AS41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41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41" s="127">
        <f>IF(AND(الجدول145[[#This Row],[نوع الجلسة]]=$BZ$5,الجدول145[[#This Row],[البرنامج]]=$BX$2),1,0)</f>
        <v>0</v>
      </c>
      <c r="AV41" s="127">
        <f>IF(AND(الجدول145[[#This Row],[البرنامج]]="OOSCH",الجدول145[[#This Row],[نوع الجلسة]]=$BZ$5),الجدول145[[#This Row],[عدد الذكور]],0)</f>
        <v>0</v>
      </c>
      <c r="AW41" s="127">
        <f>IF(AND(الجدول145[[#This Row],[البرنامج]]="OOSCH",الجدول145[[#This Row],[نوع الجلسة]]=$BZ$5),الجدول145[[#This Row],[عدد الأناث]],0)</f>
        <v>0</v>
      </c>
      <c r="AX41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41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41" s="121">
        <f>IF(AND(الجدول145[[#This Row],[نوع الجلسة]]=$BZ$6,الجدول145[[#This Row],[البرنامج]]=$BX$3),1,0)</f>
        <v>0</v>
      </c>
      <c r="BA41" s="121">
        <f>IF(AND(الجدول145[[#This Row],[البرنامج]]="PLW",الجدول145[[#This Row],[نوع الجلسة]]=$BZ$6),الجدول145[[#This Row],[عدد الذكور]],0)</f>
        <v>0</v>
      </c>
      <c r="BB41" s="121">
        <f>IF(AND(الجدول145[[#This Row],[البرنامج]]="PLW",الجدول145[[#This Row],[نوع الجلسة]]=$BZ$6),الجدول145[[#This Row],[عدد الأناث]],0)</f>
        <v>0</v>
      </c>
      <c r="BC41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41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41" s="122">
        <f>IF(AND(الجدول145[[#This Row],[نوع الجلسة]]=$BZ$6,الجدول145[[#This Row],[البرنامج]]=$BX$2),1,0)</f>
        <v>0</v>
      </c>
      <c r="BF41" s="122">
        <f>IF(AND(الجدول145[[#This Row],[البرنامج]]="OOSCH",الجدول145[[#This Row],[نوع الجلسة]]=$BZ$6),الجدول145[[#This Row],[عدد الذكور]],0)</f>
        <v>0</v>
      </c>
      <c r="BG41" s="122">
        <f>IF(AND(الجدول145[[#This Row],[البرنامج]]="OOSCH",الجدول145[[#This Row],[نوع الجلسة]]=$BZ$6),الجدول145[[#This Row],[عدد الأناث]],0)</f>
        <v>0</v>
      </c>
      <c r="BH41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41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42" spans="4:61" ht="31.5" customHeight="1" x14ac:dyDescent="0.25">
      <c r="D42" s="9"/>
      <c r="E42" s="9"/>
      <c r="F42" s="9"/>
      <c r="G42" s="9"/>
      <c r="H42" s="9"/>
      <c r="I42" s="9"/>
      <c r="J42" s="9"/>
      <c r="K42" s="9">
        <f>SUM(الجدول145[[#This Row],[عدد الذكور]:[عدد الأناث]])</f>
        <v>0</v>
      </c>
      <c r="L42" s="120">
        <f>IF(AND(الجدول145[[#This Row],[البرنامج]]="PLW",الجدول145[[#This Row],[نوع الجلسة]]=$BZ$2),1,0)</f>
        <v>0</v>
      </c>
      <c r="M42" s="120">
        <f>IF(AND(الجدول145[[#This Row],[نوع الجلسة]]=$BZ$2,الجدول145[[#This Row],[البرنامج]]="PLW"),الجدول145[[#This Row],[عدد الذكور]],0)</f>
        <v>0</v>
      </c>
      <c r="N42" s="120">
        <f>IF(AND(الجدول145[[#This Row],[نوع الجلسة]]=$BZ$2,الجدول145[[#This Row],[البرنامج]]="PLW"),الجدول145[[#This Row],[عدد الأناث]],0)</f>
        <v>0</v>
      </c>
      <c r="O42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42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42" s="123">
        <f>IF(AND(الجدول145[[#This Row],[البرنامج]]="OOSCH",الجدول145[[#This Row],[نوع الجلسة]]=$BZ$2),1,0)</f>
        <v>0</v>
      </c>
      <c r="R42" s="123">
        <f>IF(AND(الجدول145[[#This Row],[البرنامج]]="OOSCH",الجدول145[[#This Row],[نوع الجلسة]]=$BZ$2),الجدول145[[#This Row],[عدد الذكور]],0)</f>
        <v>0</v>
      </c>
      <c r="S42" s="123">
        <f>IF(AND(الجدول145[[#This Row],[البرنامج]]="OOSCH",الجدول145[[#This Row],[نوع الجلسة]]=$BZ$2),الجدول145[[#This Row],[عدد الأناث]],0)</f>
        <v>0</v>
      </c>
      <c r="T42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42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42" s="124">
        <f>IF(AND(الجدول145[[#This Row],[البرنامج]]="PLW",الجدول145[[#This Row],[نوع الجلسة]]="معلومات صحة تغذوية للسيدة الحامل"),1,0)</f>
        <v>0</v>
      </c>
      <c r="W42" s="124">
        <f>IF(AND(الجدول145[[#This Row],[نوع الجلسة]]=$BZ$3,الجدول145[[#This Row],[البرنامج]]="PLW"),الجدول145[[#This Row],[عدد الذكور]],0)</f>
        <v>0</v>
      </c>
      <c r="X42" s="124">
        <f>IF(AND(الجدول145[[#This Row],[نوع الجلسة]]=$BZ$3,الجدول145[[#This Row],[البرنامج]]="PLW"),الجدول145[[#This Row],[عدد الأناث]],0)</f>
        <v>0</v>
      </c>
      <c r="Y42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42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42" s="113">
        <f>IF(AND(الجدول145[[#This Row],[البرنامج]]="PLW",الجدول145[[#This Row],[نوع الجلسة]]=$BZ$4),1,0)</f>
        <v>0</v>
      </c>
      <c r="AB42" s="113">
        <f>IF(AND(الجدول145[[#This Row],[البرنامج]]="PLW",الجدول145[[#This Row],[نوع الجلسة]]=$BZ$4),الجدول145[[#This Row],[عدد الذكور]],0)</f>
        <v>0</v>
      </c>
      <c r="AC42" s="113">
        <f>IF(AND(الجدول145[[#This Row],[البرنامج]]="PLW",الجدول145[[#This Row],[نوع الجلسة]]=$BZ$4),الجدول145[[#This Row],[عدد الأناث]],0)</f>
        <v>0</v>
      </c>
      <c r="AD42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42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42" s="125">
        <f>IF(AND(الجدول145[[#This Row],[البرنامج]]="OOSCH",الجدول145[[#This Row],[نوع الجلسة]]=$BZ$7),1,0)</f>
        <v>0</v>
      </c>
      <c r="AG42" s="125">
        <f>IF(AND(الجدول145[[#This Row],[البرنامج]]="OOSCH",الجدول145[[#This Row],[نوع الجلسة]]=$BZ$7),الجدول145[[#This Row],[عدد الذكور]],0)</f>
        <v>0</v>
      </c>
      <c r="AH42" s="125">
        <f>IF(AND(الجدول145[[#This Row],[البرنامج]]="OOSCH",الجدول145[[#This Row],[نوع الجلسة]]=$BZ$7),الجدول145[[#This Row],[عدد الأناث]],0)</f>
        <v>0</v>
      </c>
      <c r="AI42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42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42" s="126">
        <f>IF(AND(الجدول145[[#This Row],[البرنامج]]="OOSCH",الجدول145[[#This Row],[نوع الجلسة]]=$BZ$4),1,0)</f>
        <v>0</v>
      </c>
      <c r="AL42" s="126">
        <f>IF(AND(الجدول145[[#This Row],[البرنامج]]="OOSCH",الجدول145[[#This Row],[نوع الجلسة]]=$BZ$4),الجدول145[[#This Row],[عدد الذكور]],0)</f>
        <v>0</v>
      </c>
      <c r="AM42" s="126">
        <f>IF(AND(الجدول145[[#This Row],[البرنامج]]="OOSCH",الجدول145[[#This Row],[نوع الجلسة]]=$BZ$4),الجدول145[[#This Row],[عدد الأناث]],0)</f>
        <v>0</v>
      </c>
      <c r="AN42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42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42" s="123">
        <f>IF(AND(الجدول145[[#This Row],[نوع الجلسة]]=$BZ$5,الجدول145[[#This Row],[البرنامج]]=$BX$3),1,0)</f>
        <v>0</v>
      </c>
      <c r="AQ42" s="123">
        <f>IF(AND(الجدول145[[#This Row],[البرنامج]]="PLW",الجدول145[[#This Row],[نوع الجلسة]]=$BZ$5),الجدول145[[#This Row],[عدد الذكور]],0)</f>
        <v>0</v>
      </c>
      <c r="AR42" s="123">
        <f>IF(AND(الجدول145[[#This Row],[البرنامج]]="PLW",الجدول145[[#This Row],[نوع الجلسة]]=$BZ$5),الجدول145[[#This Row],[عدد الأناث]],0)</f>
        <v>0</v>
      </c>
      <c r="AS42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42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42" s="127">
        <f>IF(AND(الجدول145[[#This Row],[نوع الجلسة]]=$BZ$5,الجدول145[[#This Row],[البرنامج]]=$BX$2),1,0)</f>
        <v>0</v>
      </c>
      <c r="AV42" s="127">
        <f>IF(AND(الجدول145[[#This Row],[البرنامج]]="OOSCH",الجدول145[[#This Row],[نوع الجلسة]]=$BZ$5),الجدول145[[#This Row],[عدد الذكور]],0)</f>
        <v>0</v>
      </c>
      <c r="AW42" s="127">
        <f>IF(AND(الجدول145[[#This Row],[البرنامج]]="OOSCH",الجدول145[[#This Row],[نوع الجلسة]]=$BZ$5),الجدول145[[#This Row],[عدد الأناث]],0)</f>
        <v>0</v>
      </c>
      <c r="AX42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42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42" s="121">
        <f>IF(AND(الجدول145[[#This Row],[نوع الجلسة]]=$BZ$6,الجدول145[[#This Row],[البرنامج]]=$BX$3),1,0)</f>
        <v>0</v>
      </c>
      <c r="BA42" s="121">
        <f>IF(AND(الجدول145[[#This Row],[البرنامج]]="PLW",الجدول145[[#This Row],[نوع الجلسة]]=$BZ$6),الجدول145[[#This Row],[عدد الذكور]],0)</f>
        <v>0</v>
      </c>
      <c r="BB42" s="121">
        <f>IF(AND(الجدول145[[#This Row],[البرنامج]]="PLW",الجدول145[[#This Row],[نوع الجلسة]]=$BZ$6),الجدول145[[#This Row],[عدد الأناث]],0)</f>
        <v>0</v>
      </c>
      <c r="BC42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42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42" s="122">
        <f>IF(AND(الجدول145[[#This Row],[نوع الجلسة]]=$BZ$6,الجدول145[[#This Row],[البرنامج]]=$BX$2),1,0)</f>
        <v>0</v>
      </c>
      <c r="BF42" s="122">
        <f>IF(AND(الجدول145[[#This Row],[البرنامج]]="OOSCH",الجدول145[[#This Row],[نوع الجلسة]]=$BZ$6),الجدول145[[#This Row],[عدد الذكور]],0)</f>
        <v>0</v>
      </c>
      <c r="BG42" s="122">
        <f>IF(AND(الجدول145[[#This Row],[البرنامج]]="OOSCH",الجدول145[[#This Row],[نوع الجلسة]]=$BZ$6),الجدول145[[#This Row],[عدد الأناث]],0)</f>
        <v>0</v>
      </c>
      <c r="BH42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42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43" spans="4:61" ht="31.5" customHeight="1" x14ac:dyDescent="0.25">
      <c r="D43" s="9"/>
      <c r="E43" s="9"/>
      <c r="F43" s="9"/>
      <c r="G43" s="9"/>
      <c r="H43" s="9"/>
      <c r="I43" s="9"/>
      <c r="J43" s="9"/>
      <c r="K43" s="9">
        <f>SUM(الجدول145[[#This Row],[عدد الذكور]:[عدد الأناث]])</f>
        <v>0</v>
      </c>
      <c r="L43" s="120">
        <f>IF(AND(الجدول145[[#This Row],[البرنامج]]="PLW",الجدول145[[#This Row],[نوع الجلسة]]=$BZ$2),1,0)</f>
        <v>0</v>
      </c>
      <c r="M43" s="120">
        <f>IF(AND(الجدول145[[#This Row],[نوع الجلسة]]=$BZ$2,الجدول145[[#This Row],[البرنامج]]="PLW"),الجدول145[[#This Row],[عدد الذكور]],0)</f>
        <v>0</v>
      </c>
      <c r="N43" s="120">
        <f>IF(AND(الجدول145[[#This Row],[نوع الجلسة]]=$BZ$2,الجدول145[[#This Row],[البرنامج]]="PLW"),الجدول145[[#This Row],[عدد الأناث]],0)</f>
        <v>0</v>
      </c>
      <c r="O43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43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43" s="123">
        <f>IF(AND(الجدول145[[#This Row],[البرنامج]]="OOSCH",الجدول145[[#This Row],[نوع الجلسة]]=$BZ$2),1,0)</f>
        <v>0</v>
      </c>
      <c r="R43" s="123">
        <f>IF(AND(الجدول145[[#This Row],[البرنامج]]="OOSCH",الجدول145[[#This Row],[نوع الجلسة]]=$BZ$2),الجدول145[[#This Row],[عدد الذكور]],0)</f>
        <v>0</v>
      </c>
      <c r="S43" s="123">
        <f>IF(AND(الجدول145[[#This Row],[البرنامج]]="OOSCH",الجدول145[[#This Row],[نوع الجلسة]]=$BZ$2),الجدول145[[#This Row],[عدد الأناث]],0)</f>
        <v>0</v>
      </c>
      <c r="T43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43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43" s="124">
        <f>IF(AND(الجدول145[[#This Row],[البرنامج]]="PLW",الجدول145[[#This Row],[نوع الجلسة]]="معلومات صحة تغذوية للسيدة الحامل"),1,0)</f>
        <v>0</v>
      </c>
      <c r="W43" s="124">
        <f>IF(AND(الجدول145[[#This Row],[نوع الجلسة]]=$BZ$3,الجدول145[[#This Row],[البرنامج]]="PLW"),الجدول145[[#This Row],[عدد الذكور]],0)</f>
        <v>0</v>
      </c>
      <c r="X43" s="124">
        <f>IF(AND(الجدول145[[#This Row],[نوع الجلسة]]=$BZ$3,الجدول145[[#This Row],[البرنامج]]="PLW"),الجدول145[[#This Row],[عدد الأناث]],0)</f>
        <v>0</v>
      </c>
      <c r="Y43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43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43" s="113">
        <f>IF(AND(الجدول145[[#This Row],[البرنامج]]="PLW",الجدول145[[#This Row],[نوع الجلسة]]=$BZ$4),1,0)</f>
        <v>0</v>
      </c>
      <c r="AB43" s="113">
        <f>IF(AND(الجدول145[[#This Row],[البرنامج]]="PLW",الجدول145[[#This Row],[نوع الجلسة]]=$BZ$4),الجدول145[[#This Row],[عدد الذكور]],0)</f>
        <v>0</v>
      </c>
      <c r="AC43" s="113">
        <f>IF(AND(الجدول145[[#This Row],[البرنامج]]="PLW",الجدول145[[#This Row],[نوع الجلسة]]=$BZ$4),الجدول145[[#This Row],[عدد الأناث]],0)</f>
        <v>0</v>
      </c>
      <c r="AD43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43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43" s="125">
        <f>IF(AND(الجدول145[[#This Row],[البرنامج]]="OOSCH",الجدول145[[#This Row],[نوع الجلسة]]=$BZ$7),1,0)</f>
        <v>0</v>
      </c>
      <c r="AG43" s="125">
        <f>IF(AND(الجدول145[[#This Row],[البرنامج]]="OOSCH",الجدول145[[#This Row],[نوع الجلسة]]=$BZ$7),الجدول145[[#This Row],[عدد الذكور]],0)</f>
        <v>0</v>
      </c>
      <c r="AH43" s="125">
        <f>IF(AND(الجدول145[[#This Row],[البرنامج]]="OOSCH",الجدول145[[#This Row],[نوع الجلسة]]=$BZ$7),الجدول145[[#This Row],[عدد الأناث]],0)</f>
        <v>0</v>
      </c>
      <c r="AI43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43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43" s="126">
        <f>IF(AND(الجدول145[[#This Row],[البرنامج]]="OOSCH",الجدول145[[#This Row],[نوع الجلسة]]=$BZ$4),1,0)</f>
        <v>0</v>
      </c>
      <c r="AL43" s="126">
        <f>IF(AND(الجدول145[[#This Row],[البرنامج]]="OOSCH",الجدول145[[#This Row],[نوع الجلسة]]=$BZ$4),الجدول145[[#This Row],[عدد الذكور]],0)</f>
        <v>0</v>
      </c>
      <c r="AM43" s="126">
        <f>IF(AND(الجدول145[[#This Row],[البرنامج]]="OOSCH",الجدول145[[#This Row],[نوع الجلسة]]=$BZ$4),الجدول145[[#This Row],[عدد الأناث]],0)</f>
        <v>0</v>
      </c>
      <c r="AN43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43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43" s="123">
        <f>IF(AND(الجدول145[[#This Row],[نوع الجلسة]]=$BZ$5,الجدول145[[#This Row],[البرنامج]]=$BX$3),1,0)</f>
        <v>0</v>
      </c>
      <c r="AQ43" s="123">
        <f>IF(AND(الجدول145[[#This Row],[البرنامج]]="PLW",الجدول145[[#This Row],[نوع الجلسة]]=$BZ$5),الجدول145[[#This Row],[عدد الذكور]],0)</f>
        <v>0</v>
      </c>
      <c r="AR43" s="123">
        <f>IF(AND(الجدول145[[#This Row],[البرنامج]]="PLW",الجدول145[[#This Row],[نوع الجلسة]]=$BZ$5),الجدول145[[#This Row],[عدد الأناث]],0)</f>
        <v>0</v>
      </c>
      <c r="AS43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43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43" s="127">
        <f>IF(AND(الجدول145[[#This Row],[نوع الجلسة]]=$BZ$5,الجدول145[[#This Row],[البرنامج]]=$BX$2),1,0)</f>
        <v>0</v>
      </c>
      <c r="AV43" s="127">
        <f>IF(AND(الجدول145[[#This Row],[البرنامج]]="OOSCH",الجدول145[[#This Row],[نوع الجلسة]]=$BZ$5),الجدول145[[#This Row],[عدد الذكور]],0)</f>
        <v>0</v>
      </c>
      <c r="AW43" s="127">
        <f>IF(AND(الجدول145[[#This Row],[البرنامج]]="OOSCH",الجدول145[[#This Row],[نوع الجلسة]]=$BZ$5),الجدول145[[#This Row],[عدد الأناث]],0)</f>
        <v>0</v>
      </c>
      <c r="AX43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43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43" s="121">
        <f>IF(AND(الجدول145[[#This Row],[نوع الجلسة]]=$BZ$6,الجدول145[[#This Row],[البرنامج]]=$BX$3),1,0)</f>
        <v>0</v>
      </c>
      <c r="BA43" s="121">
        <f>IF(AND(الجدول145[[#This Row],[البرنامج]]="PLW",الجدول145[[#This Row],[نوع الجلسة]]=$BZ$6),الجدول145[[#This Row],[عدد الذكور]],0)</f>
        <v>0</v>
      </c>
      <c r="BB43" s="121">
        <f>IF(AND(الجدول145[[#This Row],[البرنامج]]="PLW",الجدول145[[#This Row],[نوع الجلسة]]=$BZ$6),الجدول145[[#This Row],[عدد الأناث]],0)</f>
        <v>0</v>
      </c>
      <c r="BC43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43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43" s="122">
        <f>IF(AND(الجدول145[[#This Row],[نوع الجلسة]]=$BZ$6,الجدول145[[#This Row],[البرنامج]]=$BX$2),1,0)</f>
        <v>0</v>
      </c>
      <c r="BF43" s="122">
        <f>IF(AND(الجدول145[[#This Row],[البرنامج]]="OOSCH",الجدول145[[#This Row],[نوع الجلسة]]=$BZ$6),الجدول145[[#This Row],[عدد الذكور]],0)</f>
        <v>0</v>
      </c>
      <c r="BG43" s="122">
        <f>IF(AND(الجدول145[[#This Row],[البرنامج]]="OOSCH",الجدول145[[#This Row],[نوع الجلسة]]=$BZ$6),الجدول145[[#This Row],[عدد الأناث]],0)</f>
        <v>0</v>
      </c>
      <c r="BH43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43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44" spans="4:61" ht="31.5" customHeight="1" x14ac:dyDescent="0.25">
      <c r="D44" s="9"/>
      <c r="E44" s="9"/>
      <c r="F44" s="9"/>
      <c r="G44" s="9"/>
      <c r="H44" s="9"/>
      <c r="I44" s="9"/>
      <c r="J44" s="9"/>
      <c r="K44" s="9">
        <f>SUM(الجدول145[[#This Row],[عدد الذكور]:[عدد الأناث]])</f>
        <v>0</v>
      </c>
      <c r="L44" s="120">
        <f>IF(AND(الجدول145[[#This Row],[البرنامج]]="PLW",الجدول145[[#This Row],[نوع الجلسة]]=$BZ$2),1,0)</f>
        <v>0</v>
      </c>
      <c r="M44" s="120">
        <f>IF(AND(الجدول145[[#This Row],[نوع الجلسة]]=$BZ$2,الجدول145[[#This Row],[البرنامج]]="PLW"),الجدول145[[#This Row],[عدد الذكور]],0)</f>
        <v>0</v>
      </c>
      <c r="N44" s="120">
        <f>IF(AND(الجدول145[[#This Row],[نوع الجلسة]]=$BZ$2,الجدول145[[#This Row],[البرنامج]]="PLW"),الجدول145[[#This Row],[عدد الأناث]],0)</f>
        <v>0</v>
      </c>
      <c r="O44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44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44" s="123">
        <f>IF(AND(الجدول145[[#This Row],[البرنامج]]="OOSCH",الجدول145[[#This Row],[نوع الجلسة]]=$BZ$2),1,0)</f>
        <v>0</v>
      </c>
      <c r="R44" s="123">
        <f>IF(AND(الجدول145[[#This Row],[البرنامج]]="OOSCH",الجدول145[[#This Row],[نوع الجلسة]]=$BZ$2),الجدول145[[#This Row],[عدد الذكور]],0)</f>
        <v>0</v>
      </c>
      <c r="S44" s="123">
        <f>IF(AND(الجدول145[[#This Row],[البرنامج]]="OOSCH",الجدول145[[#This Row],[نوع الجلسة]]=$BZ$2),الجدول145[[#This Row],[عدد الأناث]],0)</f>
        <v>0</v>
      </c>
      <c r="T44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44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44" s="124">
        <f>IF(AND(الجدول145[[#This Row],[البرنامج]]="PLW",الجدول145[[#This Row],[نوع الجلسة]]="معلومات صحة تغذوية للسيدة الحامل"),1,0)</f>
        <v>0</v>
      </c>
      <c r="W44" s="124">
        <f>IF(AND(الجدول145[[#This Row],[نوع الجلسة]]=$BZ$3,الجدول145[[#This Row],[البرنامج]]="PLW"),الجدول145[[#This Row],[عدد الذكور]],0)</f>
        <v>0</v>
      </c>
      <c r="X44" s="124">
        <f>IF(AND(الجدول145[[#This Row],[نوع الجلسة]]=$BZ$3,الجدول145[[#This Row],[البرنامج]]="PLW"),الجدول145[[#This Row],[عدد الأناث]],0)</f>
        <v>0</v>
      </c>
      <c r="Y44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44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44" s="113">
        <f>IF(AND(الجدول145[[#This Row],[البرنامج]]="PLW",الجدول145[[#This Row],[نوع الجلسة]]=$BZ$4),1,0)</f>
        <v>0</v>
      </c>
      <c r="AB44" s="113">
        <f>IF(AND(الجدول145[[#This Row],[البرنامج]]="PLW",الجدول145[[#This Row],[نوع الجلسة]]=$BZ$4),الجدول145[[#This Row],[عدد الذكور]],0)</f>
        <v>0</v>
      </c>
      <c r="AC44" s="113">
        <f>IF(AND(الجدول145[[#This Row],[البرنامج]]="PLW",الجدول145[[#This Row],[نوع الجلسة]]=$BZ$4),الجدول145[[#This Row],[عدد الأناث]],0)</f>
        <v>0</v>
      </c>
      <c r="AD44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44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44" s="125">
        <f>IF(AND(الجدول145[[#This Row],[البرنامج]]="OOSCH",الجدول145[[#This Row],[نوع الجلسة]]=$BZ$7),1,0)</f>
        <v>0</v>
      </c>
      <c r="AG44" s="125">
        <f>IF(AND(الجدول145[[#This Row],[البرنامج]]="OOSCH",الجدول145[[#This Row],[نوع الجلسة]]=$BZ$7),الجدول145[[#This Row],[عدد الذكور]],0)</f>
        <v>0</v>
      </c>
      <c r="AH44" s="125">
        <f>IF(AND(الجدول145[[#This Row],[البرنامج]]="OOSCH",الجدول145[[#This Row],[نوع الجلسة]]=$BZ$7),الجدول145[[#This Row],[عدد الأناث]],0)</f>
        <v>0</v>
      </c>
      <c r="AI44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44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44" s="126">
        <f>IF(AND(الجدول145[[#This Row],[البرنامج]]="OOSCH",الجدول145[[#This Row],[نوع الجلسة]]=$BZ$4),1,0)</f>
        <v>0</v>
      </c>
      <c r="AL44" s="126">
        <f>IF(AND(الجدول145[[#This Row],[البرنامج]]="OOSCH",الجدول145[[#This Row],[نوع الجلسة]]=$BZ$4),الجدول145[[#This Row],[عدد الذكور]],0)</f>
        <v>0</v>
      </c>
      <c r="AM44" s="126">
        <f>IF(AND(الجدول145[[#This Row],[البرنامج]]="OOSCH",الجدول145[[#This Row],[نوع الجلسة]]=$BZ$4),الجدول145[[#This Row],[عدد الأناث]],0)</f>
        <v>0</v>
      </c>
      <c r="AN44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44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44" s="123">
        <f>IF(AND(الجدول145[[#This Row],[نوع الجلسة]]=$BZ$5,الجدول145[[#This Row],[البرنامج]]=$BX$3),1,0)</f>
        <v>0</v>
      </c>
      <c r="AQ44" s="123">
        <f>IF(AND(الجدول145[[#This Row],[البرنامج]]="PLW",الجدول145[[#This Row],[نوع الجلسة]]=$BZ$5),الجدول145[[#This Row],[عدد الذكور]],0)</f>
        <v>0</v>
      </c>
      <c r="AR44" s="123">
        <f>IF(AND(الجدول145[[#This Row],[البرنامج]]="PLW",الجدول145[[#This Row],[نوع الجلسة]]=$BZ$5),الجدول145[[#This Row],[عدد الأناث]],0)</f>
        <v>0</v>
      </c>
      <c r="AS44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44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44" s="127">
        <f>IF(AND(الجدول145[[#This Row],[نوع الجلسة]]=$BZ$5,الجدول145[[#This Row],[البرنامج]]=$BX$2),1,0)</f>
        <v>0</v>
      </c>
      <c r="AV44" s="127">
        <f>IF(AND(الجدول145[[#This Row],[البرنامج]]="OOSCH",الجدول145[[#This Row],[نوع الجلسة]]=$BZ$5),الجدول145[[#This Row],[عدد الذكور]],0)</f>
        <v>0</v>
      </c>
      <c r="AW44" s="127">
        <f>IF(AND(الجدول145[[#This Row],[البرنامج]]="OOSCH",الجدول145[[#This Row],[نوع الجلسة]]=$BZ$5),الجدول145[[#This Row],[عدد الأناث]],0)</f>
        <v>0</v>
      </c>
      <c r="AX44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44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44" s="121">
        <f>IF(AND(الجدول145[[#This Row],[نوع الجلسة]]=$BZ$6,الجدول145[[#This Row],[البرنامج]]=$BX$3),1,0)</f>
        <v>0</v>
      </c>
      <c r="BA44" s="121">
        <f>IF(AND(الجدول145[[#This Row],[البرنامج]]="PLW",الجدول145[[#This Row],[نوع الجلسة]]=$BZ$6),الجدول145[[#This Row],[عدد الذكور]],0)</f>
        <v>0</v>
      </c>
      <c r="BB44" s="121">
        <f>IF(AND(الجدول145[[#This Row],[البرنامج]]="PLW",الجدول145[[#This Row],[نوع الجلسة]]=$BZ$6),الجدول145[[#This Row],[عدد الأناث]],0)</f>
        <v>0</v>
      </c>
      <c r="BC44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44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44" s="122">
        <f>IF(AND(الجدول145[[#This Row],[نوع الجلسة]]=$BZ$6,الجدول145[[#This Row],[البرنامج]]=$BX$2),1,0)</f>
        <v>0</v>
      </c>
      <c r="BF44" s="122">
        <f>IF(AND(الجدول145[[#This Row],[البرنامج]]="OOSCH",الجدول145[[#This Row],[نوع الجلسة]]=$BZ$6),الجدول145[[#This Row],[عدد الذكور]],0)</f>
        <v>0</v>
      </c>
      <c r="BG44" s="122">
        <f>IF(AND(الجدول145[[#This Row],[البرنامج]]="OOSCH",الجدول145[[#This Row],[نوع الجلسة]]=$BZ$6),الجدول145[[#This Row],[عدد الأناث]],0)</f>
        <v>0</v>
      </c>
      <c r="BH44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44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45" spans="4:61" ht="31.5" customHeight="1" x14ac:dyDescent="0.25">
      <c r="D45" s="9"/>
      <c r="E45" s="9"/>
      <c r="F45" s="9"/>
      <c r="G45" s="9"/>
      <c r="H45" s="9"/>
      <c r="I45" s="9"/>
      <c r="J45" s="9"/>
      <c r="K45" s="9">
        <f>SUM(الجدول145[[#This Row],[عدد الذكور]:[عدد الأناث]])</f>
        <v>0</v>
      </c>
      <c r="L45" s="120">
        <f>IF(AND(الجدول145[[#This Row],[البرنامج]]="PLW",الجدول145[[#This Row],[نوع الجلسة]]=$BZ$2),1,0)</f>
        <v>0</v>
      </c>
      <c r="M45" s="120">
        <f>IF(AND(الجدول145[[#This Row],[نوع الجلسة]]=$BZ$2,الجدول145[[#This Row],[البرنامج]]="PLW"),الجدول145[[#This Row],[عدد الذكور]],0)</f>
        <v>0</v>
      </c>
      <c r="N45" s="120">
        <f>IF(AND(الجدول145[[#This Row],[نوع الجلسة]]=$BZ$2,الجدول145[[#This Row],[البرنامج]]="PLW"),الجدول145[[#This Row],[عدد الأناث]],0)</f>
        <v>0</v>
      </c>
      <c r="O45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45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45" s="123">
        <f>IF(AND(الجدول145[[#This Row],[البرنامج]]="OOSCH",الجدول145[[#This Row],[نوع الجلسة]]=$BZ$2),1,0)</f>
        <v>0</v>
      </c>
      <c r="R45" s="123">
        <f>IF(AND(الجدول145[[#This Row],[البرنامج]]="OOSCH",الجدول145[[#This Row],[نوع الجلسة]]=$BZ$2),الجدول145[[#This Row],[عدد الذكور]],0)</f>
        <v>0</v>
      </c>
      <c r="S45" s="123">
        <f>IF(AND(الجدول145[[#This Row],[البرنامج]]="OOSCH",الجدول145[[#This Row],[نوع الجلسة]]=$BZ$2),الجدول145[[#This Row],[عدد الأناث]],0)</f>
        <v>0</v>
      </c>
      <c r="T45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45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45" s="124">
        <f>IF(AND(الجدول145[[#This Row],[البرنامج]]="PLW",الجدول145[[#This Row],[نوع الجلسة]]="معلومات صحة تغذوية للسيدة الحامل"),1,0)</f>
        <v>0</v>
      </c>
      <c r="W45" s="124">
        <f>IF(AND(الجدول145[[#This Row],[نوع الجلسة]]=$BZ$3,الجدول145[[#This Row],[البرنامج]]="PLW"),الجدول145[[#This Row],[عدد الذكور]],0)</f>
        <v>0</v>
      </c>
      <c r="X45" s="124">
        <f>IF(AND(الجدول145[[#This Row],[نوع الجلسة]]=$BZ$3,الجدول145[[#This Row],[البرنامج]]="PLW"),الجدول145[[#This Row],[عدد الأناث]],0)</f>
        <v>0</v>
      </c>
      <c r="Y45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45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45" s="113">
        <f>IF(AND(الجدول145[[#This Row],[البرنامج]]="PLW",الجدول145[[#This Row],[نوع الجلسة]]=$BZ$4),1,0)</f>
        <v>0</v>
      </c>
      <c r="AB45" s="113">
        <f>IF(AND(الجدول145[[#This Row],[البرنامج]]="PLW",الجدول145[[#This Row],[نوع الجلسة]]=$BZ$4),الجدول145[[#This Row],[عدد الذكور]],0)</f>
        <v>0</v>
      </c>
      <c r="AC45" s="113">
        <f>IF(AND(الجدول145[[#This Row],[البرنامج]]="PLW",الجدول145[[#This Row],[نوع الجلسة]]=$BZ$4),الجدول145[[#This Row],[عدد الأناث]],0)</f>
        <v>0</v>
      </c>
      <c r="AD45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45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45" s="125">
        <f>IF(AND(الجدول145[[#This Row],[البرنامج]]="OOSCH",الجدول145[[#This Row],[نوع الجلسة]]=$BZ$7),1,0)</f>
        <v>0</v>
      </c>
      <c r="AG45" s="125">
        <f>IF(AND(الجدول145[[#This Row],[البرنامج]]="OOSCH",الجدول145[[#This Row],[نوع الجلسة]]=$BZ$7),الجدول145[[#This Row],[عدد الذكور]],0)</f>
        <v>0</v>
      </c>
      <c r="AH45" s="125">
        <f>IF(AND(الجدول145[[#This Row],[البرنامج]]="OOSCH",الجدول145[[#This Row],[نوع الجلسة]]=$BZ$7),الجدول145[[#This Row],[عدد الأناث]],0)</f>
        <v>0</v>
      </c>
      <c r="AI45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45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45" s="126">
        <f>IF(AND(الجدول145[[#This Row],[البرنامج]]="OOSCH",الجدول145[[#This Row],[نوع الجلسة]]=$BZ$4),1,0)</f>
        <v>0</v>
      </c>
      <c r="AL45" s="126">
        <f>IF(AND(الجدول145[[#This Row],[البرنامج]]="OOSCH",الجدول145[[#This Row],[نوع الجلسة]]=$BZ$4),الجدول145[[#This Row],[عدد الذكور]],0)</f>
        <v>0</v>
      </c>
      <c r="AM45" s="126">
        <f>IF(AND(الجدول145[[#This Row],[البرنامج]]="OOSCH",الجدول145[[#This Row],[نوع الجلسة]]=$BZ$4),الجدول145[[#This Row],[عدد الأناث]],0)</f>
        <v>0</v>
      </c>
      <c r="AN45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45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45" s="123">
        <f>IF(AND(الجدول145[[#This Row],[نوع الجلسة]]=$BZ$5,الجدول145[[#This Row],[البرنامج]]=$BX$3),1,0)</f>
        <v>0</v>
      </c>
      <c r="AQ45" s="123">
        <f>IF(AND(الجدول145[[#This Row],[البرنامج]]="PLW",الجدول145[[#This Row],[نوع الجلسة]]=$BZ$5),الجدول145[[#This Row],[عدد الذكور]],0)</f>
        <v>0</v>
      </c>
      <c r="AR45" s="123">
        <f>IF(AND(الجدول145[[#This Row],[البرنامج]]="PLW",الجدول145[[#This Row],[نوع الجلسة]]=$BZ$5),الجدول145[[#This Row],[عدد الأناث]],0)</f>
        <v>0</v>
      </c>
      <c r="AS45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45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45" s="127">
        <f>IF(AND(الجدول145[[#This Row],[نوع الجلسة]]=$BZ$5,الجدول145[[#This Row],[البرنامج]]=$BX$2),1,0)</f>
        <v>0</v>
      </c>
      <c r="AV45" s="127">
        <f>IF(AND(الجدول145[[#This Row],[البرنامج]]="OOSCH",الجدول145[[#This Row],[نوع الجلسة]]=$BZ$5),الجدول145[[#This Row],[عدد الذكور]],0)</f>
        <v>0</v>
      </c>
      <c r="AW45" s="127">
        <f>IF(AND(الجدول145[[#This Row],[البرنامج]]="OOSCH",الجدول145[[#This Row],[نوع الجلسة]]=$BZ$5),الجدول145[[#This Row],[عدد الأناث]],0)</f>
        <v>0</v>
      </c>
      <c r="AX45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45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45" s="121">
        <f>IF(AND(الجدول145[[#This Row],[نوع الجلسة]]=$BZ$6,الجدول145[[#This Row],[البرنامج]]=$BX$3),1,0)</f>
        <v>0</v>
      </c>
      <c r="BA45" s="121">
        <f>IF(AND(الجدول145[[#This Row],[البرنامج]]="PLW",الجدول145[[#This Row],[نوع الجلسة]]=$BZ$6),الجدول145[[#This Row],[عدد الذكور]],0)</f>
        <v>0</v>
      </c>
      <c r="BB45" s="121">
        <f>IF(AND(الجدول145[[#This Row],[البرنامج]]="PLW",الجدول145[[#This Row],[نوع الجلسة]]=$BZ$6),الجدول145[[#This Row],[عدد الأناث]],0)</f>
        <v>0</v>
      </c>
      <c r="BC45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45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45" s="122">
        <f>IF(AND(الجدول145[[#This Row],[نوع الجلسة]]=$BZ$6,الجدول145[[#This Row],[البرنامج]]=$BX$2),1,0)</f>
        <v>0</v>
      </c>
      <c r="BF45" s="122">
        <f>IF(AND(الجدول145[[#This Row],[البرنامج]]="OOSCH",الجدول145[[#This Row],[نوع الجلسة]]=$BZ$6),الجدول145[[#This Row],[عدد الذكور]],0)</f>
        <v>0</v>
      </c>
      <c r="BG45" s="122">
        <f>IF(AND(الجدول145[[#This Row],[البرنامج]]="OOSCH",الجدول145[[#This Row],[نوع الجلسة]]=$BZ$6),الجدول145[[#This Row],[عدد الأناث]],0)</f>
        <v>0</v>
      </c>
      <c r="BH45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45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46" spans="4:61" ht="31.5" customHeight="1" x14ac:dyDescent="0.25">
      <c r="D46" s="9"/>
      <c r="E46" s="9"/>
      <c r="F46" s="9"/>
      <c r="G46" s="9"/>
      <c r="H46" s="9"/>
      <c r="I46" s="9"/>
      <c r="J46" s="9"/>
      <c r="K46" s="9">
        <f>SUM(الجدول145[[#This Row],[عدد الذكور]:[عدد الأناث]])</f>
        <v>0</v>
      </c>
      <c r="L46" s="120">
        <f>IF(AND(الجدول145[[#This Row],[البرنامج]]="PLW",الجدول145[[#This Row],[نوع الجلسة]]=$BZ$2),1,0)</f>
        <v>0</v>
      </c>
      <c r="M46" s="120">
        <f>IF(AND(الجدول145[[#This Row],[نوع الجلسة]]=$BZ$2,الجدول145[[#This Row],[البرنامج]]="PLW"),الجدول145[[#This Row],[عدد الذكور]],0)</f>
        <v>0</v>
      </c>
      <c r="N46" s="120">
        <f>IF(AND(الجدول145[[#This Row],[نوع الجلسة]]=$BZ$2,الجدول145[[#This Row],[البرنامج]]="PLW"),الجدول145[[#This Row],[عدد الأناث]],0)</f>
        <v>0</v>
      </c>
      <c r="O46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46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46" s="123">
        <f>IF(AND(الجدول145[[#This Row],[البرنامج]]="OOSCH",الجدول145[[#This Row],[نوع الجلسة]]=$BZ$2),1,0)</f>
        <v>0</v>
      </c>
      <c r="R46" s="123">
        <f>IF(AND(الجدول145[[#This Row],[البرنامج]]="OOSCH",الجدول145[[#This Row],[نوع الجلسة]]=$BZ$2),الجدول145[[#This Row],[عدد الذكور]],0)</f>
        <v>0</v>
      </c>
      <c r="S46" s="123">
        <f>IF(AND(الجدول145[[#This Row],[البرنامج]]="OOSCH",الجدول145[[#This Row],[نوع الجلسة]]=$BZ$2),الجدول145[[#This Row],[عدد الأناث]],0)</f>
        <v>0</v>
      </c>
      <c r="T46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46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46" s="124">
        <f>IF(AND(الجدول145[[#This Row],[البرنامج]]="PLW",الجدول145[[#This Row],[نوع الجلسة]]="معلومات صحة تغذوية للسيدة الحامل"),1,0)</f>
        <v>0</v>
      </c>
      <c r="W46" s="124">
        <f>IF(AND(الجدول145[[#This Row],[نوع الجلسة]]=$BZ$3,الجدول145[[#This Row],[البرنامج]]="PLW"),الجدول145[[#This Row],[عدد الذكور]],0)</f>
        <v>0</v>
      </c>
      <c r="X46" s="124">
        <f>IF(AND(الجدول145[[#This Row],[نوع الجلسة]]=$BZ$3,الجدول145[[#This Row],[البرنامج]]="PLW"),الجدول145[[#This Row],[عدد الأناث]],0)</f>
        <v>0</v>
      </c>
      <c r="Y46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46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46" s="113">
        <f>IF(AND(الجدول145[[#This Row],[البرنامج]]="PLW",الجدول145[[#This Row],[نوع الجلسة]]=$BZ$4),1,0)</f>
        <v>0</v>
      </c>
      <c r="AB46" s="113">
        <f>IF(AND(الجدول145[[#This Row],[البرنامج]]="PLW",الجدول145[[#This Row],[نوع الجلسة]]=$BZ$4),الجدول145[[#This Row],[عدد الذكور]],0)</f>
        <v>0</v>
      </c>
      <c r="AC46" s="113">
        <f>IF(AND(الجدول145[[#This Row],[البرنامج]]="PLW",الجدول145[[#This Row],[نوع الجلسة]]=$BZ$4),الجدول145[[#This Row],[عدد الأناث]],0)</f>
        <v>0</v>
      </c>
      <c r="AD46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46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46" s="125">
        <f>IF(AND(الجدول145[[#This Row],[البرنامج]]="OOSCH",الجدول145[[#This Row],[نوع الجلسة]]=$BZ$7),1,0)</f>
        <v>0</v>
      </c>
      <c r="AG46" s="125">
        <f>IF(AND(الجدول145[[#This Row],[البرنامج]]="OOSCH",الجدول145[[#This Row],[نوع الجلسة]]=$BZ$7),الجدول145[[#This Row],[عدد الذكور]],0)</f>
        <v>0</v>
      </c>
      <c r="AH46" s="125">
        <f>IF(AND(الجدول145[[#This Row],[البرنامج]]="OOSCH",الجدول145[[#This Row],[نوع الجلسة]]=$BZ$7),الجدول145[[#This Row],[عدد الأناث]],0)</f>
        <v>0</v>
      </c>
      <c r="AI46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46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46" s="126">
        <f>IF(AND(الجدول145[[#This Row],[البرنامج]]="OOSCH",الجدول145[[#This Row],[نوع الجلسة]]=$BZ$4),1,0)</f>
        <v>0</v>
      </c>
      <c r="AL46" s="126">
        <f>IF(AND(الجدول145[[#This Row],[البرنامج]]="OOSCH",الجدول145[[#This Row],[نوع الجلسة]]=$BZ$4),الجدول145[[#This Row],[عدد الذكور]],0)</f>
        <v>0</v>
      </c>
      <c r="AM46" s="126">
        <f>IF(AND(الجدول145[[#This Row],[البرنامج]]="OOSCH",الجدول145[[#This Row],[نوع الجلسة]]=$BZ$4),الجدول145[[#This Row],[عدد الأناث]],0)</f>
        <v>0</v>
      </c>
      <c r="AN46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46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46" s="123">
        <f>IF(AND(الجدول145[[#This Row],[نوع الجلسة]]=$BZ$5,الجدول145[[#This Row],[البرنامج]]=$BX$3),1,0)</f>
        <v>0</v>
      </c>
      <c r="AQ46" s="123">
        <f>IF(AND(الجدول145[[#This Row],[البرنامج]]="PLW",الجدول145[[#This Row],[نوع الجلسة]]=$BZ$5),الجدول145[[#This Row],[عدد الذكور]],0)</f>
        <v>0</v>
      </c>
      <c r="AR46" s="123">
        <f>IF(AND(الجدول145[[#This Row],[البرنامج]]="PLW",الجدول145[[#This Row],[نوع الجلسة]]=$BZ$5),الجدول145[[#This Row],[عدد الأناث]],0)</f>
        <v>0</v>
      </c>
      <c r="AS46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46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46" s="127">
        <f>IF(AND(الجدول145[[#This Row],[نوع الجلسة]]=$BZ$5,الجدول145[[#This Row],[البرنامج]]=$BX$2),1,0)</f>
        <v>0</v>
      </c>
      <c r="AV46" s="127">
        <f>IF(AND(الجدول145[[#This Row],[البرنامج]]="OOSCH",الجدول145[[#This Row],[نوع الجلسة]]=$BZ$5),الجدول145[[#This Row],[عدد الذكور]],0)</f>
        <v>0</v>
      </c>
      <c r="AW46" s="127">
        <f>IF(AND(الجدول145[[#This Row],[البرنامج]]="OOSCH",الجدول145[[#This Row],[نوع الجلسة]]=$BZ$5),الجدول145[[#This Row],[عدد الأناث]],0)</f>
        <v>0</v>
      </c>
      <c r="AX46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46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46" s="121">
        <f>IF(AND(الجدول145[[#This Row],[نوع الجلسة]]=$BZ$6,الجدول145[[#This Row],[البرنامج]]=$BX$3),1,0)</f>
        <v>0</v>
      </c>
      <c r="BA46" s="121">
        <f>IF(AND(الجدول145[[#This Row],[البرنامج]]="PLW",الجدول145[[#This Row],[نوع الجلسة]]=$BZ$6),الجدول145[[#This Row],[عدد الذكور]],0)</f>
        <v>0</v>
      </c>
      <c r="BB46" s="121">
        <f>IF(AND(الجدول145[[#This Row],[البرنامج]]="PLW",الجدول145[[#This Row],[نوع الجلسة]]=$BZ$6),الجدول145[[#This Row],[عدد الأناث]],0)</f>
        <v>0</v>
      </c>
      <c r="BC46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46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46" s="122">
        <f>IF(AND(الجدول145[[#This Row],[نوع الجلسة]]=$BZ$6,الجدول145[[#This Row],[البرنامج]]=$BX$2),1,0)</f>
        <v>0</v>
      </c>
      <c r="BF46" s="122">
        <f>IF(AND(الجدول145[[#This Row],[البرنامج]]="OOSCH",الجدول145[[#This Row],[نوع الجلسة]]=$BZ$6),الجدول145[[#This Row],[عدد الذكور]],0)</f>
        <v>0</v>
      </c>
      <c r="BG46" s="122">
        <f>IF(AND(الجدول145[[#This Row],[البرنامج]]="OOSCH",الجدول145[[#This Row],[نوع الجلسة]]=$BZ$6),الجدول145[[#This Row],[عدد الأناث]],0)</f>
        <v>0</v>
      </c>
      <c r="BH46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46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47" spans="4:61" ht="31.5" customHeight="1" x14ac:dyDescent="0.25">
      <c r="D47" s="9"/>
      <c r="E47" s="9"/>
      <c r="F47" s="9"/>
      <c r="G47" s="9"/>
      <c r="H47" s="9"/>
      <c r="I47" s="9"/>
      <c r="J47" s="9"/>
      <c r="K47" s="9">
        <f>SUM(الجدول145[[#This Row],[عدد الذكور]:[عدد الأناث]])</f>
        <v>0</v>
      </c>
      <c r="L47" s="120">
        <f>IF(AND(الجدول145[[#This Row],[البرنامج]]="PLW",الجدول145[[#This Row],[نوع الجلسة]]=$BZ$2),1,0)</f>
        <v>0</v>
      </c>
      <c r="M47" s="120">
        <f>IF(AND(الجدول145[[#This Row],[نوع الجلسة]]=$BZ$2,الجدول145[[#This Row],[البرنامج]]="PLW"),الجدول145[[#This Row],[عدد الذكور]],0)</f>
        <v>0</v>
      </c>
      <c r="N47" s="120">
        <f>IF(AND(الجدول145[[#This Row],[نوع الجلسة]]=$BZ$2,الجدول145[[#This Row],[البرنامج]]="PLW"),الجدول145[[#This Row],[عدد الأناث]],0)</f>
        <v>0</v>
      </c>
      <c r="O47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47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47" s="123">
        <f>IF(AND(الجدول145[[#This Row],[البرنامج]]="OOSCH",الجدول145[[#This Row],[نوع الجلسة]]=$BZ$2),1,0)</f>
        <v>0</v>
      </c>
      <c r="R47" s="123">
        <f>IF(AND(الجدول145[[#This Row],[البرنامج]]="OOSCH",الجدول145[[#This Row],[نوع الجلسة]]=$BZ$2),الجدول145[[#This Row],[عدد الذكور]],0)</f>
        <v>0</v>
      </c>
      <c r="S47" s="123">
        <f>IF(AND(الجدول145[[#This Row],[البرنامج]]="OOSCH",الجدول145[[#This Row],[نوع الجلسة]]=$BZ$2),الجدول145[[#This Row],[عدد الأناث]],0)</f>
        <v>0</v>
      </c>
      <c r="T47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47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47" s="124">
        <f>IF(AND(الجدول145[[#This Row],[البرنامج]]="PLW",الجدول145[[#This Row],[نوع الجلسة]]="معلومات صحة تغذوية للسيدة الحامل"),1,0)</f>
        <v>0</v>
      </c>
      <c r="W47" s="124">
        <f>IF(AND(الجدول145[[#This Row],[نوع الجلسة]]=$BZ$3,الجدول145[[#This Row],[البرنامج]]="PLW"),الجدول145[[#This Row],[عدد الذكور]],0)</f>
        <v>0</v>
      </c>
      <c r="X47" s="124">
        <f>IF(AND(الجدول145[[#This Row],[نوع الجلسة]]=$BZ$3,الجدول145[[#This Row],[البرنامج]]="PLW"),الجدول145[[#This Row],[عدد الأناث]],0)</f>
        <v>0</v>
      </c>
      <c r="Y47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47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47" s="113">
        <f>IF(AND(الجدول145[[#This Row],[البرنامج]]="PLW",الجدول145[[#This Row],[نوع الجلسة]]=$BZ$4),1,0)</f>
        <v>0</v>
      </c>
      <c r="AB47" s="113">
        <f>IF(AND(الجدول145[[#This Row],[البرنامج]]="PLW",الجدول145[[#This Row],[نوع الجلسة]]=$BZ$4),الجدول145[[#This Row],[عدد الذكور]],0)</f>
        <v>0</v>
      </c>
      <c r="AC47" s="113">
        <f>IF(AND(الجدول145[[#This Row],[البرنامج]]="PLW",الجدول145[[#This Row],[نوع الجلسة]]=$BZ$4),الجدول145[[#This Row],[عدد الأناث]],0)</f>
        <v>0</v>
      </c>
      <c r="AD47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47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47" s="125">
        <f>IF(AND(الجدول145[[#This Row],[البرنامج]]="OOSCH",الجدول145[[#This Row],[نوع الجلسة]]=$BZ$7),1,0)</f>
        <v>0</v>
      </c>
      <c r="AG47" s="125">
        <f>IF(AND(الجدول145[[#This Row],[البرنامج]]="OOSCH",الجدول145[[#This Row],[نوع الجلسة]]=$BZ$7),الجدول145[[#This Row],[عدد الذكور]],0)</f>
        <v>0</v>
      </c>
      <c r="AH47" s="125">
        <f>IF(AND(الجدول145[[#This Row],[البرنامج]]="OOSCH",الجدول145[[#This Row],[نوع الجلسة]]=$BZ$7),الجدول145[[#This Row],[عدد الأناث]],0)</f>
        <v>0</v>
      </c>
      <c r="AI47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47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47" s="126">
        <f>IF(AND(الجدول145[[#This Row],[البرنامج]]="OOSCH",الجدول145[[#This Row],[نوع الجلسة]]=$BZ$4),1,0)</f>
        <v>0</v>
      </c>
      <c r="AL47" s="126">
        <f>IF(AND(الجدول145[[#This Row],[البرنامج]]="OOSCH",الجدول145[[#This Row],[نوع الجلسة]]=$BZ$4),الجدول145[[#This Row],[عدد الذكور]],0)</f>
        <v>0</v>
      </c>
      <c r="AM47" s="126">
        <f>IF(AND(الجدول145[[#This Row],[البرنامج]]="OOSCH",الجدول145[[#This Row],[نوع الجلسة]]=$BZ$4),الجدول145[[#This Row],[عدد الأناث]],0)</f>
        <v>0</v>
      </c>
      <c r="AN47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47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47" s="123">
        <f>IF(AND(الجدول145[[#This Row],[نوع الجلسة]]=$BZ$5,الجدول145[[#This Row],[البرنامج]]=$BX$3),1,0)</f>
        <v>0</v>
      </c>
      <c r="AQ47" s="123">
        <f>IF(AND(الجدول145[[#This Row],[البرنامج]]="PLW",الجدول145[[#This Row],[نوع الجلسة]]=$BZ$5),الجدول145[[#This Row],[عدد الذكور]],0)</f>
        <v>0</v>
      </c>
      <c r="AR47" s="123">
        <f>IF(AND(الجدول145[[#This Row],[البرنامج]]="PLW",الجدول145[[#This Row],[نوع الجلسة]]=$BZ$5),الجدول145[[#This Row],[عدد الأناث]],0)</f>
        <v>0</v>
      </c>
      <c r="AS47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47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47" s="127">
        <f>IF(AND(الجدول145[[#This Row],[نوع الجلسة]]=$BZ$5,الجدول145[[#This Row],[البرنامج]]=$BX$2),1,0)</f>
        <v>0</v>
      </c>
      <c r="AV47" s="127">
        <f>IF(AND(الجدول145[[#This Row],[البرنامج]]="OOSCH",الجدول145[[#This Row],[نوع الجلسة]]=$BZ$5),الجدول145[[#This Row],[عدد الذكور]],0)</f>
        <v>0</v>
      </c>
      <c r="AW47" s="127">
        <f>IF(AND(الجدول145[[#This Row],[البرنامج]]="OOSCH",الجدول145[[#This Row],[نوع الجلسة]]=$BZ$5),الجدول145[[#This Row],[عدد الأناث]],0)</f>
        <v>0</v>
      </c>
      <c r="AX47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47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47" s="121">
        <f>IF(AND(الجدول145[[#This Row],[نوع الجلسة]]=$BZ$6,الجدول145[[#This Row],[البرنامج]]=$BX$3),1,0)</f>
        <v>0</v>
      </c>
      <c r="BA47" s="121">
        <f>IF(AND(الجدول145[[#This Row],[البرنامج]]="PLW",الجدول145[[#This Row],[نوع الجلسة]]=$BZ$6),الجدول145[[#This Row],[عدد الذكور]],0)</f>
        <v>0</v>
      </c>
      <c r="BB47" s="121">
        <f>IF(AND(الجدول145[[#This Row],[البرنامج]]="PLW",الجدول145[[#This Row],[نوع الجلسة]]=$BZ$6),الجدول145[[#This Row],[عدد الأناث]],0)</f>
        <v>0</v>
      </c>
      <c r="BC47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47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47" s="122">
        <f>IF(AND(الجدول145[[#This Row],[نوع الجلسة]]=$BZ$6,الجدول145[[#This Row],[البرنامج]]=$BX$2),1,0)</f>
        <v>0</v>
      </c>
      <c r="BF47" s="122">
        <f>IF(AND(الجدول145[[#This Row],[البرنامج]]="OOSCH",الجدول145[[#This Row],[نوع الجلسة]]=$BZ$6),الجدول145[[#This Row],[عدد الذكور]],0)</f>
        <v>0</v>
      </c>
      <c r="BG47" s="122">
        <f>IF(AND(الجدول145[[#This Row],[البرنامج]]="OOSCH",الجدول145[[#This Row],[نوع الجلسة]]=$BZ$6),الجدول145[[#This Row],[عدد الأناث]],0)</f>
        <v>0</v>
      </c>
      <c r="BH47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47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48" spans="4:61" ht="31.5" customHeight="1" x14ac:dyDescent="0.25">
      <c r="D48" s="9"/>
      <c r="E48" s="9"/>
      <c r="F48" s="9"/>
      <c r="G48" s="9"/>
      <c r="H48" s="9"/>
      <c r="I48" s="9"/>
      <c r="J48" s="9"/>
      <c r="K48" s="9">
        <f>SUM(الجدول145[[#This Row],[عدد الذكور]:[عدد الأناث]])</f>
        <v>0</v>
      </c>
      <c r="L48" s="120">
        <f>IF(AND(الجدول145[[#This Row],[البرنامج]]="PLW",الجدول145[[#This Row],[نوع الجلسة]]=$BZ$2),1,0)</f>
        <v>0</v>
      </c>
      <c r="M48" s="120">
        <f>IF(AND(الجدول145[[#This Row],[نوع الجلسة]]=$BZ$2,الجدول145[[#This Row],[البرنامج]]="PLW"),الجدول145[[#This Row],[عدد الذكور]],0)</f>
        <v>0</v>
      </c>
      <c r="N48" s="120">
        <f>IF(AND(الجدول145[[#This Row],[نوع الجلسة]]=$BZ$2,الجدول145[[#This Row],[البرنامج]]="PLW"),الجدول145[[#This Row],[عدد الأناث]],0)</f>
        <v>0</v>
      </c>
      <c r="O48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48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48" s="123">
        <f>IF(AND(الجدول145[[#This Row],[البرنامج]]="OOSCH",الجدول145[[#This Row],[نوع الجلسة]]=$BZ$2),1,0)</f>
        <v>0</v>
      </c>
      <c r="R48" s="123">
        <f>IF(AND(الجدول145[[#This Row],[البرنامج]]="OOSCH",الجدول145[[#This Row],[نوع الجلسة]]=$BZ$2),الجدول145[[#This Row],[عدد الذكور]],0)</f>
        <v>0</v>
      </c>
      <c r="S48" s="123">
        <f>IF(AND(الجدول145[[#This Row],[البرنامج]]="OOSCH",الجدول145[[#This Row],[نوع الجلسة]]=$BZ$2),الجدول145[[#This Row],[عدد الأناث]],0)</f>
        <v>0</v>
      </c>
      <c r="T48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48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48" s="124">
        <f>IF(AND(الجدول145[[#This Row],[البرنامج]]="PLW",الجدول145[[#This Row],[نوع الجلسة]]="معلومات صحة تغذوية للسيدة الحامل"),1,0)</f>
        <v>0</v>
      </c>
      <c r="W48" s="124">
        <f>IF(AND(الجدول145[[#This Row],[نوع الجلسة]]=$BZ$3,الجدول145[[#This Row],[البرنامج]]="PLW"),الجدول145[[#This Row],[عدد الذكور]],0)</f>
        <v>0</v>
      </c>
      <c r="X48" s="124">
        <f>IF(AND(الجدول145[[#This Row],[نوع الجلسة]]=$BZ$3,الجدول145[[#This Row],[البرنامج]]="PLW"),الجدول145[[#This Row],[عدد الأناث]],0)</f>
        <v>0</v>
      </c>
      <c r="Y48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48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48" s="113">
        <f>IF(AND(الجدول145[[#This Row],[البرنامج]]="PLW",الجدول145[[#This Row],[نوع الجلسة]]=$BZ$4),1,0)</f>
        <v>0</v>
      </c>
      <c r="AB48" s="113">
        <f>IF(AND(الجدول145[[#This Row],[البرنامج]]="PLW",الجدول145[[#This Row],[نوع الجلسة]]=$BZ$4),الجدول145[[#This Row],[عدد الذكور]],0)</f>
        <v>0</v>
      </c>
      <c r="AC48" s="113">
        <f>IF(AND(الجدول145[[#This Row],[البرنامج]]="PLW",الجدول145[[#This Row],[نوع الجلسة]]=$BZ$4),الجدول145[[#This Row],[عدد الأناث]],0)</f>
        <v>0</v>
      </c>
      <c r="AD48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48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48" s="125">
        <f>IF(AND(الجدول145[[#This Row],[البرنامج]]="OOSCH",الجدول145[[#This Row],[نوع الجلسة]]=$BZ$7),1,0)</f>
        <v>0</v>
      </c>
      <c r="AG48" s="125">
        <f>IF(AND(الجدول145[[#This Row],[البرنامج]]="OOSCH",الجدول145[[#This Row],[نوع الجلسة]]=$BZ$7),الجدول145[[#This Row],[عدد الذكور]],0)</f>
        <v>0</v>
      </c>
      <c r="AH48" s="125">
        <f>IF(AND(الجدول145[[#This Row],[البرنامج]]="OOSCH",الجدول145[[#This Row],[نوع الجلسة]]=$BZ$7),الجدول145[[#This Row],[عدد الأناث]],0)</f>
        <v>0</v>
      </c>
      <c r="AI48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48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48" s="126">
        <f>IF(AND(الجدول145[[#This Row],[البرنامج]]="OOSCH",الجدول145[[#This Row],[نوع الجلسة]]=$BZ$4),1,0)</f>
        <v>0</v>
      </c>
      <c r="AL48" s="126">
        <f>IF(AND(الجدول145[[#This Row],[البرنامج]]="OOSCH",الجدول145[[#This Row],[نوع الجلسة]]=$BZ$4),الجدول145[[#This Row],[عدد الذكور]],0)</f>
        <v>0</v>
      </c>
      <c r="AM48" s="126">
        <f>IF(AND(الجدول145[[#This Row],[البرنامج]]="OOSCH",الجدول145[[#This Row],[نوع الجلسة]]=$BZ$4),الجدول145[[#This Row],[عدد الأناث]],0)</f>
        <v>0</v>
      </c>
      <c r="AN48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48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48" s="123">
        <f>IF(AND(الجدول145[[#This Row],[نوع الجلسة]]=$BZ$5,الجدول145[[#This Row],[البرنامج]]=$BX$3),1,0)</f>
        <v>0</v>
      </c>
      <c r="AQ48" s="123">
        <f>IF(AND(الجدول145[[#This Row],[البرنامج]]="PLW",الجدول145[[#This Row],[نوع الجلسة]]=$BZ$5),الجدول145[[#This Row],[عدد الذكور]],0)</f>
        <v>0</v>
      </c>
      <c r="AR48" s="123">
        <f>IF(AND(الجدول145[[#This Row],[البرنامج]]="PLW",الجدول145[[#This Row],[نوع الجلسة]]=$BZ$5),الجدول145[[#This Row],[عدد الأناث]],0)</f>
        <v>0</v>
      </c>
      <c r="AS48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48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48" s="127">
        <f>IF(AND(الجدول145[[#This Row],[نوع الجلسة]]=$BZ$5,الجدول145[[#This Row],[البرنامج]]=$BX$2),1,0)</f>
        <v>0</v>
      </c>
      <c r="AV48" s="127">
        <f>IF(AND(الجدول145[[#This Row],[البرنامج]]="OOSCH",الجدول145[[#This Row],[نوع الجلسة]]=$BZ$5),الجدول145[[#This Row],[عدد الذكور]],0)</f>
        <v>0</v>
      </c>
      <c r="AW48" s="127">
        <f>IF(AND(الجدول145[[#This Row],[البرنامج]]="OOSCH",الجدول145[[#This Row],[نوع الجلسة]]=$BZ$5),الجدول145[[#This Row],[عدد الأناث]],0)</f>
        <v>0</v>
      </c>
      <c r="AX48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48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48" s="121">
        <f>IF(AND(الجدول145[[#This Row],[نوع الجلسة]]=$BZ$6,الجدول145[[#This Row],[البرنامج]]=$BX$3),1,0)</f>
        <v>0</v>
      </c>
      <c r="BA48" s="121">
        <f>IF(AND(الجدول145[[#This Row],[البرنامج]]="PLW",الجدول145[[#This Row],[نوع الجلسة]]=$BZ$6),الجدول145[[#This Row],[عدد الذكور]],0)</f>
        <v>0</v>
      </c>
      <c r="BB48" s="121">
        <f>IF(AND(الجدول145[[#This Row],[البرنامج]]="PLW",الجدول145[[#This Row],[نوع الجلسة]]=$BZ$6),الجدول145[[#This Row],[عدد الأناث]],0)</f>
        <v>0</v>
      </c>
      <c r="BC48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48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48" s="122">
        <f>IF(AND(الجدول145[[#This Row],[نوع الجلسة]]=$BZ$6,الجدول145[[#This Row],[البرنامج]]=$BX$2),1,0)</f>
        <v>0</v>
      </c>
      <c r="BF48" s="122">
        <f>IF(AND(الجدول145[[#This Row],[البرنامج]]="OOSCH",الجدول145[[#This Row],[نوع الجلسة]]=$BZ$6),الجدول145[[#This Row],[عدد الذكور]],0)</f>
        <v>0</v>
      </c>
      <c r="BG48" s="122">
        <f>IF(AND(الجدول145[[#This Row],[البرنامج]]="OOSCH",الجدول145[[#This Row],[نوع الجلسة]]=$BZ$6),الجدول145[[#This Row],[عدد الأناث]],0)</f>
        <v>0</v>
      </c>
      <c r="BH48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48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49" spans="4:61" ht="31.5" customHeight="1" x14ac:dyDescent="0.25">
      <c r="D49" s="9"/>
      <c r="E49" s="9"/>
      <c r="F49" s="9"/>
      <c r="G49" s="9"/>
      <c r="H49" s="9"/>
      <c r="I49" s="9"/>
      <c r="J49" s="9"/>
      <c r="K49" s="9">
        <f>SUM(الجدول145[[#This Row],[عدد الذكور]:[عدد الأناث]])</f>
        <v>0</v>
      </c>
      <c r="L49" s="120">
        <f>IF(AND(الجدول145[[#This Row],[البرنامج]]="PLW",الجدول145[[#This Row],[نوع الجلسة]]=$BZ$2),1,0)</f>
        <v>0</v>
      </c>
      <c r="M49" s="120">
        <f>IF(AND(الجدول145[[#This Row],[نوع الجلسة]]=$BZ$2,الجدول145[[#This Row],[البرنامج]]="PLW"),الجدول145[[#This Row],[عدد الذكور]],0)</f>
        <v>0</v>
      </c>
      <c r="N49" s="120">
        <f>IF(AND(الجدول145[[#This Row],[نوع الجلسة]]=$BZ$2,الجدول145[[#This Row],[البرنامج]]="PLW"),الجدول145[[#This Row],[عدد الأناث]],0)</f>
        <v>0</v>
      </c>
      <c r="O49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49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49" s="123">
        <f>IF(AND(الجدول145[[#This Row],[البرنامج]]="OOSCH",الجدول145[[#This Row],[نوع الجلسة]]=$BZ$2),1,0)</f>
        <v>0</v>
      </c>
      <c r="R49" s="123">
        <f>IF(AND(الجدول145[[#This Row],[البرنامج]]="OOSCH",الجدول145[[#This Row],[نوع الجلسة]]=$BZ$2),الجدول145[[#This Row],[عدد الذكور]],0)</f>
        <v>0</v>
      </c>
      <c r="S49" s="123">
        <f>IF(AND(الجدول145[[#This Row],[البرنامج]]="OOSCH",الجدول145[[#This Row],[نوع الجلسة]]=$BZ$2),الجدول145[[#This Row],[عدد الأناث]],0)</f>
        <v>0</v>
      </c>
      <c r="T49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49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49" s="124">
        <f>IF(AND(الجدول145[[#This Row],[البرنامج]]="PLW",الجدول145[[#This Row],[نوع الجلسة]]="معلومات صحة تغذوية للسيدة الحامل"),1,0)</f>
        <v>0</v>
      </c>
      <c r="W49" s="124">
        <f>IF(AND(الجدول145[[#This Row],[نوع الجلسة]]=$BZ$3,الجدول145[[#This Row],[البرنامج]]="PLW"),الجدول145[[#This Row],[عدد الذكور]],0)</f>
        <v>0</v>
      </c>
      <c r="X49" s="124">
        <f>IF(AND(الجدول145[[#This Row],[نوع الجلسة]]=$BZ$3,الجدول145[[#This Row],[البرنامج]]="PLW"),الجدول145[[#This Row],[عدد الأناث]],0)</f>
        <v>0</v>
      </c>
      <c r="Y49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49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49" s="113">
        <f>IF(AND(الجدول145[[#This Row],[البرنامج]]="PLW",الجدول145[[#This Row],[نوع الجلسة]]=$BZ$4),1,0)</f>
        <v>0</v>
      </c>
      <c r="AB49" s="113">
        <f>IF(AND(الجدول145[[#This Row],[البرنامج]]="PLW",الجدول145[[#This Row],[نوع الجلسة]]=$BZ$4),الجدول145[[#This Row],[عدد الذكور]],0)</f>
        <v>0</v>
      </c>
      <c r="AC49" s="113">
        <f>IF(AND(الجدول145[[#This Row],[البرنامج]]="PLW",الجدول145[[#This Row],[نوع الجلسة]]=$BZ$4),الجدول145[[#This Row],[عدد الأناث]],0)</f>
        <v>0</v>
      </c>
      <c r="AD49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49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49" s="125">
        <f>IF(AND(الجدول145[[#This Row],[البرنامج]]="OOSCH",الجدول145[[#This Row],[نوع الجلسة]]=$BZ$7),1,0)</f>
        <v>0</v>
      </c>
      <c r="AG49" s="125">
        <f>IF(AND(الجدول145[[#This Row],[البرنامج]]="OOSCH",الجدول145[[#This Row],[نوع الجلسة]]=$BZ$7),الجدول145[[#This Row],[عدد الذكور]],0)</f>
        <v>0</v>
      </c>
      <c r="AH49" s="125">
        <f>IF(AND(الجدول145[[#This Row],[البرنامج]]="OOSCH",الجدول145[[#This Row],[نوع الجلسة]]=$BZ$7),الجدول145[[#This Row],[عدد الأناث]],0)</f>
        <v>0</v>
      </c>
      <c r="AI49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49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49" s="126">
        <f>IF(AND(الجدول145[[#This Row],[البرنامج]]="OOSCH",الجدول145[[#This Row],[نوع الجلسة]]=$BZ$4),1,0)</f>
        <v>0</v>
      </c>
      <c r="AL49" s="126">
        <f>IF(AND(الجدول145[[#This Row],[البرنامج]]="OOSCH",الجدول145[[#This Row],[نوع الجلسة]]=$BZ$4),الجدول145[[#This Row],[عدد الذكور]],0)</f>
        <v>0</v>
      </c>
      <c r="AM49" s="126">
        <f>IF(AND(الجدول145[[#This Row],[البرنامج]]="OOSCH",الجدول145[[#This Row],[نوع الجلسة]]=$BZ$4),الجدول145[[#This Row],[عدد الأناث]],0)</f>
        <v>0</v>
      </c>
      <c r="AN49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49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49" s="123">
        <f>IF(AND(الجدول145[[#This Row],[نوع الجلسة]]=$BZ$5,الجدول145[[#This Row],[البرنامج]]=$BX$3),1,0)</f>
        <v>0</v>
      </c>
      <c r="AQ49" s="123">
        <f>IF(AND(الجدول145[[#This Row],[البرنامج]]="PLW",الجدول145[[#This Row],[نوع الجلسة]]=$BZ$5),الجدول145[[#This Row],[عدد الذكور]],0)</f>
        <v>0</v>
      </c>
      <c r="AR49" s="123">
        <f>IF(AND(الجدول145[[#This Row],[البرنامج]]="PLW",الجدول145[[#This Row],[نوع الجلسة]]=$BZ$5),الجدول145[[#This Row],[عدد الأناث]],0)</f>
        <v>0</v>
      </c>
      <c r="AS49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49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49" s="127">
        <f>IF(AND(الجدول145[[#This Row],[نوع الجلسة]]=$BZ$5,الجدول145[[#This Row],[البرنامج]]=$BX$2),1,0)</f>
        <v>0</v>
      </c>
      <c r="AV49" s="127">
        <f>IF(AND(الجدول145[[#This Row],[البرنامج]]="OOSCH",الجدول145[[#This Row],[نوع الجلسة]]=$BZ$5),الجدول145[[#This Row],[عدد الذكور]],0)</f>
        <v>0</v>
      </c>
      <c r="AW49" s="127">
        <f>IF(AND(الجدول145[[#This Row],[البرنامج]]="OOSCH",الجدول145[[#This Row],[نوع الجلسة]]=$BZ$5),الجدول145[[#This Row],[عدد الأناث]],0)</f>
        <v>0</v>
      </c>
      <c r="AX49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49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49" s="121">
        <f>IF(AND(الجدول145[[#This Row],[نوع الجلسة]]=$BZ$6,الجدول145[[#This Row],[البرنامج]]=$BX$3),1,0)</f>
        <v>0</v>
      </c>
      <c r="BA49" s="121">
        <f>IF(AND(الجدول145[[#This Row],[البرنامج]]="PLW",الجدول145[[#This Row],[نوع الجلسة]]=$BZ$6),الجدول145[[#This Row],[عدد الذكور]],0)</f>
        <v>0</v>
      </c>
      <c r="BB49" s="121">
        <f>IF(AND(الجدول145[[#This Row],[البرنامج]]="PLW",الجدول145[[#This Row],[نوع الجلسة]]=$BZ$6),الجدول145[[#This Row],[عدد الأناث]],0)</f>
        <v>0</v>
      </c>
      <c r="BC49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49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49" s="122">
        <f>IF(AND(الجدول145[[#This Row],[نوع الجلسة]]=$BZ$6,الجدول145[[#This Row],[البرنامج]]=$BX$2),1,0)</f>
        <v>0</v>
      </c>
      <c r="BF49" s="122">
        <f>IF(AND(الجدول145[[#This Row],[البرنامج]]="OOSCH",الجدول145[[#This Row],[نوع الجلسة]]=$BZ$6),الجدول145[[#This Row],[عدد الذكور]],0)</f>
        <v>0</v>
      </c>
      <c r="BG49" s="122">
        <f>IF(AND(الجدول145[[#This Row],[البرنامج]]="OOSCH",الجدول145[[#This Row],[نوع الجلسة]]=$BZ$6),الجدول145[[#This Row],[عدد الأناث]],0)</f>
        <v>0</v>
      </c>
      <c r="BH49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49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50" spans="4:61" ht="31.5" customHeight="1" x14ac:dyDescent="0.25">
      <c r="D50" s="9"/>
      <c r="E50" s="9"/>
      <c r="F50" s="9"/>
      <c r="G50" s="9"/>
      <c r="H50" s="9"/>
      <c r="I50" s="9"/>
      <c r="J50" s="9"/>
      <c r="K50" s="9">
        <f>SUM(الجدول145[[#This Row],[عدد الذكور]:[عدد الأناث]])</f>
        <v>0</v>
      </c>
      <c r="L50" s="120">
        <f>IF(AND(الجدول145[[#This Row],[البرنامج]]="PLW",الجدول145[[#This Row],[نوع الجلسة]]=$BZ$2),1,0)</f>
        <v>0</v>
      </c>
      <c r="M50" s="120">
        <f>IF(AND(الجدول145[[#This Row],[نوع الجلسة]]=$BZ$2,الجدول145[[#This Row],[البرنامج]]="PLW"),الجدول145[[#This Row],[عدد الذكور]],0)</f>
        <v>0</v>
      </c>
      <c r="N50" s="120">
        <f>IF(AND(الجدول145[[#This Row],[نوع الجلسة]]=$BZ$2,الجدول145[[#This Row],[البرنامج]]="PLW"),الجدول145[[#This Row],[عدد الأناث]],0)</f>
        <v>0</v>
      </c>
      <c r="O50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50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50" s="123">
        <f>IF(AND(الجدول145[[#This Row],[البرنامج]]="OOSCH",الجدول145[[#This Row],[نوع الجلسة]]=$BZ$2),1,0)</f>
        <v>0</v>
      </c>
      <c r="R50" s="123">
        <f>IF(AND(الجدول145[[#This Row],[البرنامج]]="OOSCH",الجدول145[[#This Row],[نوع الجلسة]]=$BZ$2),الجدول145[[#This Row],[عدد الذكور]],0)</f>
        <v>0</v>
      </c>
      <c r="S50" s="123">
        <f>IF(AND(الجدول145[[#This Row],[البرنامج]]="OOSCH",الجدول145[[#This Row],[نوع الجلسة]]=$BZ$2),الجدول145[[#This Row],[عدد الأناث]],0)</f>
        <v>0</v>
      </c>
      <c r="T50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50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50" s="124">
        <f>IF(AND(الجدول145[[#This Row],[البرنامج]]="PLW",الجدول145[[#This Row],[نوع الجلسة]]="معلومات صحة تغذوية للسيدة الحامل"),1,0)</f>
        <v>0</v>
      </c>
      <c r="W50" s="124">
        <f>IF(AND(الجدول145[[#This Row],[نوع الجلسة]]=$BZ$3,الجدول145[[#This Row],[البرنامج]]="PLW"),الجدول145[[#This Row],[عدد الذكور]],0)</f>
        <v>0</v>
      </c>
      <c r="X50" s="124">
        <f>IF(AND(الجدول145[[#This Row],[نوع الجلسة]]=$BZ$3,الجدول145[[#This Row],[البرنامج]]="PLW"),الجدول145[[#This Row],[عدد الأناث]],0)</f>
        <v>0</v>
      </c>
      <c r="Y50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50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50" s="113">
        <f>IF(AND(الجدول145[[#This Row],[البرنامج]]="PLW",الجدول145[[#This Row],[نوع الجلسة]]=$BZ$4),1,0)</f>
        <v>0</v>
      </c>
      <c r="AB50" s="113">
        <f>IF(AND(الجدول145[[#This Row],[البرنامج]]="PLW",الجدول145[[#This Row],[نوع الجلسة]]=$BZ$4),الجدول145[[#This Row],[عدد الذكور]],0)</f>
        <v>0</v>
      </c>
      <c r="AC50" s="113">
        <f>IF(AND(الجدول145[[#This Row],[البرنامج]]="PLW",الجدول145[[#This Row],[نوع الجلسة]]=$BZ$4),الجدول145[[#This Row],[عدد الأناث]],0)</f>
        <v>0</v>
      </c>
      <c r="AD50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50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50" s="125">
        <f>IF(AND(الجدول145[[#This Row],[البرنامج]]="OOSCH",الجدول145[[#This Row],[نوع الجلسة]]=$BZ$7),1,0)</f>
        <v>0</v>
      </c>
      <c r="AG50" s="125">
        <f>IF(AND(الجدول145[[#This Row],[البرنامج]]="OOSCH",الجدول145[[#This Row],[نوع الجلسة]]=$BZ$7),الجدول145[[#This Row],[عدد الذكور]],0)</f>
        <v>0</v>
      </c>
      <c r="AH50" s="125">
        <f>IF(AND(الجدول145[[#This Row],[البرنامج]]="OOSCH",الجدول145[[#This Row],[نوع الجلسة]]=$BZ$7),الجدول145[[#This Row],[عدد الأناث]],0)</f>
        <v>0</v>
      </c>
      <c r="AI50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50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50" s="126">
        <f>IF(AND(الجدول145[[#This Row],[البرنامج]]="OOSCH",الجدول145[[#This Row],[نوع الجلسة]]=$BZ$4),1,0)</f>
        <v>0</v>
      </c>
      <c r="AL50" s="126">
        <f>IF(AND(الجدول145[[#This Row],[البرنامج]]="OOSCH",الجدول145[[#This Row],[نوع الجلسة]]=$BZ$4),الجدول145[[#This Row],[عدد الذكور]],0)</f>
        <v>0</v>
      </c>
      <c r="AM50" s="126">
        <f>IF(AND(الجدول145[[#This Row],[البرنامج]]="OOSCH",الجدول145[[#This Row],[نوع الجلسة]]=$BZ$4),الجدول145[[#This Row],[عدد الأناث]],0)</f>
        <v>0</v>
      </c>
      <c r="AN50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50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50" s="123">
        <f>IF(AND(الجدول145[[#This Row],[نوع الجلسة]]=$BZ$5,الجدول145[[#This Row],[البرنامج]]=$BX$3),1,0)</f>
        <v>0</v>
      </c>
      <c r="AQ50" s="123">
        <f>IF(AND(الجدول145[[#This Row],[البرنامج]]="PLW",الجدول145[[#This Row],[نوع الجلسة]]=$BZ$5),الجدول145[[#This Row],[عدد الذكور]],0)</f>
        <v>0</v>
      </c>
      <c r="AR50" s="123">
        <f>IF(AND(الجدول145[[#This Row],[البرنامج]]="PLW",الجدول145[[#This Row],[نوع الجلسة]]=$BZ$5),الجدول145[[#This Row],[عدد الأناث]],0)</f>
        <v>0</v>
      </c>
      <c r="AS50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50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50" s="127">
        <f>IF(AND(الجدول145[[#This Row],[نوع الجلسة]]=$BZ$5,الجدول145[[#This Row],[البرنامج]]=$BX$2),1,0)</f>
        <v>0</v>
      </c>
      <c r="AV50" s="127">
        <f>IF(AND(الجدول145[[#This Row],[البرنامج]]="OOSCH",الجدول145[[#This Row],[نوع الجلسة]]=$BZ$5),الجدول145[[#This Row],[عدد الذكور]],0)</f>
        <v>0</v>
      </c>
      <c r="AW50" s="127">
        <f>IF(AND(الجدول145[[#This Row],[البرنامج]]="OOSCH",الجدول145[[#This Row],[نوع الجلسة]]=$BZ$5),الجدول145[[#This Row],[عدد الأناث]],0)</f>
        <v>0</v>
      </c>
      <c r="AX50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50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50" s="121">
        <f>IF(AND(الجدول145[[#This Row],[نوع الجلسة]]=$BZ$6,الجدول145[[#This Row],[البرنامج]]=$BX$3),1,0)</f>
        <v>0</v>
      </c>
      <c r="BA50" s="121">
        <f>IF(AND(الجدول145[[#This Row],[البرنامج]]="PLW",الجدول145[[#This Row],[نوع الجلسة]]=$BZ$6),الجدول145[[#This Row],[عدد الذكور]],0)</f>
        <v>0</v>
      </c>
      <c r="BB50" s="121">
        <f>IF(AND(الجدول145[[#This Row],[البرنامج]]="PLW",الجدول145[[#This Row],[نوع الجلسة]]=$BZ$6),الجدول145[[#This Row],[عدد الأناث]],0)</f>
        <v>0</v>
      </c>
      <c r="BC50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50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50" s="122">
        <f>IF(AND(الجدول145[[#This Row],[نوع الجلسة]]=$BZ$6,الجدول145[[#This Row],[البرنامج]]=$BX$2),1,0)</f>
        <v>0</v>
      </c>
      <c r="BF50" s="122">
        <f>IF(AND(الجدول145[[#This Row],[البرنامج]]="OOSCH",الجدول145[[#This Row],[نوع الجلسة]]=$BZ$6),الجدول145[[#This Row],[عدد الذكور]],0)</f>
        <v>0</v>
      </c>
      <c r="BG50" s="122">
        <f>IF(AND(الجدول145[[#This Row],[البرنامج]]="OOSCH",الجدول145[[#This Row],[نوع الجلسة]]=$BZ$6),الجدول145[[#This Row],[عدد الأناث]],0)</f>
        <v>0</v>
      </c>
      <c r="BH50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50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51" spans="4:61" ht="31.5" customHeight="1" x14ac:dyDescent="0.25">
      <c r="D51" s="9"/>
      <c r="E51" s="9"/>
      <c r="F51" s="9"/>
      <c r="G51" s="9"/>
      <c r="H51" s="9"/>
      <c r="I51" s="9"/>
      <c r="J51" s="9"/>
      <c r="K51" s="9">
        <f>SUM(الجدول145[[#This Row],[عدد الذكور]:[عدد الأناث]])</f>
        <v>0</v>
      </c>
      <c r="L51" s="120">
        <f>IF(AND(الجدول145[[#This Row],[البرنامج]]="PLW",الجدول145[[#This Row],[نوع الجلسة]]=$BZ$2),1,0)</f>
        <v>0</v>
      </c>
      <c r="M51" s="120">
        <f>IF(AND(الجدول145[[#This Row],[نوع الجلسة]]=$BZ$2,الجدول145[[#This Row],[البرنامج]]="PLW"),الجدول145[[#This Row],[عدد الذكور]],0)</f>
        <v>0</v>
      </c>
      <c r="N51" s="120">
        <f>IF(AND(الجدول145[[#This Row],[نوع الجلسة]]=$BZ$2,الجدول145[[#This Row],[البرنامج]]="PLW"),الجدول145[[#This Row],[عدد الأناث]],0)</f>
        <v>0</v>
      </c>
      <c r="O51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51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51" s="123">
        <f>IF(AND(الجدول145[[#This Row],[البرنامج]]="OOSCH",الجدول145[[#This Row],[نوع الجلسة]]=$BZ$2),1,0)</f>
        <v>0</v>
      </c>
      <c r="R51" s="123">
        <f>IF(AND(الجدول145[[#This Row],[البرنامج]]="OOSCH",الجدول145[[#This Row],[نوع الجلسة]]=$BZ$2),الجدول145[[#This Row],[عدد الذكور]],0)</f>
        <v>0</v>
      </c>
      <c r="S51" s="123">
        <f>IF(AND(الجدول145[[#This Row],[البرنامج]]="OOSCH",الجدول145[[#This Row],[نوع الجلسة]]=$BZ$2),الجدول145[[#This Row],[عدد الأناث]],0)</f>
        <v>0</v>
      </c>
      <c r="T51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51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51" s="124">
        <f>IF(AND(الجدول145[[#This Row],[البرنامج]]="PLW",الجدول145[[#This Row],[نوع الجلسة]]="معلومات صحة تغذوية للسيدة الحامل"),1,0)</f>
        <v>0</v>
      </c>
      <c r="W51" s="124">
        <f>IF(AND(الجدول145[[#This Row],[نوع الجلسة]]=$BZ$3,الجدول145[[#This Row],[البرنامج]]="PLW"),الجدول145[[#This Row],[عدد الذكور]],0)</f>
        <v>0</v>
      </c>
      <c r="X51" s="124">
        <f>IF(AND(الجدول145[[#This Row],[نوع الجلسة]]=$BZ$3,الجدول145[[#This Row],[البرنامج]]="PLW"),الجدول145[[#This Row],[عدد الأناث]],0)</f>
        <v>0</v>
      </c>
      <c r="Y51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51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51" s="113">
        <f>IF(AND(الجدول145[[#This Row],[البرنامج]]="PLW",الجدول145[[#This Row],[نوع الجلسة]]=$BZ$4),1,0)</f>
        <v>0</v>
      </c>
      <c r="AB51" s="113">
        <f>IF(AND(الجدول145[[#This Row],[البرنامج]]="PLW",الجدول145[[#This Row],[نوع الجلسة]]=$BZ$4),الجدول145[[#This Row],[عدد الذكور]],0)</f>
        <v>0</v>
      </c>
      <c r="AC51" s="113">
        <f>IF(AND(الجدول145[[#This Row],[البرنامج]]="PLW",الجدول145[[#This Row],[نوع الجلسة]]=$BZ$4),الجدول145[[#This Row],[عدد الأناث]],0)</f>
        <v>0</v>
      </c>
      <c r="AD51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51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51" s="125">
        <f>IF(AND(الجدول145[[#This Row],[البرنامج]]="OOSCH",الجدول145[[#This Row],[نوع الجلسة]]=$BZ$7),1,0)</f>
        <v>0</v>
      </c>
      <c r="AG51" s="125">
        <f>IF(AND(الجدول145[[#This Row],[البرنامج]]="OOSCH",الجدول145[[#This Row],[نوع الجلسة]]=$BZ$7),الجدول145[[#This Row],[عدد الذكور]],0)</f>
        <v>0</v>
      </c>
      <c r="AH51" s="125">
        <f>IF(AND(الجدول145[[#This Row],[البرنامج]]="OOSCH",الجدول145[[#This Row],[نوع الجلسة]]=$BZ$7),الجدول145[[#This Row],[عدد الأناث]],0)</f>
        <v>0</v>
      </c>
      <c r="AI51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51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51" s="126">
        <f>IF(AND(الجدول145[[#This Row],[البرنامج]]="OOSCH",الجدول145[[#This Row],[نوع الجلسة]]=$BZ$4),1,0)</f>
        <v>0</v>
      </c>
      <c r="AL51" s="126">
        <f>IF(AND(الجدول145[[#This Row],[البرنامج]]="OOSCH",الجدول145[[#This Row],[نوع الجلسة]]=$BZ$4),الجدول145[[#This Row],[عدد الذكور]],0)</f>
        <v>0</v>
      </c>
      <c r="AM51" s="126">
        <f>IF(AND(الجدول145[[#This Row],[البرنامج]]="OOSCH",الجدول145[[#This Row],[نوع الجلسة]]=$BZ$4),الجدول145[[#This Row],[عدد الأناث]],0)</f>
        <v>0</v>
      </c>
      <c r="AN51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51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51" s="123">
        <f>IF(AND(الجدول145[[#This Row],[نوع الجلسة]]=$BZ$5,الجدول145[[#This Row],[البرنامج]]=$BX$3),1,0)</f>
        <v>0</v>
      </c>
      <c r="AQ51" s="123">
        <f>IF(AND(الجدول145[[#This Row],[البرنامج]]="PLW",الجدول145[[#This Row],[نوع الجلسة]]=$BZ$5),الجدول145[[#This Row],[عدد الذكور]],0)</f>
        <v>0</v>
      </c>
      <c r="AR51" s="123">
        <f>IF(AND(الجدول145[[#This Row],[البرنامج]]="PLW",الجدول145[[#This Row],[نوع الجلسة]]=$BZ$5),الجدول145[[#This Row],[عدد الأناث]],0)</f>
        <v>0</v>
      </c>
      <c r="AS51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51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51" s="127">
        <f>IF(AND(الجدول145[[#This Row],[نوع الجلسة]]=$BZ$5,الجدول145[[#This Row],[البرنامج]]=$BX$2),1,0)</f>
        <v>0</v>
      </c>
      <c r="AV51" s="127">
        <f>IF(AND(الجدول145[[#This Row],[البرنامج]]="OOSCH",الجدول145[[#This Row],[نوع الجلسة]]=$BZ$5),الجدول145[[#This Row],[عدد الذكور]],0)</f>
        <v>0</v>
      </c>
      <c r="AW51" s="127">
        <f>IF(AND(الجدول145[[#This Row],[البرنامج]]="OOSCH",الجدول145[[#This Row],[نوع الجلسة]]=$BZ$5),الجدول145[[#This Row],[عدد الأناث]],0)</f>
        <v>0</v>
      </c>
      <c r="AX51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51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51" s="121">
        <f>IF(AND(الجدول145[[#This Row],[نوع الجلسة]]=$BZ$6,الجدول145[[#This Row],[البرنامج]]=$BX$3),1,0)</f>
        <v>0</v>
      </c>
      <c r="BA51" s="121">
        <f>IF(AND(الجدول145[[#This Row],[البرنامج]]="PLW",الجدول145[[#This Row],[نوع الجلسة]]=$BZ$6),الجدول145[[#This Row],[عدد الذكور]],0)</f>
        <v>0</v>
      </c>
      <c r="BB51" s="121">
        <f>IF(AND(الجدول145[[#This Row],[البرنامج]]="PLW",الجدول145[[#This Row],[نوع الجلسة]]=$BZ$6),الجدول145[[#This Row],[عدد الأناث]],0)</f>
        <v>0</v>
      </c>
      <c r="BC51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51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51" s="122">
        <f>IF(AND(الجدول145[[#This Row],[نوع الجلسة]]=$BZ$6,الجدول145[[#This Row],[البرنامج]]=$BX$2),1,0)</f>
        <v>0</v>
      </c>
      <c r="BF51" s="122">
        <f>IF(AND(الجدول145[[#This Row],[البرنامج]]="OOSCH",الجدول145[[#This Row],[نوع الجلسة]]=$BZ$6),الجدول145[[#This Row],[عدد الذكور]],0)</f>
        <v>0</v>
      </c>
      <c r="BG51" s="122">
        <f>IF(AND(الجدول145[[#This Row],[البرنامج]]="OOSCH",الجدول145[[#This Row],[نوع الجلسة]]=$BZ$6),الجدول145[[#This Row],[عدد الأناث]],0)</f>
        <v>0</v>
      </c>
      <c r="BH51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51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52" spans="4:61" ht="31.5" customHeight="1" x14ac:dyDescent="0.25">
      <c r="D52" s="9"/>
      <c r="E52" s="9"/>
      <c r="F52" s="9"/>
      <c r="G52" s="9"/>
      <c r="H52" s="9"/>
      <c r="I52" s="9"/>
      <c r="J52" s="9"/>
      <c r="K52" s="9">
        <f>SUM(الجدول145[[#This Row],[عدد الذكور]:[عدد الأناث]])</f>
        <v>0</v>
      </c>
      <c r="L52" s="120">
        <f>IF(AND(الجدول145[[#This Row],[البرنامج]]="PLW",الجدول145[[#This Row],[نوع الجلسة]]=$BZ$2),1,0)</f>
        <v>0</v>
      </c>
      <c r="M52" s="120">
        <f>IF(AND(الجدول145[[#This Row],[نوع الجلسة]]=$BZ$2,الجدول145[[#This Row],[البرنامج]]="PLW"),الجدول145[[#This Row],[عدد الذكور]],0)</f>
        <v>0</v>
      </c>
      <c r="N52" s="120">
        <f>IF(AND(الجدول145[[#This Row],[نوع الجلسة]]=$BZ$2,الجدول145[[#This Row],[البرنامج]]="PLW"),الجدول145[[#This Row],[عدد الأناث]],0)</f>
        <v>0</v>
      </c>
      <c r="O52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52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52" s="123">
        <f>IF(AND(الجدول145[[#This Row],[البرنامج]]="OOSCH",الجدول145[[#This Row],[نوع الجلسة]]=$BZ$2),1,0)</f>
        <v>0</v>
      </c>
      <c r="R52" s="123">
        <f>IF(AND(الجدول145[[#This Row],[البرنامج]]="OOSCH",الجدول145[[#This Row],[نوع الجلسة]]=$BZ$2),الجدول145[[#This Row],[عدد الذكور]],0)</f>
        <v>0</v>
      </c>
      <c r="S52" s="123">
        <f>IF(AND(الجدول145[[#This Row],[البرنامج]]="OOSCH",الجدول145[[#This Row],[نوع الجلسة]]=$BZ$2),الجدول145[[#This Row],[عدد الأناث]],0)</f>
        <v>0</v>
      </c>
      <c r="T52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52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52" s="124">
        <f>IF(AND(الجدول145[[#This Row],[البرنامج]]="PLW",الجدول145[[#This Row],[نوع الجلسة]]="معلومات صحة تغذوية للسيدة الحامل"),1,0)</f>
        <v>0</v>
      </c>
      <c r="W52" s="124">
        <f>IF(AND(الجدول145[[#This Row],[نوع الجلسة]]=$BZ$3,الجدول145[[#This Row],[البرنامج]]="PLW"),الجدول145[[#This Row],[عدد الذكور]],0)</f>
        <v>0</v>
      </c>
      <c r="X52" s="124">
        <f>IF(AND(الجدول145[[#This Row],[نوع الجلسة]]=$BZ$3,الجدول145[[#This Row],[البرنامج]]="PLW"),الجدول145[[#This Row],[عدد الأناث]],0)</f>
        <v>0</v>
      </c>
      <c r="Y52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52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52" s="113">
        <f>IF(AND(الجدول145[[#This Row],[البرنامج]]="PLW",الجدول145[[#This Row],[نوع الجلسة]]=$BZ$4),1,0)</f>
        <v>0</v>
      </c>
      <c r="AB52" s="113">
        <f>IF(AND(الجدول145[[#This Row],[البرنامج]]="PLW",الجدول145[[#This Row],[نوع الجلسة]]=$BZ$4),الجدول145[[#This Row],[عدد الذكور]],0)</f>
        <v>0</v>
      </c>
      <c r="AC52" s="113">
        <f>IF(AND(الجدول145[[#This Row],[البرنامج]]="PLW",الجدول145[[#This Row],[نوع الجلسة]]=$BZ$4),الجدول145[[#This Row],[عدد الأناث]],0)</f>
        <v>0</v>
      </c>
      <c r="AD52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52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52" s="125">
        <f>IF(AND(الجدول145[[#This Row],[البرنامج]]="OOSCH",الجدول145[[#This Row],[نوع الجلسة]]=$BZ$7),1,0)</f>
        <v>0</v>
      </c>
      <c r="AG52" s="125">
        <f>IF(AND(الجدول145[[#This Row],[البرنامج]]="OOSCH",الجدول145[[#This Row],[نوع الجلسة]]=$BZ$7),الجدول145[[#This Row],[عدد الذكور]],0)</f>
        <v>0</v>
      </c>
      <c r="AH52" s="125">
        <f>IF(AND(الجدول145[[#This Row],[البرنامج]]="OOSCH",الجدول145[[#This Row],[نوع الجلسة]]=$BZ$7),الجدول145[[#This Row],[عدد الأناث]],0)</f>
        <v>0</v>
      </c>
      <c r="AI52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52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52" s="126">
        <f>IF(AND(الجدول145[[#This Row],[البرنامج]]="OOSCH",الجدول145[[#This Row],[نوع الجلسة]]=$BZ$4),1,0)</f>
        <v>0</v>
      </c>
      <c r="AL52" s="126">
        <f>IF(AND(الجدول145[[#This Row],[البرنامج]]="OOSCH",الجدول145[[#This Row],[نوع الجلسة]]=$BZ$4),الجدول145[[#This Row],[عدد الذكور]],0)</f>
        <v>0</v>
      </c>
      <c r="AM52" s="126">
        <f>IF(AND(الجدول145[[#This Row],[البرنامج]]="OOSCH",الجدول145[[#This Row],[نوع الجلسة]]=$BZ$4),الجدول145[[#This Row],[عدد الأناث]],0)</f>
        <v>0</v>
      </c>
      <c r="AN52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52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52" s="123">
        <f>IF(AND(الجدول145[[#This Row],[نوع الجلسة]]=$BZ$5,الجدول145[[#This Row],[البرنامج]]=$BX$3),1,0)</f>
        <v>0</v>
      </c>
      <c r="AQ52" s="123">
        <f>IF(AND(الجدول145[[#This Row],[البرنامج]]="PLW",الجدول145[[#This Row],[نوع الجلسة]]=$BZ$5),الجدول145[[#This Row],[عدد الذكور]],0)</f>
        <v>0</v>
      </c>
      <c r="AR52" s="123">
        <f>IF(AND(الجدول145[[#This Row],[البرنامج]]="PLW",الجدول145[[#This Row],[نوع الجلسة]]=$BZ$5),الجدول145[[#This Row],[عدد الأناث]],0)</f>
        <v>0</v>
      </c>
      <c r="AS52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52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52" s="127">
        <f>IF(AND(الجدول145[[#This Row],[نوع الجلسة]]=$BZ$5,الجدول145[[#This Row],[البرنامج]]=$BX$2),1,0)</f>
        <v>0</v>
      </c>
      <c r="AV52" s="127">
        <f>IF(AND(الجدول145[[#This Row],[البرنامج]]="OOSCH",الجدول145[[#This Row],[نوع الجلسة]]=$BZ$5),الجدول145[[#This Row],[عدد الذكور]],0)</f>
        <v>0</v>
      </c>
      <c r="AW52" s="127">
        <f>IF(AND(الجدول145[[#This Row],[البرنامج]]="OOSCH",الجدول145[[#This Row],[نوع الجلسة]]=$BZ$5),الجدول145[[#This Row],[عدد الأناث]],0)</f>
        <v>0</v>
      </c>
      <c r="AX52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52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52" s="121">
        <f>IF(AND(الجدول145[[#This Row],[نوع الجلسة]]=$BZ$6,الجدول145[[#This Row],[البرنامج]]=$BX$3),1,0)</f>
        <v>0</v>
      </c>
      <c r="BA52" s="121">
        <f>IF(AND(الجدول145[[#This Row],[البرنامج]]="PLW",الجدول145[[#This Row],[نوع الجلسة]]=$BZ$6),الجدول145[[#This Row],[عدد الذكور]],0)</f>
        <v>0</v>
      </c>
      <c r="BB52" s="121">
        <f>IF(AND(الجدول145[[#This Row],[البرنامج]]="PLW",الجدول145[[#This Row],[نوع الجلسة]]=$BZ$6),الجدول145[[#This Row],[عدد الأناث]],0)</f>
        <v>0</v>
      </c>
      <c r="BC52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52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52" s="122">
        <f>IF(AND(الجدول145[[#This Row],[نوع الجلسة]]=$BZ$6,الجدول145[[#This Row],[البرنامج]]=$BX$2),1,0)</f>
        <v>0</v>
      </c>
      <c r="BF52" s="122">
        <f>IF(AND(الجدول145[[#This Row],[البرنامج]]="OOSCH",الجدول145[[#This Row],[نوع الجلسة]]=$BZ$6),الجدول145[[#This Row],[عدد الذكور]],0)</f>
        <v>0</v>
      </c>
      <c r="BG52" s="122">
        <f>IF(AND(الجدول145[[#This Row],[البرنامج]]="OOSCH",الجدول145[[#This Row],[نوع الجلسة]]=$BZ$6),الجدول145[[#This Row],[عدد الأناث]],0)</f>
        <v>0</v>
      </c>
      <c r="BH52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52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53" spans="4:61" ht="31.5" customHeight="1" x14ac:dyDescent="0.25">
      <c r="D53" s="9"/>
      <c r="E53" s="9"/>
      <c r="F53" s="9"/>
      <c r="G53" s="9"/>
      <c r="H53" s="9"/>
      <c r="I53" s="9"/>
      <c r="J53" s="9"/>
      <c r="K53" s="9">
        <f>SUM(الجدول145[[#This Row],[عدد الذكور]:[عدد الأناث]])</f>
        <v>0</v>
      </c>
      <c r="L53" s="120">
        <f>IF(AND(الجدول145[[#This Row],[البرنامج]]="PLW",الجدول145[[#This Row],[نوع الجلسة]]=$BZ$2),1,0)</f>
        <v>0</v>
      </c>
      <c r="M53" s="120">
        <f>IF(AND(الجدول145[[#This Row],[نوع الجلسة]]=$BZ$2,الجدول145[[#This Row],[البرنامج]]="PLW"),الجدول145[[#This Row],[عدد الذكور]],0)</f>
        <v>0</v>
      </c>
      <c r="N53" s="120">
        <f>IF(AND(الجدول145[[#This Row],[نوع الجلسة]]=$BZ$2,الجدول145[[#This Row],[البرنامج]]="PLW"),الجدول145[[#This Row],[عدد الأناث]],0)</f>
        <v>0</v>
      </c>
      <c r="O53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53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53" s="123">
        <f>IF(AND(الجدول145[[#This Row],[البرنامج]]="OOSCH",الجدول145[[#This Row],[نوع الجلسة]]=$BZ$2),1,0)</f>
        <v>0</v>
      </c>
      <c r="R53" s="123">
        <f>IF(AND(الجدول145[[#This Row],[البرنامج]]="OOSCH",الجدول145[[#This Row],[نوع الجلسة]]=$BZ$2),الجدول145[[#This Row],[عدد الذكور]],0)</f>
        <v>0</v>
      </c>
      <c r="S53" s="123">
        <f>IF(AND(الجدول145[[#This Row],[البرنامج]]="OOSCH",الجدول145[[#This Row],[نوع الجلسة]]=$BZ$2),الجدول145[[#This Row],[عدد الأناث]],0)</f>
        <v>0</v>
      </c>
      <c r="T53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53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53" s="124">
        <f>IF(AND(الجدول145[[#This Row],[البرنامج]]="PLW",الجدول145[[#This Row],[نوع الجلسة]]="معلومات صحة تغذوية للسيدة الحامل"),1,0)</f>
        <v>0</v>
      </c>
      <c r="W53" s="124">
        <f>IF(AND(الجدول145[[#This Row],[نوع الجلسة]]=$BZ$3,الجدول145[[#This Row],[البرنامج]]="PLW"),الجدول145[[#This Row],[عدد الذكور]],0)</f>
        <v>0</v>
      </c>
      <c r="X53" s="124">
        <f>IF(AND(الجدول145[[#This Row],[نوع الجلسة]]=$BZ$3,الجدول145[[#This Row],[البرنامج]]="PLW"),الجدول145[[#This Row],[عدد الأناث]],0)</f>
        <v>0</v>
      </c>
      <c r="Y53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53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53" s="113">
        <f>IF(AND(الجدول145[[#This Row],[البرنامج]]="PLW",الجدول145[[#This Row],[نوع الجلسة]]=$BZ$4),1,0)</f>
        <v>0</v>
      </c>
      <c r="AB53" s="113">
        <f>IF(AND(الجدول145[[#This Row],[البرنامج]]="PLW",الجدول145[[#This Row],[نوع الجلسة]]=$BZ$4),الجدول145[[#This Row],[عدد الذكور]],0)</f>
        <v>0</v>
      </c>
      <c r="AC53" s="113">
        <f>IF(AND(الجدول145[[#This Row],[البرنامج]]="PLW",الجدول145[[#This Row],[نوع الجلسة]]=$BZ$4),الجدول145[[#This Row],[عدد الأناث]],0)</f>
        <v>0</v>
      </c>
      <c r="AD53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53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53" s="125">
        <f>IF(AND(الجدول145[[#This Row],[البرنامج]]="OOSCH",الجدول145[[#This Row],[نوع الجلسة]]=$BZ$7),1,0)</f>
        <v>0</v>
      </c>
      <c r="AG53" s="125">
        <f>IF(AND(الجدول145[[#This Row],[البرنامج]]="OOSCH",الجدول145[[#This Row],[نوع الجلسة]]=$BZ$7),الجدول145[[#This Row],[عدد الذكور]],0)</f>
        <v>0</v>
      </c>
      <c r="AH53" s="125">
        <f>IF(AND(الجدول145[[#This Row],[البرنامج]]="OOSCH",الجدول145[[#This Row],[نوع الجلسة]]=$BZ$7),الجدول145[[#This Row],[عدد الأناث]],0)</f>
        <v>0</v>
      </c>
      <c r="AI53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53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53" s="126">
        <f>IF(AND(الجدول145[[#This Row],[البرنامج]]="OOSCH",الجدول145[[#This Row],[نوع الجلسة]]=$BZ$4),1,0)</f>
        <v>0</v>
      </c>
      <c r="AL53" s="126">
        <f>IF(AND(الجدول145[[#This Row],[البرنامج]]="OOSCH",الجدول145[[#This Row],[نوع الجلسة]]=$BZ$4),الجدول145[[#This Row],[عدد الذكور]],0)</f>
        <v>0</v>
      </c>
      <c r="AM53" s="126">
        <f>IF(AND(الجدول145[[#This Row],[البرنامج]]="OOSCH",الجدول145[[#This Row],[نوع الجلسة]]=$BZ$4),الجدول145[[#This Row],[عدد الأناث]],0)</f>
        <v>0</v>
      </c>
      <c r="AN53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53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53" s="123">
        <f>IF(AND(الجدول145[[#This Row],[نوع الجلسة]]=$BZ$5,الجدول145[[#This Row],[البرنامج]]=$BX$3),1,0)</f>
        <v>0</v>
      </c>
      <c r="AQ53" s="123">
        <f>IF(AND(الجدول145[[#This Row],[البرنامج]]="PLW",الجدول145[[#This Row],[نوع الجلسة]]=$BZ$5),الجدول145[[#This Row],[عدد الذكور]],0)</f>
        <v>0</v>
      </c>
      <c r="AR53" s="123">
        <f>IF(AND(الجدول145[[#This Row],[البرنامج]]="PLW",الجدول145[[#This Row],[نوع الجلسة]]=$BZ$5),الجدول145[[#This Row],[عدد الأناث]],0)</f>
        <v>0</v>
      </c>
      <c r="AS53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53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53" s="127">
        <f>IF(AND(الجدول145[[#This Row],[نوع الجلسة]]=$BZ$5,الجدول145[[#This Row],[البرنامج]]=$BX$2),1,0)</f>
        <v>0</v>
      </c>
      <c r="AV53" s="127">
        <f>IF(AND(الجدول145[[#This Row],[البرنامج]]="OOSCH",الجدول145[[#This Row],[نوع الجلسة]]=$BZ$5),الجدول145[[#This Row],[عدد الذكور]],0)</f>
        <v>0</v>
      </c>
      <c r="AW53" s="127">
        <f>IF(AND(الجدول145[[#This Row],[البرنامج]]="OOSCH",الجدول145[[#This Row],[نوع الجلسة]]=$BZ$5),الجدول145[[#This Row],[عدد الأناث]],0)</f>
        <v>0</v>
      </c>
      <c r="AX53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53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53" s="121">
        <f>IF(AND(الجدول145[[#This Row],[نوع الجلسة]]=$BZ$6,الجدول145[[#This Row],[البرنامج]]=$BX$3),1,0)</f>
        <v>0</v>
      </c>
      <c r="BA53" s="121">
        <f>IF(AND(الجدول145[[#This Row],[البرنامج]]="PLW",الجدول145[[#This Row],[نوع الجلسة]]=$BZ$6),الجدول145[[#This Row],[عدد الذكور]],0)</f>
        <v>0</v>
      </c>
      <c r="BB53" s="121">
        <f>IF(AND(الجدول145[[#This Row],[البرنامج]]="PLW",الجدول145[[#This Row],[نوع الجلسة]]=$BZ$6),الجدول145[[#This Row],[عدد الأناث]],0)</f>
        <v>0</v>
      </c>
      <c r="BC53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53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53" s="122">
        <f>IF(AND(الجدول145[[#This Row],[نوع الجلسة]]=$BZ$6,الجدول145[[#This Row],[البرنامج]]=$BX$2),1,0)</f>
        <v>0</v>
      </c>
      <c r="BF53" s="122">
        <f>IF(AND(الجدول145[[#This Row],[البرنامج]]="OOSCH",الجدول145[[#This Row],[نوع الجلسة]]=$BZ$6),الجدول145[[#This Row],[عدد الذكور]],0)</f>
        <v>0</v>
      </c>
      <c r="BG53" s="122">
        <f>IF(AND(الجدول145[[#This Row],[البرنامج]]="OOSCH",الجدول145[[#This Row],[نوع الجلسة]]=$BZ$6),الجدول145[[#This Row],[عدد الأناث]],0)</f>
        <v>0</v>
      </c>
      <c r="BH53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53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54" spans="4:61" ht="31.5" customHeight="1" x14ac:dyDescent="0.25">
      <c r="D54" s="9"/>
      <c r="E54" s="9"/>
      <c r="F54" s="9"/>
      <c r="G54" s="9"/>
      <c r="H54" s="9"/>
      <c r="I54" s="9"/>
      <c r="J54" s="9"/>
      <c r="K54" s="9">
        <f>SUM(الجدول145[[#This Row],[عدد الذكور]:[عدد الأناث]])</f>
        <v>0</v>
      </c>
      <c r="L54" s="120">
        <f>IF(AND(الجدول145[[#This Row],[البرنامج]]="PLW",الجدول145[[#This Row],[نوع الجلسة]]=$BZ$2),1,0)</f>
        <v>0</v>
      </c>
      <c r="M54" s="120">
        <f>IF(AND(الجدول145[[#This Row],[نوع الجلسة]]=$BZ$2,الجدول145[[#This Row],[البرنامج]]="PLW"),الجدول145[[#This Row],[عدد الذكور]],0)</f>
        <v>0</v>
      </c>
      <c r="N54" s="120">
        <f>IF(AND(الجدول145[[#This Row],[نوع الجلسة]]=$BZ$2,الجدول145[[#This Row],[البرنامج]]="PLW"),الجدول145[[#This Row],[عدد الأناث]],0)</f>
        <v>0</v>
      </c>
      <c r="O54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54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54" s="123">
        <f>IF(AND(الجدول145[[#This Row],[البرنامج]]="OOSCH",الجدول145[[#This Row],[نوع الجلسة]]=$BZ$2),1,0)</f>
        <v>0</v>
      </c>
      <c r="R54" s="123">
        <f>IF(AND(الجدول145[[#This Row],[البرنامج]]="OOSCH",الجدول145[[#This Row],[نوع الجلسة]]=$BZ$2),الجدول145[[#This Row],[عدد الذكور]],0)</f>
        <v>0</v>
      </c>
      <c r="S54" s="123">
        <f>IF(AND(الجدول145[[#This Row],[البرنامج]]="OOSCH",الجدول145[[#This Row],[نوع الجلسة]]=$BZ$2),الجدول145[[#This Row],[عدد الأناث]],0)</f>
        <v>0</v>
      </c>
      <c r="T54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54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54" s="124">
        <f>IF(AND(الجدول145[[#This Row],[البرنامج]]="PLW",الجدول145[[#This Row],[نوع الجلسة]]="معلومات صحة تغذوية للسيدة الحامل"),1,0)</f>
        <v>0</v>
      </c>
      <c r="W54" s="124">
        <f>IF(AND(الجدول145[[#This Row],[نوع الجلسة]]=$BZ$3,الجدول145[[#This Row],[البرنامج]]="PLW"),الجدول145[[#This Row],[عدد الذكور]],0)</f>
        <v>0</v>
      </c>
      <c r="X54" s="124">
        <f>IF(AND(الجدول145[[#This Row],[نوع الجلسة]]=$BZ$3,الجدول145[[#This Row],[البرنامج]]="PLW"),الجدول145[[#This Row],[عدد الأناث]],0)</f>
        <v>0</v>
      </c>
      <c r="Y54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54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54" s="113">
        <f>IF(AND(الجدول145[[#This Row],[البرنامج]]="PLW",الجدول145[[#This Row],[نوع الجلسة]]=$BZ$4),1,0)</f>
        <v>0</v>
      </c>
      <c r="AB54" s="113">
        <f>IF(AND(الجدول145[[#This Row],[البرنامج]]="PLW",الجدول145[[#This Row],[نوع الجلسة]]=$BZ$4),الجدول145[[#This Row],[عدد الذكور]],0)</f>
        <v>0</v>
      </c>
      <c r="AC54" s="113">
        <f>IF(AND(الجدول145[[#This Row],[البرنامج]]="PLW",الجدول145[[#This Row],[نوع الجلسة]]=$BZ$4),الجدول145[[#This Row],[عدد الأناث]],0)</f>
        <v>0</v>
      </c>
      <c r="AD54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54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54" s="125">
        <f>IF(AND(الجدول145[[#This Row],[البرنامج]]="OOSCH",الجدول145[[#This Row],[نوع الجلسة]]=$BZ$7),1,0)</f>
        <v>0</v>
      </c>
      <c r="AG54" s="125">
        <f>IF(AND(الجدول145[[#This Row],[البرنامج]]="OOSCH",الجدول145[[#This Row],[نوع الجلسة]]=$BZ$7),الجدول145[[#This Row],[عدد الذكور]],0)</f>
        <v>0</v>
      </c>
      <c r="AH54" s="125">
        <f>IF(AND(الجدول145[[#This Row],[البرنامج]]="OOSCH",الجدول145[[#This Row],[نوع الجلسة]]=$BZ$7),الجدول145[[#This Row],[عدد الأناث]],0)</f>
        <v>0</v>
      </c>
      <c r="AI54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54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54" s="126">
        <f>IF(AND(الجدول145[[#This Row],[البرنامج]]="OOSCH",الجدول145[[#This Row],[نوع الجلسة]]=$BZ$4),1,0)</f>
        <v>0</v>
      </c>
      <c r="AL54" s="126">
        <f>IF(AND(الجدول145[[#This Row],[البرنامج]]="OOSCH",الجدول145[[#This Row],[نوع الجلسة]]=$BZ$4),الجدول145[[#This Row],[عدد الذكور]],0)</f>
        <v>0</v>
      </c>
      <c r="AM54" s="126">
        <f>IF(AND(الجدول145[[#This Row],[البرنامج]]="OOSCH",الجدول145[[#This Row],[نوع الجلسة]]=$BZ$4),الجدول145[[#This Row],[عدد الأناث]],0)</f>
        <v>0</v>
      </c>
      <c r="AN54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54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54" s="123">
        <f>IF(AND(الجدول145[[#This Row],[نوع الجلسة]]=$BZ$5,الجدول145[[#This Row],[البرنامج]]=$BX$3),1,0)</f>
        <v>0</v>
      </c>
      <c r="AQ54" s="123">
        <f>IF(AND(الجدول145[[#This Row],[البرنامج]]="PLW",الجدول145[[#This Row],[نوع الجلسة]]=$BZ$5),الجدول145[[#This Row],[عدد الذكور]],0)</f>
        <v>0</v>
      </c>
      <c r="AR54" s="123">
        <f>IF(AND(الجدول145[[#This Row],[البرنامج]]="PLW",الجدول145[[#This Row],[نوع الجلسة]]=$BZ$5),الجدول145[[#This Row],[عدد الأناث]],0)</f>
        <v>0</v>
      </c>
      <c r="AS54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54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54" s="127">
        <f>IF(AND(الجدول145[[#This Row],[نوع الجلسة]]=$BZ$5,الجدول145[[#This Row],[البرنامج]]=$BX$2),1,0)</f>
        <v>0</v>
      </c>
      <c r="AV54" s="127">
        <f>IF(AND(الجدول145[[#This Row],[البرنامج]]="OOSCH",الجدول145[[#This Row],[نوع الجلسة]]=$BZ$5),الجدول145[[#This Row],[عدد الذكور]],0)</f>
        <v>0</v>
      </c>
      <c r="AW54" s="127">
        <f>IF(AND(الجدول145[[#This Row],[البرنامج]]="OOSCH",الجدول145[[#This Row],[نوع الجلسة]]=$BZ$5),الجدول145[[#This Row],[عدد الأناث]],0)</f>
        <v>0</v>
      </c>
      <c r="AX54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54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54" s="121">
        <f>IF(AND(الجدول145[[#This Row],[نوع الجلسة]]=$BZ$6,الجدول145[[#This Row],[البرنامج]]=$BX$3),1,0)</f>
        <v>0</v>
      </c>
      <c r="BA54" s="121">
        <f>IF(AND(الجدول145[[#This Row],[البرنامج]]="PLW",الجدول145[[#This Row],[نوع الجلسة]]=$BZ$6),الجدول145[[#This Row],[عدد الذكور]],0)</f>
        <v>0</v>
      </c>
      <c r="BB54" s="121">
        <f>IF(AND(الجدول145[[#This Row],[البرنامج]]="PLW",الجدول145[[#This Row],[نوع الجلسة]]=$BZ$6),الجدول145[[#This Row],[عدد الأناث]],0)</f>
        <v>0</v>
      </c>
      <c r="BC54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54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54" s="122">
        <f>IF(AND(الجدول145[[#This Row],[نوع الجلسة]]=$BZ$6,الجدول145[[#This Row],[البرنامج]]=$BX$2),1,0)</f>
        <v>0</v>
      </c>
      <c r="BF54" s="122">
        <f>IF(AND(الجدول145[[#This Row],[البرنامج]]="OOSCH",الجدول145[[#This Row],[نوع الجلسة]]=$BZ$6),الجدول145[[#This Row],[عدد الذكور]],0)</f>
        <v>0</v>
      </c>
      <c r="BG54" s="122">
        <f>IF(AND(الجدول145[[#This Row],[البرنامج]]="OOSCH",الجدول145[[#This Row],[نوع الجلسة]]=$BZ$6),الجدول145[[#This Row],[عدد الأناث]],0)</f>
        <v>0</v>
      </c>
      <c r="BH54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54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55" spans="4:61" ht="31.5" customHeight="1" x14ac:dyDescent="0.25">
      <c r="D55" s="9"/>
      <c r="E55" s="9"/>
      <c r="F55" s="9"/>
      <c r="G55" s="9"/>
      <c r="H55" s="9"/>
      <c r="I55" s="9"/>
      <c r="J55" s="9"/>
      <c r="K55" s="9">
        <f>SUM(الجدول145[[#This Row],[عدد الذكور]:[عدد الأناث]])</f>
        <v>0</v>
      </c>
      <c r="L55" s="120">
        <f>IF(AND(الجدول145[[#This Row],[البرنامج]]="PLW",الجدول145[[#This Row],[نوع الجلسة]]=$BZ$2),1,0)</f>
        <v>0</v>
      </c>
      <c r="M55" s="120">
        <f>IF(AND(الجدول145[[#This Row],[نوع الجلسة]]=$BZ$2,الجدول145[[#This Row],[البرنامج]]="PLW"),الجدول145[[#This Row],[عدد الذكور]],0)</f>
        <v>0</v>
      </c>
      <c r="N55" s="120">
        <f>IF(AND(الجدول145[[#This Row],[نوع الجلسة]]=$BZ$2,الجدول145[[#This Row],[البرنامج]]="PLW"),الجدول145[[#This Row],[عدد الأناث]],0)</f>
        <v>0</v>
      </c>
      <c r="O55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55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55" s="123">
        <f>IF(AND(الجدول145[[#This Row],[البرنامج]]="OOSCH",الجدول145[[#This Row],[نوع الجلسة]]=$BZ$2),1,0)</f>
        <v>0</v>
      </c>
      <c r="R55" s="123">
        <f>IF(AND(الجدول145[[#This Row],[البرنامج]]="OOSCH",الجدول145[[#This Row],[نوع الجلسة]]=$BZ$2),الجدول145[[#This Row],[عدد الذكور]],0)</f>
        <v>0</v>
      </c>
      <c r="S55" s="123">
        <f>IF(AND(الجدول145[[#This Row],[البرنامج]]="OOSCH",الجدول145[[#This Row],[نوع الجلسة]]=$BZ$2),الجدول145[[#This Row],[عدد الأناث]],0)</f>
        <v>0</v>
      </c>
      <c r="T55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55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55" s="124">
        <f>IF(AND(الجدول145[[#This Row],[البرنامج]]="PLW",الجدول145[[#This Row],[نوع الجلسة]]="معلومات صحة تغذوية للسيدة الحامل"),1,0)</f>
        <v>0</v>
      </c>
      <c r="W55" s="124">
        <f>IF(AND(الجدول145[[#This Row],[نوع الجلسة]]=$BZ$3,الجدول145[[#This Row],[البرنامج]]="PLW"),الجدول145[[#This Row],[عدد الذكور]],0)</f>
        <v>0</v>
      </c>
      <c r="X55" s="124">
        <f>IF(AND(الجدول145[[#This Row],[نوع الجلسة]]=$BZ$3,الجدول145[[#This Row],[البرنامج]]="PLW"),الجدول145[[#This Row],[عدد الأناث]],0)</f>
        <v>0</v>
      </c>
      <c r="Y55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55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55" s="113">
        <f>IF(AND(الجدول145[[#This Row],[البرنامج]]="PLW",الجدول145[[#This Row],[نوع الجلسة]]=$BZ$4),1,0)</f>
        <v>0</v>
      </c>
      <c r="AB55" s="113">
        <f>IF(AND(الجدول145[[#This Row],[البرنامج]]="PLW",الجدول145[[#This Row],[نوع الجلسة]]=$BZ$4),الجدول145[[#This Row],[عدد الذكور]],0)</f>
        <v>0</v>
      </c>
      <c r="AC55" s="113">
        <f>IF(AND(الجدول145[[#This Row],[البرنامج]]="PLW",الجدول145[[#This Row],[نوع الجلسة]]=$BZ$4),الجدول145[[#This Row],[عدد الأناث]],0)</f>
        <v>0</v>
      </c>
      <c r="AD55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55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55" s="125">
        <f>IF(AND(الجدول145[[#This Row],[البرنامج]]="OOSCH",الجدول145[[#This Row],[نوع الجلسة]]=$BZ$7),1,0)</f>
        <v>0</v>
      </c>
      <c r="AG55" s="125">
        <f>IF(AND(الجدول145[[#This Row],[البرنامج]]="OOSCH",الجدول145[[#This Row],[نوع الجلسة]]=$BZ$7),الجدول145[[#This Row],[عدد الذكور]],0)</f>
        <v>0</v>
      </c>
      <c r="AH55" s="125">
        <f>IF(AND(الجدول145[[#This Row],[البرنامج]]="OOSCH",الجدول145[[#This Row],[نوع الجلسة]]=$BZ$7),الجدول145[[#This Row],[عدد الأناث]],0)</f>
        <v>0</v>
      </c>
      <c r="AI55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55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55" s="126">
        <f>IF(AND(الجدول145[[#This Row],[البرنامج]]="OOSCH",الجدول145[[#This Row],[نوع الجلسة]]=$BZ$4),1,0)</f>
        <v>0</v>
      </c>
      <c r="AL55" s="126">
        <f>IF(AND(الجدول145[[#This Row],[البرنامج]]="OOSCH",الجدول145[[#This Row],[نوع الجلسة]]=$BZ$4),الجدول145[[#This Row],[عدد الذكور]],0)</f>
        <v>0</v>
      </c>
      <c r="AM55" s="126">
        <f>IF(AND(الجدول145[[#This Row],[البرنامج]]="OOSCH",الجدول145[[#This Row],[نوع الجلسة]]=$BZ$4),الجدول145[[#This Row],[عدد الأناث]],0)</f>
        <v>0</v>
      </c>
      <c r="AN55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55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55" s="123">
        <f>IF(AND(الجدول145[[#This Row],[نوع الجلسة]]=$BZ$5,الجدول145[[#This Row],[البرنامج]]=$BX$3),1,0)</f>
        <v>0</v>
      </c>
      <c r="AQ55" s="123">
        <f>IF(AND(الجدول145[[#This Row],[البرنامج]]="PLW",الجدول145[[#This Row],[نوع الجلسة]]=$BZ$5),الجدول145[[#This Row],[عدد الذكور]],0)</f>
        <v>0</v>
      </c>
      <c r="AR55" s="123">
        <f>IF(AND(الجدول145[[#This Row],[البرنامج]]="PLW",الجدول145[[#This Row],[نوع الجلسة]]=$BZ$5),الجدول145[[#This Row],[عدد الأناث]],0)</f>
        <v>0</v>
      </c>
      <c r="AS55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55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55" s="127">
        <f>IF(AND(الجدول145[[#This Row],[نوع الجلسة]]=$BZ$5,الجدول145[[#This Row],[البرنامج]]=$BX$2),1,0)</f>
        <v>0</v>
      </c>
      <c r="AV55" s="127">
        <f>IF(AND(الجدول145[[#This Row],[البرنامج]]="OOSCH",الجدول145[[#This Row],[نوع الجلسة]]=$BZ$5),الجدول145[[#This Row],[عدد الذكور]],0)</f>
        <v>0</v>
      </c>
      <c r="AW55" s="127">
        <f>IF(AND(الجدول145[[#This Row],[البرنامج]]="OOSCH",الجدول145[[#This Row],[نوع الجلسة]]=$BZ$5),الجدول145[[#This Row],[عدد الأناث]],0)</f>
        <v>0</v>
      </c>
      <c r="AX55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55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55" s="121">
        <f>IF(AND(الجدول145[[#This Row],[نوع الجلسة]]=$BZ$6,الجدول145[[#This Row],[البرنامج]]=$BX$3),1,0)</f>
        <v>0</v>
      </c>
      <c r="BA55" s="121">
        <f>IF(AND(الجدول145[[#This Row],[البرنامج]]="PLW",الجدول145[[#This Row],[نوع الجلسة]]=$BZ$6),الجدول145[[#This Row],[عدد الذكور]],0)</f>
        <v>0</v>
      </c>
      <c r="BB55" s="121">
        <f>IF(AND(الجدول145[[#This Row],[البرنامج]]="PLW",الجدول145[[#This Row],[نوع الجلسة]]=$BZ$6),الجدول145[[#This Row],[عدد الأناث]],0)</f>
        <v>0</v>
      </c>
      <c r="BC55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55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55" s="122">
        <f>IF(AND(الجدول145[[#This Row],[نوع الجلسة]]=$BZ$6,الجدول145[[#This Row],[البرنامج]]=$BX$2),1,0)</f>
        <v>0</v>
      </c>
      <c r="BF55" s="122">
        <f>IF(AND(الجدول145[[#This Row],[البرنامج]]="OOSCH",الجدول145[[#This Row],[نوع الجلسة]]=$BZ$6),الجدول145[[#This Row],[عدد الذكور]],0)</f>
        <v>0</v>
      </c>
      <c r="BG55" s="122">
        <f>IF(AND(الجدول145[[#This Row],[البرنامج]]="OOSCH",الجدول145[[#This Row],[نوع الجلسة]]=$BZ$6),الجدول145[[#This Row],[عدد الأناث]],0)</f>
        <v>0</v>
      </c>
      <c r="BH55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55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56" spans="4:61" ht="31.5" customHeight="1" x14ac:dyDescent="0.25">
      <c r="D56" s="9"/>
      <c r="E56" s="9"/>
      <c r="F56" s="9"/>
      <c r="G56" s="9"/>
      <c r="H56" s="9"/>
      <c r="I56" s="9"/>
      <c r="J56" s="9"/>
      <c r="K56" s="9">
        <f>SUM(الجدول145[[#This Row],[عدد الذكور]:[عدد الأناث]])</f>
        <v>0</v>
      </c>
      <c r="L56" s="120">
        <f>IF(AND(الجدول145[[#This Row],[البرنامج]]="PLW",الجدول145[[#This Row],[نوع الجلسة]]=$BZ$2),1,0)</f>
        <v>0</v>
      </c>
      <c r="M56" s="120">
        <f>IF(AND(الجدول145[[#This Row],[نوع الجلسة]]=$BZ$2,الجدول145[[#This Row],[البرنامج]]="PLW"),الجدول145[[#This Row],[عدد الذكور]],0)</f>
        <v>0</v>
      </c>
      <c r="N56" s="120">
        <f>IF(AND(الجدول145[[#This Row],[نوع الجلسة]]=$BZ$2,الجدول145[[#This Row],[البرنامج]]="PLW"),الجدول145[[#This Row],[عدد الأناث]],0)</f>
        <v>0</v>
      </c>
      <c r="O56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56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56" s="123">
        <f>IF(AND(الجدول145[[#This Row],[البرنامج]]="OOSCH",الجدول145[[#This Row],[نوع الجلسة]]=$BZ$2),1,0)</f>
        <v>0</v>
      </c>
      <c r="R56" s="123">
        <f>IF(AND(الجدول145[[#This Row],[البرنامج]]="OOSCH",الجدول145[[#This Row],[نوع الجلسة]]=$BZ$2),الجدول145[[#This Row],[عدد الذكور]],0)</f>
        <v>0</v>
      </c>
      <c r="S56" s="123">
        <f>IF(AND(الجدول145[[#This Row],[البرنامج]]="OOSCH",الجدول145[[#This Row],[نوع الجلسة]]=$BZ$2),الجدول145[[#This Row],[عدد الأناث]],0)</f>
        <v>0</v>
      </c>
      <c r="T56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56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56" s="124">
        <f>IF(AND(الجدول145[[#This Row],[البرنامج]]="PLW",الجدول145[[#This Row],[نوع الجلسة]]="معلومات صحة تغذوية للسيدة الحامل"),1,0)</f>
        <v>0</v>
      </c>
      <c r="W56" s="124">
        <f>IF(AND(الجدول145[[#This Row],[نوع الجلسة]]=$BZ$3,الجدول145[[#This Row],[البرنامج]]="PLW"),الجدول145[[#This Row],[عدد الذكور]],0)</f>
        <v>0</v>
      </c>
      <c r="X56" s="124">
        <f>IF(AND(الجدول145[[#This Row],[نوع الجلسة]]=$BZ$3,الجدول145[[#This Row],[البرنامج]]="PLW"),الجدول145[[#This Row],[عدد الأناث]],0)</f>
        <v>0</v>
      </c>
      <c r="Y56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56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56" s="113">
        <f>IF(AND(الجدول145[[#This Row],[البرنامج]]="PLW",الجدول145[[#This Row],[نوع الجلسة]]=$BZ$4),1,0)</f>
        <v>0</v>
      </c>
      <c r="AB56" s="113">
        <f>IF(AND(الجدول145[[#This Row],[البرنامج]]="PLW",الجدول145[[#This Row],[نوع الجلسة]]=$BZ$4),الجدول145[[#This Row],[عدد الذكور]],0)</f>
        <v>0</v>
      </c>
      <c r="AC56" s="113">
        <f>IF(AND(الجدول145[[#This Row],[البرنامج]]="PLW",الجدول145[[#This Row],[نوع الجلسة]]=$BZ$4),الجدول145[[#This Row],[عدد الأناث]],0)</f>
        <v>0</v>
      </c>
      <c r="AD56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56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56" s="125">
        <f>IF(AND(الجدول145[[#This Row],[البرنامج]]="OOSCH",الجدول145[[#This Row],[نوع الجلسة]]=$BZ$7),1,0)</f>
        <v>0</v>
      </c>
      <c r="AG56" s="125">
        <f>IF(AND(الجدول145[[#This Row],[البرنامج]]="OOSCH",الجدول145[[#This Row],[نوع الجلسة]]=$BZ$7),الجدول145[[#This Row],[عدد الذكور]],0)</f>
        <v>0</v>
      </c>
      <c r="AH56" s="125">
        <f>IF(AND(الجدول145[[#This Row],[البرنامج]]="OOSCH",الجدول145[[#This Row],[نوع الجلسة]]=$BZ$7),الجدول145[[#This Row],[عدد الأناث]],0)</f>
        <v>0</v>
      </c>
      <c r="AI56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56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56" s="126">
        <f>IF(AND(الجدول145[[#This Row],[البرنامج]]="OOSCH",الجدول145[[#This Row],[نوع الجلسة]]=$BZ$4),1,0)</f>
        <v>0</v>
      </c>
      <c r="AL56" s="126">
        <f>IF(AND(الجدول145[[#This Row],[البرنامج]]="OOSCH",الجدول145[[#This Row],[نوع الجلسة]]=$BZ$4),الجدول145[[#This Row],[عدد الذكور]],0)</f>
        <v>0</v>
      </c>
      <c r="AM56" s="126">
        <f>IF(AND(الجدول145[[#This Row],[البرنامج]]="OOSCH",الجدول145[[#This Row],[نوع الجلسة]]=$BZ$4),الجدول145[[#This Row],[عدد الأناث]],0)</f>
        <v>0</v>
      </c>
      <c r="AN56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56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56" s="123">
        <f>IF(AND(الجدول145[[#This Row],[نوع الجلسة]]=$BZ$5,الجدول145[[#This Row],[البرنامج]]=$BX$3),1,0)</f>
        <v>0</v>
      </c>
      <c r="AQ56" s="123">
        <f>IF(AND(الجدول145[[#This Row],[البرنامج]]="PLW",الجدول145[[#This Row],[نوع الجلسة]]=$BZ$5),الجدول145[[#This Row],[عدد الذكور]],0)</f>
        <v>0</v>
      </c>
      <c r="AR56" s="123">
        <f>IF(AND(الجدول145[[#This Row],[البرنامج]]="PLW",الجدول145[[#This Row],[نوع الجلسة]]=$BZ$5),الجدول145[[#This Row],[عدد الأناث]],0)</f>
        <v>0</v>
      </c>
      <c r="AS56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56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56" s="127">
        <f>IF(AND(الجدول145[[#This Row],[نوع الجلسة]]=$BZ$5,الجدول145[[#This Row],[البرنامج]]=$BX$2),1,0)</f>
        <v>0</v>
      </c>
      <c r="AV56" s="127">
        <f>IF(AND(الجدول145[[#This Row],[البرنامج]]="OOSCH",الجدول145[[#This Row],[نوع الجلسة]]=$BZ$5),الجدول145[[#This Row],[عدد الذكور]],0)</f>
        <v>0</v>
      </c>
      <c r="AW56" s="127">
        <f>IF(AND(الجدول145[[#This Row],[البرنامج]]="OOSCH",الجدول145[[#This Row],[نوع الجلسة]]=$BZ$5),الجدول145[[#This Row],[عدد الأناث]],0)</f>
        <v>0</v>
      </c>
      <c r="AX56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56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56" s="121">
        <f>IF(AND(الجدول145[[#This Row],[نوع الجلسة]]=$BZ$6,الجدول145[[#This Row],[البرنامج]]=$BX$3),1,0)</f>
        <v>0</v>
      </c>
      <c r="BA56" s="121">
        <f>IF(AND(الجدول145[[#This Row],[البرنامج]]="PLW",الجدول145[[#This Row],[نوع الجلسة]]=$BZ$6),الجدول145[[#This Row],[عدد الذكور]],0)</f>
        <v>0</v>
      </c>
      <c r="BB56" s="121">
        <f>IF(AND(الجدول145[[#This Row],[البرنامج]]="PLW",الجدول145[[#This Row],[نوع الجلسة]]=$BZ$6),الجدول145[[#This Row],[عدد الأناث]],0)</f>
        <v>0</v>
      </c>
      <c r="BC56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56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56" s="122">
        <f>IF(AND(الجدول145[[#This Row],[نوع الجلسة]]=$BZ$6,الجدول145[[#This Row],[البرنامج]]=$BX$2),1,0)</f>
        <v>0</v>
      </c>
      <c r="BF56" s="122">
        <f>IF(AND(الجدول145[[#This Row],[البرنامج]]="OOSCH",الجدول145[[#This Row],[نوع الجلسة]]=$BZ$6),الجدول145[[#This Row],[عدد الذكور]],0)</f>
        <v>0</v>
      </c>
      <c r="BG56" s="122">
        <f>IF(AND(الجدول145[[#This Row],[البرنامج]]="OOSCH",الجدول145[[#This Row],[نوع الجلسة]]=$BZ$6),الجدول145[[#This Row],[عدد الأناث]],0)</f>
        <v>0</v>
      </c>
      <c r="BH56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56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57" spans="4:61" ht="31.5" customHeight="1" x14ac:dyDescent="0.25">
      <c r="D57" s="9"/>
      <c r="E57" s="9"/>
      <c r="F57" s="9"/>
      <c r="G57" s="9"/>
      <c r="H57" s="9"/>
      <c r="I57" s="9"/>
      <c r="J57" s="9"/>
      <c r="K57" s="9">
        <f>SUM(الجدول145[[#This Row],[عدد الذكور]:[عدد الأناث]])</f>
        <v>0</v>
      </c>
      <c r="L57" s="120">
        <f>IF(AND(الجدول145[[#This Row],[البرنامج]]="PLW",الجدول145[[#This Row],[نوع الجلسة]]=$BZ$2),1,0)</f>
        <v>0</v>
      </c>
      <c r="M57" s="120">
        <f>IF(AND(الجدول145[[#This Row],[نوع الجلسة]]=$BZ$2,الجدول145[[#This Row],[البرنامج]]="PLW"),الجدول145[[#This Row],[عدد الذكور]],0)</f>
        <v>0</v>
      </c>
      <c r="N57" s="120">
        <f>IF(AND(الجدول145[[#This Row],[نوع الجلسة]]=$BZ$2,الجدول145[[#This Row],[البرنامج]]="PLW"),الجدول145[[#This Row],[عدد الأناث]],0)</f>
        <v>0</v>
      </c>
      <c r="O57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57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57" s="123">
        <f>IF(AND(الجدول145[[#This Row],[البرنامج]]="OOSCH",الجدول145[[#This Row],[نوع الجلسة]]=$BZ$2),1,0)</f>
        <v>0</v>
      </c>
      <c r="R57" s="123">
        <f>IF(AND(الجدول145[[#This Row],[البرنامج]]="OOSCH",الجدول145[[#This Row],[نوع الجلسة]]=$BZ$2),الجدول145[[#This Row],[عدد الذكور]],0)</f>
        <v>0</v>
      </c>
      <c r="S57" s="123">
        <f>IF(AND(الجدول145[[#This Row],[البرنامج]]="OOSCH",الجدول145[[#This Row],[نوع الجلسة]]=$BZ$2),الجدول145[[#This Row],[عدد الأناث]],0)</f>
        <v>0</v>
      </c>
      <c r="T57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57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57" s="124">
        <f>IF(AND(الجدول145[[#This Row],[البرنامج]]="PLW",الجدول145[[#This Row],[نوع الجلسة]]="معلومات صحة تغذوية للسيدة الحامل"),1,0)</f>
        <v>0</v>
      </c>
      <c r="W57" s="124">
        <f>IF(AND(الجدول145[[#This Row],[نوع الجلسة]]=$BZ$3,الجدول145[[#This Row],[البرنامج]]="PLW"),الجدول145[[#This Row],[عدد الذكور]],0)</f>
        <v>0</v>
      </c>
      <c r="X57" s="124">
        <f>IF(AND(الجدول145[[#This Row],[نوع الجلسة]]=$BZ$3,الجدول145[[#This Row],[البرنامج]]="PLW"),الجدول145[[#This Row],[عدد الأناث]],0)</f>
        <v>0</v>
      </c>
      <c r="Y57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57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57" s="113">
        <f>IF(AND(الجدول145[[#This Row],[البرنامج]]="PLW",الجدول145[[#This Row],[نوع الجلسة]]=$BZ$4),1,0)</f>
        <v>0</v>
      </c>
      <c r="AB57" s="113">
        <f>IF(AND(الجدول145[[#This Row],[البرنامج]]="PLW",الجدول145[[#This Row],[نوع الجلسة]]=$BZ$4),الجدول145[[#This Row],[عدد الذكور]],0)</f>
        <v>0</v>
      </c>
      <c r="AC57" s="113">
        <f>IF(AND(الجدول145[[#This Row],[البرنامج]]="PLW",الجدول145[[#This Row],[نوع الجلسة]]=$BZ$4),الجدول145[[#This Row],[عدد الأناث]],0)</f>
        <v>0</v>
      </c>
      <c r="AD57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57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57" s="125">
        <f>IF(AND(الجدول145[[#This Row],[البرنامج]]="OOSCH",الجدول145[[#This Row],[نوع الجلسة]]=$BZ$7),1,0)</f>
        <v>0</v>
      </c>
      <c r="AG57" s="125">
        <f>IF(AND(الجدول145[[#This Row],[البرنامج]]="OOSCH",الجدول145[[#This Row],[نوع الجلسة]]=$BZ$7),الجدول145[[#This Row],[عدد الذكور]],0)</f>
        <v>0</v>
      </c>
      <c r="AH57" s="125">
        <f>IF(AND(الجدول145[[#This Row],[البرنامج]]="OOSCH",الجدول145[[#This Row],[نوع الجلسة]]=$BZ$7),الجدول145[[#This Row],[عدد الأناث]],0)</f>
        <v>0</v>
      </c>
      <c r="AI57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57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57" s="126">
        <f>IF(AND(الجدول145[[#This Row],[البرنامج]]="OOSCH",الجدول145[[#This Row],[نوع الجلسة]]=$BZ$4),1,0)</f>
        <v>0</v>
      </c>
      <c r="AL57" s="126">
        <f>IF(AND(الجدول145[[#This Row],[البرنامج]]="OOSCH",الجدول145[[#This Row],[نوع الجلسة]]=$BZ$4),الجدول145[[#This Row],[عدد الذكور]],0)</f>
        <v>0</v>
      </c>
      <c r="AM57" s="126">
        <f>IF(AND(الجدول145[[#This Row],[البرنامج]]="OOSCH",الجدول145[[#This Row],[نوع الجلسة]]=$BZ$4),الجدول145[[#This Row],[عدد الأناث]],0)</f>
        <v>0</v>
      </c>
      <c r="AN57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57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57" s="123">
        <f>IF(AND(الجدول145[[#This Row],[نوع الجلسة]]=$BZ$5,الجدول145[[#This Row],[البرنامج]]=$BX$3),1,0)</f>
        <v>0</v>
      </c>
      <c r="AQ57" s="123">
        <f>IF(AND(الجدول145[[#This Row],[البرنامج]]="PLW",الجدول145[[#This Row],[نوع الجلسة]]=$BZ$5),الجدول145[[#This Row],[عدد الذكور]],0)</f>
        <v>0</v>
      </c>
      <c r="AR57" s="123">
        <f>IF(AND(الجدول145[[#This Row],[البرنامج]]="PLW",الجدول145[[#This Row],[نوع الجلسة]]=$BZ$5),الجدول145[[#This Row],[عدد الأناث]],0)</f>
        <v>0</v>
      </c>
      <c r="AS57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57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57" s="127">
        <f>IF(AND(الجدول145[[#This Row],[نوع الجلسة]]=$BZ$5,الجدول145[[#This Row],[البرنامج]]=$BX$2),1,0)</f>
        <v>0</v>
      </c>
      <c r="AV57" s="127">
        <f>IF(AND(الجدول145[[#This Row],[البرنامج]]="OOSCH",الجدول145[[#This Row],[نوع الجلسة]]=$BZ$5),الجدول145[[#This Row],[عدد الذكور]],0)</f>
        <v>0</v>
      </c>
      <c r="AW57" s="127">
        <f>IF(AND(الجدول145[[#This Row],[البرنامج]]="OOSCH",الجدول145[[#This Row],[نوع الجلسة]]=$BZ$5),الجدول145[[#This Row],[عدد الأناث]],0)</f>
        <v>0</v>
      </c>
      <c r="AX57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57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57" s="121">
        <f>IF(AND(الجدول145[[#This Row],[نوع الجلسة]]=$BZ$6,الجدول145[[#This Row],[البرنامج]]=$BX$3),1,0)</f>
        <v>0</v>
      </c>
      <c r="BA57" s="121">
        <f>IF(AND(الجدول145[[#This Row],[البرنامج]]="PLW",الجدول145[[#This Row],[نوع الجلسة]]=$BZ$6),الجدول145[[#This Row],[عدد الذكور]],0)</f>
        <v>0</v>
      </c>
      <c r="BB57" s="121">
        <f>IF(AND(الجدول145[[#This Row],[البرنامج]]="PLW",الجدول145[[#This Row],[نوع الجلسة]]=$BZ$6),الجدول145[[#This Row],[عدد الأناث]],0)</f>
        <v>0</v>
      </c>
      <c r="BC57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57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57" s="122">
        <f>IF(AND(الجدول145[[#This Row],[نوع الجلسة]]=$BZ$6,الجدول145[[#This Row],[البرنامج]]=$BX$2),1,0)</f>
        <v>0</v>
      </c>
      <c r="BF57" s="122">
        <f>IF(AND(الجدول145[[#This Row],[البرنامج]]="OOSCH",الجدول145[[#This Row],[نوع الجلسة]]=$BZ$6),الجدول145[[#This Row],[عدد الذكور]],0)</f>
        <v>0</v>
      </c>
      <c r="BG57" s="122">
        <f>IF(AND(الجدول145[[#This Row],[البرنامج]]="OOSCH",الجدول145[[#This Row],[نوع الجلسة]]=$BZ$6),الجدول145[[#This Row],[عدد الأناث]],0)</f>
        <v>0</v>
      </c>
      <c r="BH57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57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58" spans="4:61" ht="31.5" customHeight="1" x14ac:dyDescent="0.25">
      <c r="D58" s="9"/>
      <c r="E58" s="9"/>
      <c r="F58" s="9"/>
      <c r="G58" s="9"/>
      <c r="H58" s="9"/>
      <c r="I58" s="9"/>
      <c r="J58" s="9"/>
      <c r="K58" s="9">
        <f>SUM(الجدول145[[#This Row],[عدد الذكور]:[عدد الأناث]])</f>
        <v>0</v>
      </c>
      <c r="L58" s="120">
        <f>IF(AND(الجدول145[[#This Row],[البرنامج]]="PLW",الجدول145[[#This Row],[نوع الجلسة]]=$BZ$2),1,0)</f>
        <v>0</v>
      </c>
      <c r="M58" s="120">
        <f>IF(AND(الجدول145[[#This Row],[نوع الجلسة]]=$BZ$2,الجدول145[[#This Row],[البرنامج]]="PLW"),الجدول145[[#This Row],[عدد الذكور]],0)</f>
        <v>0</v>
      </c>
      <c r="N58" s="120">
        <f>IF(AND(الجدول145[[#This Row],[نوع الجلسة]]=$BZ$2,الجدول145[[#This Row],[البرنامج]]="PLW"),الجدول145[[#This Row],[عدد الأناث]],0)</f>
        <v>0</v>
      </c>
      <c r="O58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58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58" s="123">
        <f>IF(AND(الجدول145[[#This Row],[البرنامج]]="OOSCH",الجدول145[[#This Row],[نوع الجلسة]]=$BZ$2),1,0)</f>
        <v>0</v>
      </c>
      <c r="R58" s="123">
        <f>IF(AND(الجدول145[[#This Row],[البرنامج]]="OOSCH",الجدول145[[#This Row],[نوع الجلسة]]=$BZ$2),الجدول145[[#This Row],[عدد الذكور]],0)</f>
        <v>0</v>
      </c>
      <c r="S58" s="123">
        <f>IF(AND(الجدول145[[#This Row],[البرنامج]]="OOSCH",الجدول145[[#This Row],[نوع الجلسة]]=$BZ$2),الجدول145[[#This Row],[عدد الأناث]],0)</f>
        <v>0</v>
      </c>
      <c r="T58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58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58" s="124">
        <f>IF(AND(الجدول145[[#This Row],[البرنامج]]="PLW",الجدول145[[#This Row],[نوع الجلسة]]="معلومات صحة تغذوية للسيدة الحامل"),1,0)</f>
        <v>0</v>
      </c>
      <c r="W58" s="124">
        <f>IF(AND(الجدول145[[#This Row],[نوع الجلسة]]=$BZ$3,الجدول145[[#This Row],[البرنامج]]="PLW"),الجدول145[[#This Row],[عدد الذكور]],0)</f>
        <v>0</v>
      </c>
      <c r="X58" s="124">
        <f>IF(AND(الجدول145[[#This Row],[نوع الجلسة]]=$BZ$3,الجدول145[[#This Row],[البرنامج]]="PLW"),الجدول145[[#This Row],[عدد الأناث]],0)</f>
        <v>0</v>
      </c>
      <c r="Y58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58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58" s="113">
        <f>IF(AND(الجدول145[[#This Row],[البرنامج]]="PLW",الجدول145[[#This Row],[نوع الجلسة]]=$BZ$4),1,0)</f>
        <v>0</v>
      </c>
      <c r="AB58" s="113">
        <f>IF(AND(الجدول145[[#This Row],[البرنامج]]="PLW",الجدول145[[#This Row],[نوع الجلسة]]=$BZ$4),الجدول145[[#This Row],[عدد الذكور]],0)</f>
        <v>0</v>
      </c>
      <c r="AC58" s="113">
        <f>IF(AND(الجدول145[[#This Row],[البرنامج]]="PLW",الجدول145[[#This Row],[نوع الجلسة]]=$BZ$4),الجدول145[[#This Row],[عدد الأناث]],0)</f>
        <v>0</v>
      </c>
      <c r="AD58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58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58" s="125">
        <f>IF(AND(الجدول145[[#This Row],[البرنامج]]="OOSCH",الجدول145[[#This Row],[نوع الجلسة]]=$BZ$7),1,0)</f>
        <v>0</v>
      </c>
      <c r="AG58" s="125">
        <f>IF(AND(الجدول145[[#This Row],[البرنامج]]="OOSCH",الجدول145[[#This Row],[نوع الجلسة]]=$BZ$7),الجدول145[[#This Row],[عدد الذكور]],0)</f>
        <v>0</v>
      </c>
      <c r="AH58" s="125">
        <f>IF(AND(الجدول145[[#This Row],[البرنامج]]="OOSCH",الجدول145[[#This Row],[نوع الجلسة]]=$BZ$7),الجدول145[[#This Row],[عدد الأناث]],0)</f>
        <v>0</v>
      </c>
      <c r="AI58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58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58" s="126">
        <f>IF(AND(الجدول145[[#This Row],[البرنامج]]="OOSCH",الجدول145[[#This Row],[نوع الجلسة]]=$BZ$4),1,0)</f>
        <v>0</v>
      </c>
      <c r="AL58" s="126">
        <f>IF(AND(الجدول145[[#This Row],[البرنامج]]="OOSCH",الجدول145[[#This Row],[نوع الجلسة]]=$BZ$4),الجدول145[[#This Row],[عدد الذكور]],0)</f>
        <v>0</v>
      </c>
      <c r="AM58" s="126">
        <f>IF(AND(الجدول145[[#This Row],[البرنامج]]="OOSCH",الجدول145[[#This Row],[نوع الجلسة]]=$BZ$4),الجدول145[[#This Row],[عدد الأناث]],0)</f>
        <v>0</v>
      </c>
      <c r="AN58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58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58" s="123">
        <f>IF(AND(الجدول145[[#This Row],[نوع الجلسة]]=$BZ$5,الجدول145[[#This Row],[البرنامج]]=$BX$3),1,0)</f>
        <v>0</v>
      </c>
      <c r="AQ58" s="123">
        <f>IF(AND(الجدول145[[#This Row],[البرنامج]]="PLW",الجدول145[[#This Row],[نوع الجلسة]]=$BZ$5),الجدول145[[#This Row],[عدد الذكور]],0)</f>
        <v>0</v>
      </c>
      <c r="AR58" s="123">
        <f>IF(AND(الجدول145[[#This Row],[البرنامج]]="PLW",الجدول145[[#This Row],[نوع الجلسة]]=$BZ$5),الجدول145[[#This Row],[عدد الأناث]],0)</f>
        <v>0</v>
      </c>
      <c r="AS58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58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58" s="127">
        <f>IF(AND(الجدول145[[#This Row],[نوع الجلسة]]=$BZ$5,الجدول145[[#This Row],[البرنامج]]=$BX$2),1,0)</f>
        <v>0</v>
      </c>
      <c r="AV58" s="127">
        <f>IF(AND(الجدول145[[#This Row],[البرنامج]]="OOSCH",الجدول145[[#This Row],[نوع الجلسة]]=$BZ$5),الجدول145[[#This Row],[عدد الذكور]],0)</f>
        <v>0</v>
      </c>
      <c r="AW58" s="127">
        <f>IF(AND(الجدول145[[#This Row],[البرنامج]]="OOSCH",الجدول145[[#This Row],[نوع الجلسة]]=$BZ$5),الجدول145[[#This Row],[عدد الأناث]],0)</f>
        <v>0</v>
      </c>
      <c r="AX58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58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58" s="121">
        <f>IF(AND(الجدول145[[#This Row],[نوع الجلسة]]=$BZ$6,الجدول145[[#This Row],[البرنامج]]=$BX$3),1,0)</f>
        <v>0</v>
      </c>
      <c r="BA58" s="121">
        <f>IF(AND(الجدول145[[#This Row],[البرنامج]]="PLW",الجدول145[[#This Row],[نوع الجلسة]]=$BZ$6),الجدول145[[#This Row],[عدد الذكور]],0)</f>
        <v>0</v>
      </c>
      <c r="BB58" s="121">
        <f>IF(AND(الجدول145[[#This Row],[البرنامج]]="PLW",الجدول145[[#This Row],[نوع الجلسة]]=$BZ$6),الجدول145[[#This Row],[عدد الأناث]],0)</f>
        <v>0</v>
      </c>
      <c r="BC58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58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58" s="122">
        <f>IF(AND(الجدول145[[#This Row],[نوع الجلسة]]=$BZ$6,الجدول145[[#This Row],[البرنامج]]=$BX$2),1,0)</f>
        <v>0</v>
      </c>
      <c r="BF58" s="122">
        <f>IF(AND(الجدول145[[#This Row],[البرنامج]]="OOSCH",الجدول145[[#This Row],[نوع الجلسة]]=$BZ$6),الجدول145[[#This Row],[عدد الذكور]],0)</f>
        <v>0</v>
      </c>
      <c r="BG58" s="122">
        <f>IF(AND(الجدول145[[#This Row],[البرنامج]]="OOSCH",الجدول145[[#This Row],[نوع الجلسة]]=$BZ$6),الجدول145[[#This Row],[عدد الأناث]],0)</f>
        <v>0</v>
      </c>
      <c r="BH58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58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59" spans="4:61" ht="31.5" customHeight="1" x14ac:dyDescent="0.25">
      <c r="D59" s="9"/>
      <c r="E59" s="9"/>
      <c r="F59" s="9"/>
      <c r="G59" s="9"/>
      <c r="H59" s="9"/>
      <c r="I59" s="9"/>
      <c r="J59" s="9"/>
      <c r="K59" s="9">
        <f>SUM(الجدول145[[#This Row],[عدد الذكور]:[عدد الأناث]])</f>
        <v>0</v>
      </c>
      <c r="L59" s="120">
        <f>IF(AND(الجدول145[[#This Row],[البرنامج]]="PLW",الجدول145[[#This Row],[نوع الجلسة]]=$BZ$2),1,0)</f>
        <v>0</v>
      </c>
      <c r="M59" s="120">
        <f>IF(AND(الجدول145[[#This Row],[نوع الجلسة]]=$BZ$2,الجدول145[[#This Row],[البرنامج]]="PLW"),الجدول145[[#This Row],[عدد الذكور]],0)</f>
        <v>0</v>
      </c>
      <c r="N59" s="120">
        <f>IF(AND(الجدول145[[#This Row],[نوع الجلسة]]=$BZ$2,الجدول145[[#This Row],[البرنامج]]="PLW"),الجدول145[[#This Row],[عدد الأناث]],0)</f>
        <v>0</v>
      </c>
      <c r="O59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59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59" s="123">
        <f>IF(AND(الجدول145[[#This Row],[البرنامج]]="OOSCH",الجدول145[[#This Row],[نوع الجلسة]]=$BZ$2),1,0)</f>
        <v>0</v>
      </c>
      <c r="R59" s="123">
        <f>IF(AND(الجدول145[[#This Row],[البرنامج]]="OOSCH",الجدول145[[#This Row],[نوع الجلسة]]=$BZ$2),الجدول145[[#This Row],[عدد الذكور]],0)</f>
        <v>0</v>
      </c>
      <c r="S59" s="123">
        <f>IF(AND(الجدول145[[#This Row],[البرنامج]]="OOSCH",الجدول145[[#This Row],[نوع الجلسة]]=$BZ$2),الجدول145[[#This Row],[عدد الأناث]],0)</f>
        <v>0</v>
      </c>
      <c r="T59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59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59" s="124">
        <f>IF(AND(الجدول145[[#This Row],[البرنامج]]="PLW",الجدول145[[#This Row],[نوع الجلسة]]="معلومات صحة تغذوية للسيدة الحامل"),1,0)</f>
        <v>0</v>
      </c>
      <c r="W59" s="124">
        <f>IF(AND(الجدول145[[#This Row],[نوع الجلسة]]=$BZ$3,الجدول145[[#This Row],[البرنامج]]="PLW"),الجدول145[[#This Row],[عدد الذكور]],0)</f>
        <v>0</v>
      </c>
      <c r="X59" s="124">
        <f>IF(AND(الجدول145[[#This Row],[نوع الجلسة]]=$BZ$3,الجدول145[[#This Row],[البرنامج]]="PLW"),الجدول145[[#This Row],[عدد الأناث]],0)</f>
        <v>0</v>
      </c>
      <c r="Y59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59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59" s="113">
        <f>IF(AND(الجدول145[[#This Row],[البرنامج]]="PLW",الجدول145[[#This Row],[نوع الجلسة]]=$BZ$4),1,0)</f>
        <v>0</v>
      </c>
      <c r="AB59" s="113">
        <f>IF(AND(الجدول145[[#This Row],[البرنامج]]="PLW",الجدول145[[#This Row],[نوع الجلسة]]=$BZ$4),الجدول145[[#This Row],[عدد الذكور]],0)</f>
        <v>0</v>
      </c>
      <c r="AC59" s="113">
        <f>IF(AND(الجدول145[[#This Row],[البرنامج]]="PLW",الجدول145[[#This Row],[نوع الجلسة]]=$BZ$4),الجدول145[[#This Row],[عدد الأناث]],0)</f>
        <v>0</v>
      </c>
      <c r="AD59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59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59" s="125">
        <f>IF(AND(الجدول145[[#This Row],[البرنامج]]="OOSCH",الجدول145[[#This Row],[نوع الجلسة]]=$BZ$7),1,0)</f>
        <v>0</v>
      </c>
      <c r="AG59" s="125">
        <f>IF(AND(الجدول145[[#This Row],[البرنامج]]="OOSCH",الجدول145[[#This Row],[نوع الجلسة]]=$BZ$7),الجدول145[[#This Row],[عدد الذكور]],0)</f>
        <v>0</v>
      </c>
      <c r="AH59" s="125">
        <f>IF(AND(الجدول145[[#This Row],[البرنامج]]="OOSCH",الجدول145[[#This Row],[نوع الجلسة]]=$BZ$7),الجدول145[[#This Row],[عدد الأناث]],0)</f>
        <v>0</v>
      </c>
      <c r="AI59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59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59" s="126">
        <f>IF(AND(الجدول145[[#This Row],[البرنامج]]="OOSCH",الجدول145[[#This Row],[نوع الجلسة]]=$BZ$4),1,0)</f>
        <v>0</v>
      </c>
      <c r="AL59" s="126">
        <f>IF(AND(الجدول145[[#This Row],[البرنامج]]="OOSCH",الجدول145[[#This Row],[نوع الجلسة]]=$BZ$4),الجدول145[[#This Row],[عدد الذكور]],0)</f>
        <v>0</v>
      </c>
      <c r="AM59" s="126">
        <f>IF(AND(الجدول145[[#This Row],[البرنامج]]="OOSCH",الجدول145[[#This Row],[نوع الجلسة]]=$BZ$4),الجدول145[[#This Row],[عدد الأناث]],0)</f>
        <v>0</v>
      </c>
      <c r="AN59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59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59" s="123">
        <f>IF(AND(الجدول145[[#This Row],[نوع الجلسة]]=$BZ$5,الجدول145[[#This Row],[البرنامج]]=$BX$3),1,0)</f>
        <v>0</v>
      </c>
      <c r="AQ59" s="123">
        <f>IF(AND(الجدول145[[#This Row],[البرنامج]]="PLW",الجدول145[[#This Row],[نوع الجلسة]]=$BZ$5),الجدول145[[#This Row],[عدد الذكور]],0)</f>
        <v>0</v>
      </c>
      <c r="AR59" s="123">
        <f>IF(AND(الجدول145[[#This Row],[البرنامج]]="PLW",الجدول145[[#This Row],[نوع الجلسة]]=$BZ$5),الجدول145[[#This Row],[عدد الأناث]],0)</f>
        <v>0</v>
      </c>
      <c r="AS59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59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59" s="127">
        <f>IF(AND(الجدول145[[#This Row],[نوع الجلسة]]=$BZ$5,الجدول145[[#This Row],[البرنامج]]=$BX$2),1,0)</f>
        <v>0</v>
      </c>
      <c r="AV59" s="127">
        <f>IF(AND(الجدول145[[#This Row],[البرنامج]]="OOSCH",الجدول145[[#This Row],[نوع الجلسة]]=$BZ$5),الجدول145[[#This Row],[عدد الذكور]],0)</f>
        <v>0</v>
      </c>
      <c r="AW59" s="127">
        <f>IF(AND(الجدول145[[#This Row],[البرنامج]]="OOSCH",الجدول145[[#This Row],[نوع الجلسة]]=$BZ$5),الجدول145[[#This Row],[عدد الأناث]],0)</f>
        <v>0</v>
      </c>
      <c r="AX59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59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59" s="121">
        <f>IF(AND(الجدول145[[#This Row],[نوع الجلسة]]=$BZ$6,الجدول145[[#This Row],[البرنامج]]=$BX$3),1,0)</f>
        <v>0</v>
      </c>
      <c r="BA59" s="121">
        <f>IF(AND(الجدول145[[#This Row],[البرنامج]]="PLW",الجدول145[[#This Row],[نوع الجلسة]]=$BZ$6),الجدول145[[#This Row],[عدد الذكور]],0)</f>
        <v>0</v>
      </c>
      <c r="BB59" s="121">
        <f>IF(AND(الجدول145[[#This Row],[البرنامج]]="PLW",الجدول145[[#This Row],[نوع الجلسة]]=$BZ$6),الجدول145[[#This Row],[عدد الأناث]],0)</f>
        <v>0</v>
      </c>
      <c r="BC59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59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59" s="122">
        <f>IF(AND(الجدول145[[#This Row],[نوع الجلسة]]=$BZ$6,الجدول145[[#This Row],[البرنامج]]=$BX$2),1,0)</f>
        <v>0</v>
      </c>
      <c r="BF59" s="122">
        <f>IF(AND(الجدول145[[#This Row],[البرنامج]]="OOSCH",الجدول145[[#This Row],[نوع الجلسة]]=$BZ$6),الجدول145[[#This Row],[عدد الذكور]],0)</f>
        <v>0</v>
      </c>
      <c r="BG59" s="122">
        <f>IF(AND(الجدول145[[#This Row],[البرنامج]]="OOSCH",الجدول145[[#This Row],[نوع الجلسة]]=$BZ$6),الجدول145[[#This Row],[عدد الأناث]],0)</f>
        <v>0</v>
      </c>
      <c r="BH59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59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60" spans="4:61" ht="31.5" customHeight="1" x14ac:dyDescent="0.25">
      <c r="D60" s="9"/>
      <c r="E60" s="9"/>
      <c r="F60" s="9"/>
      <c r="G60" s="9"/>
      <c r="H60" s="9"/>
      <c r="I60" s="9"/>
      <c r="J60" s="9"/>
      <c r="K60" s="9">
        <f>SUM(الجدول145[[#This Row],[عدد الذكور]:[عدد الأناث]])</f>
        <v>0</v>
      </c>
      <c r="L60" s="120">
        <f>IF(AND(الجدول145[[#This Row],[البرنامج]]="PLW",الجدول145[[#This Row],[نوع الجلسة]]=$BZ$2),1,0)</f>
        <v>0</v>
      </c>
      <c r="M60" s="120">
        <f>IF(AND(الجدول145[[#This Row],[نوع الجلسة]]=$BZ$2,الجدول145[[#This Row],[البرنامج]]="PLW"),الجدول145[[#This Row],[عدد الذكور]],0)</f>
        <v>0</v>
      </c>
      <c r="N60" s="120">
        <f>IF(AND(الجدول145[[#This Row],[نوع الجلسة]]=$BZ$2,الجدول145[[#This Row],[البرنامج]]="PLW"),الجدول145[[#This Row],[عدد الأناث]],0)</f>
        <v>0</v>
      </c>
      <c r="O60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60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60" s="123">
        <f>IF(AND(الجدول145[[#This Row],[البرنامج]]="OOSCH",الجدول145[[#This Row],[نوع الجلسة]]=$BZ$2),1,0)</f>
        <v>0</v>
      </c>
      <c r="R60" s="123">
        <f>IF(AND(الجدول145[[#This Row],[البرنامج]]="OOSCH",الجدول145[[#This Row],[نوع الجلسة]]=$BZ$2),الجدول145[[#This Row],[عدد الذكور]],0)</f>
        <v>0</v>
      </c>
      <c r="S60" s="123">
        <f>IF(AND(الجدول145[[#This Row],[البرنامج]]="OOSCH",الجدول145[[#This Row],[نوع الجلسة]]=$BZ$2),الجدول145[[#This Row],[عدد الأناث]],0)</f>
        <v>0</v>
      </c>
      <c r="T60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60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60" s="124">
        <f>IF(AND(الجدول145[[#This Row],[البرنامج]]="PLW",الجدول145[[#This Row],[نوع الجلسة]]="معلومات صحة تغذوية للسيدة الحامل"),1,0)</f>
        <v>0</v>
      </c>
      <c r="W60" s="124">
        <f>IF(AND(الجدول145[[#This Row],[نوع الجلسة]]=$BZ$3,الجدول145[[#This Row],[البرنامج]]="PLW"),الجدول145[[#This Row],[عدد الذكور]],0)</f>
        <v>0</v>
      </c>
      <c r="X60" s="124">
        <f>IF(AND(الجدول145[[#This Row],[نوع الجلسة]]=$BZ$3,الجدول145[[#This Row],[البرنامج]]="PLW"),الجدول145[[#This Row],[عدد الأناث]],0)</f>
        <v>0</v>
      </c>
      <c r="Y60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60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60" s="113">
        <f>IF(AND(الجدول145[[#This Row],[البرنامج]]="PLW",الجدول145[[#This Row],[نوع الجلسة]]=$BZ$4),1,0)</f>
        <v>0</v>
      </c>
      <c r="AB60" s="113">
        <f>IF(AND(الجدول145[[#This Row],[البرنامج]]="PLW",الجدول145[[#This Row],[نوع الجلسة]]=$BZ$4),الجدول145[[#This Row],[عدد الذكور]],0)</f>
        <v>0</v>
      </c>
      <c r="AC60" s="113">
        <f>IF(AND(الجدول145[[#This Row],[البرنامج]]="PLW",الجدول145[[#This Row],[نوع الجلسة]]=$BZ$4),الجدول145[[#This Row],[عدد الأناث]],0)</f>
        <v>0</v>
      </c>
      <c r="AD60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60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60" s="125">
        <f>IF(AND(الجدول145[[#This Row],[البرنامج]]="OOSCH",الجدول145[[#This Row],[نوع الجلسة]]=$BZ$7),1,0)</f>
        <v>0</v>
      </c>
      <c r="AG60" s="125">
        <f>IF(AND(الجدول145[[#This Row],[البرنامج]]="OOSCH",الجدول145[[#This Row],[نوع الجلسة]]=$BZ$7),الجدول145[[#This Row],[عدد الذكور]],0)</f>
        <v>0</v>
      </c>
      <c r="AH60" s="125">
        <f>IF(AND(الجدول145[[#This Row],[البرنامج]]="OOSCH",الجدول145[[#This Row],[نوع الجلسة]]=$BZ$7),الجدول145[[#This Row],[عدد الأناث]],0)</f>
        <v>0</v>
      </c>
      <c r="AI60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60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60" s="126">
        <f>IF(AND(الجدول145[[#This Row],[البرنامج]]="OOSCH",الجدول145[[#This Row],[نوع الجلسة]]=$BZ$4),1,0)</f>
        <v>0</v>
      </c>
      <c r="AL60" s="126">
        <f>IF(AND(الجدول145[[#This Row],[البرنامج]]="OOSCH",الجدول145[[#This Row],[نوع الجلسة]]=$BZ$4),الجدول145[[#This Row],[عدد الذكور]],0)</f>
        <v>0</v>
      </c>
      <c r="AM60" s="126">
        <f>IF(AND(الجدول145[[#This Row],[البرنامج]]="OOSCH",الجدول145[[#This Row],[نوع الجلسة]]=$BZ$4),الجدول145[[#This Row],[عدد الأناث]],0)</f>
        <v>0</v>
      </c>
      <c r="AN60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60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60" s="123">
        <f>IF(AND(الجدول145[[#This Row],[نوع الجلسة]]=$BZ$5,الجدول145[[#This Row],[البرنامج]]=$BX$3),1,0)</f>
        <v>0</v>
      </c>
      <c r="AQ60" s="123">
        <f>IF(AND(الجدول145[[#This Row],[البرنامج]]="PLW",الجدول145[[#This Row],[نوع الجلسة]]=$BZ$5),الجدول145[[#This Row],[عدد الذكور]],0)</f>
        <v>0</v>
      </c>
      <c r="AR60" s="123">
        <f>IF(AND(الجدول145[[#This Row],[البرنامج]]="PLW",الجدول145[[#This Row],[نوع الجلسة]]=$BZ$5),الجدول145[[#This Row],[عدد الأناث]],0)</f>
        <v>0</v>
      </c>
      <c r="AS60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60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60" s="127">
        <f>IF(AND(الجدول145[[#This Row],[نوع الجلسة]]=$BZ$5,الجدول145[[#This Row],[البرنامج]]=$BX$2),1,0)</f>
        <v>0</v>
      </c>
      <c r="AV60" s="127">
        <f>IF(AND(الجدول145[[#This Row],[البرنامج]]="OOSCH",الجدول145[[#This Row],[نوع الجلسة]]=$BZ$5),الجدول145[[#This Row],[عدد الذكور]],0)</f>
        <v>0</v>
      </c>
      <c r="AW60" s="127">
        <f>IF(AND(الجدول145[[#This Row],[البرنامج]]="OOSCH",الجدول145[[#This Row],[نوع الجلسة]]=$BZ$5),الجدول145[[#This Row],[عدد الأناث]],0)</f>
        <v>0</v>
      </c>
      <c r="AX60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60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60" s="121">
        <f>IF(AND(الجدول145[[#This Row],[نوع الجلسة]]=$BZ$6,الجدول145[[#This Row],[البرنامج]]=$BX$3),1,0)</f>
        <v>0</v>
      </c>
      <c r="BA60" s="121">
        <f>IF(AND(الجدول145[[#This Row],[البرنامج]]="PLW",الجدول145[[#This Row],[نوع الجلسة]]=$BZ$6),الجدول145[[#This Row],[عدد الذكور]],0)</f>
        <v>0</v>
      </c>
      <c r="BB60" s="121">
        <f>IF(AND(الجدول145[[#This Row],[البرنامج]]="PLW",الجدول145[[#This Row],[نوع الجلسة]]=$BZ$6),الجدول145[[#This Row],[عدد الأناث]],0)</f>
        <v>0</v>
      </c>
      <c r="BC60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60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60" s="122">
        <f>IF(AND(الجدول145[[#This Row],[نوع الجلسة]]=$BZ$6,الجدول145[[#This Row],[البرنامج]]=$BX$2),1,0)</f>
        <v>0</v>
      </c>
      <c r="BF60" s="122">
        <f>IF(AND(الجدول145[[#This Row],[البرنامج]]="OOSCH",الجدول145[[#This Row],[نوع الجلسة]]=$BZ$6),الجدول145[[#This Row],[عدد الذكور]],0)</f>
        <v>0</v>
      </c>
      <c r="BG60" s="122">
        <f>IF(AND(الجدول145[[#This Row],[البرنامج]]="OOSCH",الجدول145[[#This Row],[نوع الجلسة]]=$BZ$6),الجدول145[[#This Row],[عدد الأناث]],0)</f>
        <v>0</v>
      </c>
      <c r="BH60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60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61" spans="4:61" ht="31.5" customHeight="1" x14ac:dyDescent="0.25">
      <c r="D61" s="9"/>
      <c r="E61" s="9"/>
      <c r="F61" s="9"/>
      <c r="G61" s="9"/>
      <c r="H61" s="9"/>
      <c r="I61" s="9"/>
      <c r="J61" s="9"/>
      <c r="K61" s="9">
        <f>SUM(الجدول145[[#This Row],[عدد الذكور]:[عدد الأناث]])</f>
        <v>0</v>
      </c>
      <c r="L61" s="120">
        <f>IF(AND(الجدول145[[#This Row],[البرنامج]]="PLW",الجدول145[[#This Row],[نوع الجلسة]]=$BZ$2),1,0)</f>
        <v>0</v>
      </c>
      <c r="M61" s="120">
        <f>IF(AND(الجدول145[[#This Row],[نوع الجلسة]]=$BZ$2,الجدول145[[#This Row],[البرنامج]]="PLW"),الجدول145[[#This Row],[عدد الذكور]],0)</f>
        <v>0</v>
      </c>
      <c r="N61" s="120">
        <f>IF(AND(الجدول145[[#This Row],[نوع الجلسة]]=$BZ$2,الجدول145[[#This Row],[البرنامج]]="PLW"),الجدول145[[#This Row],[عدد الأناث]],0)</f>
        <v>0</v>
      </c>
      <c r="O61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61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61" s="123">
        <f>IF(AND(الجدول145[[#This Row],[البرنامج]]="OOSCH",الجدول145[[#This Row],[نوع الجلسة]]=$BZ$2),1,0)</f>
        <v>0</v>
      </c>
      <c r="R61" s="123">
        <f>IF(AND(الجدول145[[#This Row],[البرنامج]]="OOSCH",الجدول145[[#This Row],[نوع الجلسة]]=$BZ$2),الجدول145[[#This Row],[عدد الذكور]],0)</f>
        <v>0</v>
      </c>
      <c r="S61" s="123">
        <f>IF(AND(الجدول145[[#This Row],[البرنامج]]="OOSCH",الجدول145[[#This Row],[نوع الجلسة]]=$BZ$2),الجدول145[[#This Row],[عدد الأناث]],0)</f>
        <v>0</v>
      </c>
      <c r="T61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61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61" s="124">
        <f>IF(AND(الجدول145[[#This Row],[البرنامج]]="PLW",الجدول145[[#This Row],[نوع الجلسة]]="معلومات صحة تغذوية للسيدة الحامل"),1,0)</f>
        <v>0</v>
      </c>
      <c r="W61" s="124">
        <f>IF(AND(الجدول145[[#This Row],[نوع الجلسة]]=$BZ$3,الجدول145[[#This Row],[البرنامج]]="PLW"),الجدول145[[#This Row],[عدد الذكور]],0)</f>
        <v>0</v>
      </c>
      <c r="X61" s="124">
        <f>IF(AND(الجدول145[[#This Row],[نوع الجلسة]]=$BZ$3,الجدول145[[#This Row],[البرنامج]]="PLW"),الجدول145[[#This Row],[عدد الأناث]],0)</f>
        <v>0</v>
      </c>
      <c r="Y61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61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61" s="113">
        <f>IF(AND(الجدول145[[#This Row],[البرنامج]]="PLW",الجدول145[[#This Row],[نوع الجلسة]]=$BZ$4),1,0)</f>
        <v>0</v>
      </c>
      <c r="AB61" s="113">
        <f>IF(AND(الجدول145[[#This Row],[البرنامج]]="PLW",الجدول145[[#This Row],[نوع الجلسة]]=$BZ$4),الجدول145[[#This Row],[عدد الذكور]],0)</f>
        <v>0</v>
      </c>
      <c r="AC61" s="113">
        <f>IF(AND(الجدول145[[#This Row],[البرنامج]]="PLW",الجدول145[[#This Row],[نوع الجلسة]]=$BZ$4),الجدول145[[#This Row],[عدد الأناث]],0)</f>
        <v>0</v>
      </c>
      <c r="AD61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61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61" s="125">
        <f>IF(AND(الجدول145[[#This Row],[البرنامج]]="OOSCH",الجدول145[[#This Row],[نوع الجلسة]]=$BZ$7),1,0)</f>
        <v>0</v>
      </c>
      <c r="AG61" s="125">
        <f>IF(AND(الجدول145[[#This Row],[البرنامج]]="OOSCH",الجدول145[[#This Row],[نوع الجلسة]]=$BZ$7),الجدول145[[#This Row],[عدد الذكور]],0)</f>
        <v>0</v>
      </c>
      <c r="AH61" s="125">
        <f>IF(AND(الجدول145[[#This Row],[البرنامج]]="OOSCH",الجدول145[[#This Row],[نوع الجلسة]]=$BZ$7),الجدول145[[#This Row],[عدد الأناث]],0)</f>
        <v>0</v>
      </c>
      <c r="AI61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61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61" s="126">
        <f>IF(AND(الجدول145[[#This Row],[البرنامج]]="OOSCH",الجدول145[[#This Row],[نوع الجلسة]]=$BZ$4),1,0)</f>
        <v>0</v>
      </c>
      <c r="AL61" s="126">
        <f>IF(AND(الجدول145[[#This Row],[البرنامج]]="OOSCH",الجدول145[[#This Row],[نوع الجلسة]]=$BZ$4),الجدول145[[#This Row],[عدد الذكور]],0)</f>
        <v>0</v>
      </c>
      <c r="AM61" s="126">
        <f>IF(AND(الجدول145[[#This Row],[البرنامج]]="OOSCH",الجدول145[[#This Row],[نوع الجلسة]]=$BZ$4),الجدول145[[#This Row],[عدد الأناث]],0)</f>
        <v>0</v>
      </c>
      <c r="AN61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61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61" s="123">
        <f>IF(AND(الجدول145[[#This Row],[نوع الجلسة]]=$BZ$5,الجدول145[[#This Row],[البرنامج]]=$BX$3),1,0)</f>
        <v>0</v>
      </c>
      <c r="AQ61" s="123">
        <f>IF(AND(الجدول145[[#This Row],[البرنامج]]="PLW",الجدول145[[#This Row],[نوع الجلسة]]=$BZ$5),الجدول145[[#This Row],[عدد الذكور]],0)</f>
        <v>0</v>
      </c>
      <c r="AR61" s="123">
        <f>IF(AND(الجدول145[[#This Row],[البرنامج]]="PLW",الجدول145[[#This Row],[نوع الجلسة]]=$BZ$5),الجدول145[[#This Row],[عدد الأناث]],0)</f>
        <v>0</v>
      </c>
      <c r="AS61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61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61" s="127">
        <f>IF(AND(الجدول145[[#This Row],[نوع الجلسة]]=$BZ$5,الجدول145[[#This Row],[البرنامج]]=$BX$2),1,0)</f>
        <v>0</v>
      </c>
      <c r="AV61" s="127">
        <f>IF(AND(الجدول145[[#This Row],[البرنامج]]="OOSCH",الجدول145[[#This Row],[نوع الجلسة]]=$BZ$5),الجدول145[[#This Row],[عدد الذكور]],0)</f>
        <v>0</v>
      </c>
      <c r="AW61" s="127">
        <f>IF(AND(الجدول145[[#This Row],[البرنامج]]="OOSCH",الجدول145[[#This Row],[نوع الجلسة]]=$BZ$5),الجدول145[[#This Row],[عدد الأناث]],0)</f>
        <v>0</v>
      </c>
      <c r="AX61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61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61" s="121">
        <f>IF(AND(الجدول145[[#This Row],[نوع الجلسة]]=$BZ$6,الجدول145[[#This Row],[البرنامج]]=$BX$3),1,0)</f>
        <v>0</v>
      </c>
      <c r="BA61" s="121">
        <f>IF(AND(الجدول145[[#This Row],[البرنامج]]="PLW",الجدول145[[#This Row],[نوع الجلسة]]=$BZ$6),الجدول145[[#This Row],[عدد الذكور]],0)</f>
        <v>0</v>
      </c>
      <c r="BB61" s="121">
        <f>IF(AND(الجدول145[[#This Row],[البرنامج]]="PLW",الجدول145[[#This Row],[نوع الجلسة]]=$BZ$6),الجدول145[[#This Row],[عدد الأناث]],0)</f>
        <v>0</v>
      </c>
      <c r="BC61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61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61" s="122">
        <f>IF(AND(الجدول145[[#This Row],[نوع الجلسة]]=$BZ$6,الجدول145[[#This Row],[البرنامج]]=$BX$2),1,0)</f>
        <v>0</v>
      </c>
      <c r="BF61" s="122">
        <f>IF(AND(الجدول145[[#This Row],[البرنامج]]="OOSCH",الجدول145[[#This Row],[نوع الجلسة]]=$BZ$6),الجدول145[[#This Row],[عدد الذكور]],0)</f>
        <v>0</v>
      </c>
      <c r="BG61" s="122">
        <f>IF(AND(الجدول145[[#This Row],[البرنامج]]="OOSCH",الجدول145[[#This Row],[نوع الجلسة]]=$BZ$6),الجدول145[[#This Row],[عدد الأناث]],0)</f>
        <v>0</v>
      </c>
      <c r="BH61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61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62" spans="4:61" ht="31.5" customHeight="1" x14ac:dyDescent="0.25">
      <c r="D62" s="9"/>
      <c r="E62" s="9"/>
      <c r="F62" s="9"/>
      <c r="G62" s="9"/>
      <c r="H62" s="9"/>
      <c r="I62" s="9"/>
      <c r="J62" s="9"/>
      <c r="K62" s="9">
        <f>SUM(الجدول145[[#This Row],[عدد الذكور]:[عدد الأناث]])</f>
        <v>0</v>
      </c>
      <c r="L62" s="120">
        <f>IF(AND(الجدول145[[#This Row],[البرنامج]]="PLW",الجدول145[[#This Row],[نوع الجلسة]]=$BZ$2),1,0)</f>
        <v>0</v>
      </c>
      <c r="M62" s="120">
        <f>IF(AND(الجدول145[[#This Row],[نوع الجلسة]]=$BZ$2,الجدول145[[#This Row],[البرنامج]]="PLW"),الجدول145[[#This Row],[عدد الذكور]],0)</f>
        <v>0</v>
      </c>
      <c r="N62" s="120">
        <f>IF(AND(الجدول145[[#This Row],[نوع الجلسة]]=$BZ$2,الجدول145[[#This Row],[البرنامج]]="PLW"),الجدول145[[#This Row],[عدد الأناث]],0)</f>
        <v>0</v>
      </c>
      <c r="O62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62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62" s="123">
        <f>IF(AND(الجدول145[[#This Row],[البرنامج]]="OOSCH",الجدول145[[#This Row],[نوع الجلسة]]=$BZ$2),1,0)</f>
        <v>0</v>
      </c>
      <c r="R62" s="123">
        <f>IF(AND(الجدول145[[#This Row],[البرنامج]]="OOSCH",الجدول145[[#This Row],[نوع الجلسة]]=$BZ$2),الجدول145[[#This Row],[عدد الذكور]],0)</f>
        <v>0</v>
      </c>
      <c r="S62" s="123">
        <f>IF(AND(الجدول145[[#This Row],[البرنامج]]="OOSCH",الجدول145[[#This Row],[نوع الجلسة]]=$BZ$2),الجدول145[[#This Row],[عدد الأناث]],0)</f>
        <v>0</v>
      </c>
      <c r="T62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62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62" s="124">
        <f>IF(AND(الجدول145[[#This Row],[البرنامج]]="PLW",الجدول145[[#This Row],[نوع الجلسة]]="معلومات صحة تغذوية للسيدة الحامل"),1,0)</f>
        <v>0</v>
      </c>
      <c r="W62" s="124">
        <f>IF(AND(الجدول145[[#This Row],[نوع الجلسة]]=$BZ$3,الجدول145[[#This Row],[البرنامج]]="PLW"),الجدول145[[#This Row],[عدد الذكور]],0)</f>
        <v>0</v>
      </c>
      <c r="X62" s="124">
        <f>IF(AND(الجدول145[[#This Row],[نوع الجلسة]]=$BZ$3,الجدول145[[#This Row],[البرنامج]]="PLW"),الجدول145[[#This Row],[عدد الأناث]],0)</f>
        <v>0</v>
      </c>
      <c r="Y62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62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62" s="113">
        <f>IF(AND(الجدول145[[#This Row],[البرنامج]]="PLW",الجدول145[[#This Row],[نوع الجلسة]]=$BZ$4),1,0)</f>
        <v>0</v>
      </c>
      <c r="AB62" s="113">
        <f>IF(AND(الجدول145[[#This Row],[البرنامج]]="PLW",الجدول145[[#This Row],[نوع الجلسة]]=$BZ$4),الجدول145[[#This Row],[عدد الذكور]],0)</f>
        <v>0</v>
      </c>
      <c r="AC62" s="113">
        <f>IF(AND(الجدول145[[#This Row],[البرنامج]]="PLW",الجدول145[[#This Row],[نوع الجلسة]]=$BZ$4),الجدول145[[#This Row],[عدد الأناث]],0)</f>
        <v>0</v>
      </c>
      <c r="AD62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62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62" s="125">
        <f>IF(AND(الجدول145[[#This Row],[البرنامج]]="OOSCH",الجدول145[[#This Row],[نوع الجلسة]]=$BZ$7),1,0)</f>
        <v>0</v>
      </c>
      <c r="AG62" s="125">
        <f>IF(AND(الجدول145[[#This Row],[البرنامج]]="OOSCH",الجدول145[[#This Row],[نوع الجلسة]]=$BZ$7),الجدول145[[#This Row],[عدد الذكور]],0)</f>
        <v>0</v>
      </c>
      <c r="AH62" s="125">
        <f>IF(AND(الجدول145[[#This Row],[البرنامج]]="OOSCH",الجدول145[[#This Row],[نوع الجلسة]]=$BZ$7),الجدول145[[#This Row],[عدد الأناث]],0)</f>
        <v>0</v>
      </c>
      <c r="AI62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62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62" s="126">
        <f>IF(AND(الجدول145[[#This Row],[البرنامج]]="OOSCH",الجدول145[[#This Row],[نوع الجلسة]]=$BZ$4),1,0)</f>
        <v>0</v>
      </c>
      <c r="AL62" s="126">
        <f>IF(AND(الجدول145[[#This Row],[البرنامج]]="OOSCH",الجدول145[[#This Row],[نوع الجلسة]]=$BZ$4),الجدول145[[#This Row],[عدد الذكور]],0)</f>
        <v>0</v>
      </c>
      <c r="AM62" s="126">
        <f>IF(AND(الجدول145[[#This Row],[البرنامج]]="OOSCH",الجدول145[[#This Row],[نوع الجلسة]]=$BZ$4),الجدول145[[#This Row],[عدد الأناث]],0)</f>
        <v>0</v>
      </c>
      <c r="AN62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62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62" s="123">
        <f>IF(AND(الجدول145[[#This Row],[نوع الجلسة]]=$BZ$5,الجدول145[[#This Row],[البرنامج]]=$BX$3),1,0)</f>
        <v>0</v>
      </c>
      <c r="AQ62" s="123">
        <f>IF(AND(الجدول145[[#This Row],[البرنامج]]="PLW",الجدول145[[#This Row],[نوع الجلسة]]=$BZ$5),الجدول145[[#This Row],[عدد الذكور]],0)</f>
        <v>0</v>
      </c>
      <c r="AR62" s="123">
        <f>IF(AND(الجدول145[[#This Row],[البرنامج]]="PLW",الجدول145[[#This Row],[نوع الجلسة]]=$BZ$5),الجدول145[[#This Row],[عدد الأناث]],0)</f>
        <v>0</v>
      </c>
      <c r="AS62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62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62" s="127">
        <f>IF(AND(الجدول145[[#This Row],[نوع الجلسة]]=$BZ$5,الجدول145[[#This Row],[البرنامج]]=$BX$2),1,0)</f>
        <v>0</v>
      </c>
      <c r="AV62" s="127">
        <f>IF(AND(الجدول145[[#This Row],[البرنامج]]="OOSCH",الجدول145[[#This Row],[نوع الجلسة]]=$BZ$5),الجدول145[[#This Row],[عدد الذكور]],0)</f>
        <v>0</v>
      </c>
      <c r="AW62" s="127">
        <f>IF(AND(الجدول145[[#This Row],[البرنامج]]="OOSCH",الجدول145[[#This Row],[نوع الجلسة]]=$BZ$5),الجدول145[[#This Row],[عدد الأناث]],0)</f>
        <v>0</v>
      </c>
      <c r="AX62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62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62" s="121">
        <f>IF(AND(الجدول145[[#This Row],[نوع الجلسة]]=$BZ$6,الجدول145[[#This Row],[البرنامج]]=$BX$3),1,0)</f>
        <v>0</v>
      </c>
      <c r="BA62" s="121">
        <f>IF(AND(الجدول145[[#This Row],[البرنامج]]="PLW",الجدول145[[#This Row],[نوع الجلسة]]=$BZ$6),الجدول145[[#This Row],[عدد الذكور]],0)</f>
        <v>0</v>
      </c>
      <c r="BB62" s="121">
        <f>IF(AND(الجدول145[[#This Row],[البرنامج]]="PLW",الجدول145[[#This Row],[نوع الجلسة]]=$BZ$6),الجدول145[[#This Row],[عدد الأناث]],0)</f>
        <v>0</v>
      </c>
      <c r="BC62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62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62" s="122">
        <f>IF(AND(الجدول145[[#This Row],[نوع الجلسة]]=$BZ$6,الجدول145[[#This Row],[البرنامج]]=$BX$2),1,0)</f>
        <v>0</v>
      </c>
      <c r="BF62" s="122">
        <f>IF(AND(الجدول145[[#This Row],[البرنامج]]="OOSCH",الجدول145[[#This Row],[نوع الجلسة]]=$BZ$6),الجدول145[[#This Row],[عدد الذكور]],0)</f>
        <v>0</v>
      </c>
      <c r="BG62" s="122">
        <f>IF(AND(الجدول145[[#This Row],[البرنامج]]="OOSCH",الجدول145[[#This Row],[نوع الجلسة]]=$BZ$6),الجدول145[[#This Row],[عدد الأناث]],0)</f>
        <v>0</v>
      </c>
      <c r="BH62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62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63" spans="4:61" ht="31.5" customHeight="1" x14ac:dyDescent="0.25">
      <c r="D63" s="9"/>
      <c r="E63" s="9"/>
      <c r="F63" s="9"/>
      <c r="G63" s="9"/>
      <c r="H63" s="9"/>
      <c r="I63" s="9"/>
      <c r="J63" s="9"/>
      <c r="K63" s="9">
        <f>SUM(الجدول145[[#This Row],[عدد الذكور]:[عدد الأناث]])</f>
        <v>0</v>
      </c>
      <c r="L63" s="120">
        <f>IF(AND(الجدول145[[#This Row],[البرنامج]]="PLW",الجدول145[[#This Row],[نوع الجلسة]]=$BZ$2),1,0)</f>
        <v>0</v>
      </c>
      <c r="M63" s="120">
        <f>IF(AND(الجدول145[[#This Row],[نوع الجلسة]]=$BZ$2,الجدول145[[#This Row],[البرنامج]]="PLW"),الجدول145[[#This Row],[عدد الذكور]],0)</f>
        <v>0</v>
      </c>
      <c r="N63" s="120">
        <f>IF(AND(الجدول145[[#This Row],[نوع الجلسة]]=$BZ$2,الجدول145[[#This Row],[البرنامج]]="PLW"),الجدول145[[#This Row],[عدد الأناث]],0)</f>
        <v>0</v>
      </c>
      <c r="O63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63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63" s="123">
        <f>IF(AND(الجدول145[[#This Row],[البرنامج]]="OOSCH",الجدول145[[#This Row],[نوع الجلسة]]=$BZ$2),1,0)</f>
        <v>0</v>
      </c>
      <c r="R63" s="123">
        <f>IF(AND(الجدول145[[#This Row],[البرنامج]]="OOSCH",الجدول145[[#This Row],[نوع الجلسة]]=$BZ$2),الجدول145[[#This Row],[عدد الذكور]],0)</f>
        <v>0</v>
      </c>
      <c r="S63" s="123">
        <f>IF(AND(الجدول145[[#This Row],[البرنامج]]="OOSCH",الجدول145[[#This Row],[نوع الجلسة]]=$BZ$2),الجدول145[[#This Row],[عدد الأناث]],0)</f>
        <v>0</v>
      </c>
      <c r="T63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63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63" s="124">
        <f>IF(AND(الجدول145[[#This Row],[البرنامج]]="PLW",الجدول145[[#This Row],[نوع الجلسة]]="معلومات صحة تغذوية للسيدة الحامل"),1,0)</f>
        <v>0</v>
      </c>
      <c r="W63" s="124">
        <f>IF(AND(الجدول145[[#This Row],[نوع الجلسة]]=$BZ$3,الجدول145[[#This Row],[البرنامج]]="PLW"),الجدول145[[#This Row],[عدد الذكور]],0)</f>
        <v>0</v>
      </c>
      <c r="X63" s="124">
        <f>IF(AND(الجدول145[[#This Row],[نوع الجلسة]]=$BZ$3,الجدول145[[#This Row],[البرنامج]]="PLW"),الجدول145[[#This Row],[عدد الأناث]],0)</f>
        <v>0</v>
      </c>
      <c r="Y63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63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63" s="113">
        <f>IF(AND(الجدول145[[#This Row],[البرنامج]]="PLW",الجدول145[[#This Row],[نوع الجلسة]]=$BZ$4),1,0)</f>
        <v>0</v>
      </c>
      <c r="AB63" s="113">
        <f>IF(AND(الجدول145[[#This Row],[البرنامج]]="PLW",الجدول145[[#This Row],[نوع الجلسة]]=$BZ$4),الجدول145[[#This Row],[عدد الذكور]],0)</f>
        <v>0</v>
      </c>
      <c r="AC63" s="113">
        <f>IF(AND(الجدول145[[#This Row],[البرنامج]]="PLW",الجدول145[[#This Row],[نوع الجلسة]]=$BZ$4),الجدول145[[#This Row],[عدد الأناث]],0)</f>
        <v>0</v>
      </c>
      <c r="AD63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63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63" s="125">
        <f>IF(AND(الجدول145[[#This Row],[البرنامج]]="OOSCH",الجدول145[[#This Row],[نوع الجلسة]]=$BZ$7),1,0)</f>
        <v>0</v>
      </c>
      <c r="AG63" s="125">
        <f>IF(AND(الجدول145[[#This Row],[البرنامج]]="OOSCH",الجدول145[[#This Row],[نوع الجلسة]]=$BZ$7),الجدول145[[#This Row],[عدد الذكور]],0)</f>
        <v>0</v>
      </c>
      <c r="AH63" s="125">
        <f>IF(AND(الجدول145[[#This Row],[البرنامج]]="OOSCH",الجدول145[[#This Row],[نوع الجلسة]]=$BZ$7),الجدول145[[#This Row],[عدد الأناث]],0)</f>
        <v>0</v>
      </c>
      <c r="AI63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63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63" s="126">
        <f>IF(AND(الجدول145[[#This Row],[البرنامج]]="OOSCH",الجدول145[[#This Row],[نوع الجلسة]]=$BZ$4),1,0)</f>
        <v>0</v>
      </c>
      <c r="AL63" s="126">
        <f>IF(AND(الجدول145[[#This Row],[البرنامج]]="OOSCH",الجدول145[[#This Row],[نوع الجلسة]]=$BZ$4),الجدول145[[#This Row],[عدد الذكور]],0)</f>
        <v>0</v>
      </c>
      <c r="AM63" s="126">
        <f>IF(AND(الجدول145[[#This Row],[البرنامج]]="OOSCH",الجدول145[[#This Row],[نوع الجلسة]]=$BZ$4),الجدول145[[#This Row],[عدد الأناث]],0)</f>
        <v>0</v>
      </c>
      <c r="AN63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63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63" s="123">
        <f>IF(AND(الجدول145[[#This Row],[نوع الجلسة]]=$BZ$5,الجدول145[[#This Row],[البرنامج]]=$BX$3),1,0)</f>
        <v>0</v>
      </c>
      <c r="AQ63" s="123">
        <f>IF(AND(الجدول145[[#This Row],[البرنامج]]="PLW",الجدول145[[#This Row],[نوع الجلسة]]=$BZ$5),الجدول145[[#This Row],[عدد الذكور]],0)</f>
        <v>0</v>
      </c>
      <c r="AR63" s="123">
        <f>IF(AND(الجدول145[[#This Row],[البرنامج]]="PLW",الجدول145[[#This Row],[نوع الجلسة]]=$BZ$5),الجدول145[[#This Row],[عدد الأناث]],0)</f>
        <v>0</v>
      </c>
      <c r="AS63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63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63" s="127">
        <f>IF(AND(الجدول145[[#This Row],[نوع الجلسة]]=$BZ$5,الجدول145[[#This Row],[البرنامج]]=$BX$2),1,0)</f>
        <v>0</v>
      </c>
      <c r="AV63" s="127">
        <f>IF(AND(الجدول145[[#This Row],[البرنامج]]="OOSCH",الجدول145[[#This Row],[نوع الجلسة]]=$BZ$5),الجدول145[[#This Row],[عدد الذكور]],0)</f>
        <v>0</v>
      </c>
      <c r="AW63" s="127">
        <f>IF(AND(الجدول145[[#This Row],[البرنامج]]="OOSCH",الجدول145[[#This Row],[نوع الجلسة]]=$BZ$5),الجدول145[[#This Row],[عدد الأناث]],0)</f>
        <v>0</v>
      </c>
      <c r="AX63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63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63" s="121">
        <f>IF(AND(الجدول145[[#This Row],[نوع الجلسة]]=$BZ$6,الجدول145[[#This Row],[البرنامج]]=$BX$3),1,0)</f>
        <v>0</v>
      </c>
      <c r="BA63" s="121">
        <f>IF(AND(الجدول145[[#This Row],[البرنامج]]="PLW",الجدول145[[#This Row],[نوع الجلسة]]=$BZ$6),الجدول145[[#This Row],[عدد الذكور]],0)</f>
        <v>0</v>
      </c>
      <c r="BB63" s="121">
        <f>IF(AND(الجدول145[[#This Row],[البرنامج]]="PLW",الجدول145[[#This Row],[نوع الجلسة]]=$BZ$6),الجدول145[[#This Row],[عدد الأناث]],0)</f>
        <v>0</v>
      </c>
      <c r="BC63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63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63" s="122">
        <f>IF(AND(الجدول145[[#This Row],[نوع الجلسة]]=$BZ$6,الجدول145[[#This Row],[البرنامج]]=$BX$2),1,0)</f>
        <v>0</v>
      </c>
      <c r="BF63" s="122">
        <f>IF(AND(الجدول145[[#This Row],[البرنامج]]="OOSCH",الجدول145[[#This Row],[نوع الجلسة]]=$BZ$6),الجدول145[[#This Row],[عدد الذكور]],0)</f>
        <v>0</v>
      </c>
      <c r="BG63" s="122">
        <f>IF(AND(الجدول145[[#This Row],[البرنامج]]="OOSCH",الجدول145[[#This Row],[نوع الجلسة]]=$BZ$6),الجدول145[[#This Row],[عدد الأناث]],0)</f>
        <v>0</v>
      </c>
      <c r="BH63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63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64" spans="4:61" ht="31.5" customHeight="1" x14ac:dyDescent="0.25">
      <c r="D64" s="9"/>
      <c r="E64" s="9"/>
      <c r="F64" s="9"/>
      <c r="G64" s="9"/>
      <c r="H64" s="9"/>
      <c r="I64" s="9"/>
      <c r="J64" s="9"/>
      <c r="K64" s="9">
        <f>SUM(الجدول145[[#This Row],[عدد الذكور]:[عدد الأناث]])</f>
        <v>0</v>
      </c>
      <c r="L64" s="120">
        <f>IF(AND(الجدول145[[#This Row],[البرنامج]]="PLW",الجدول145[[#This Row],[نوع الجلسة]]=$BZ$2),1,0)</f>
        <v>0</v>
      </c>
      <c r="M64" s="120">
        <f>IF(AND(الجدول145[[#This Row],[نوع الجلسة]]=$BZ$2,الجدول145[[#This Row],[البرنامج]]="PLW"),الجدول145[[#This Row],[عدد الذكور]],0)</f>
        <v>0</v>
      </c>
      <c r="N64" s="120">
        <f>IF(AND(الجدول145[[#This Row],[نوع الجلسة]]=$BZ$2,الجدول145[[#This Row],[البرنامج]]="PLW"),الجدول145[[#This Row],[عدد الأناث]],0)</f>
        <v>0</v>
      </c>
      <c r="O64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64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64" s="123">
        <f>IF(AND(الجدول145[[#This Row],[البرنامج]]="OOSCH",الجدول145[[#This Row],[نوع الجلسة]]=$BZ$2),1,0)</f>
        <v>0</v>
      </c>
      <c r="R64" s="123">
        <f>IF(AND(الجدول145[[#This Row],[البرنامج]]="OOSCH",الجدول145[[#This Row],[نوع الجلسة]]=$BZ$2),الجدول145[[#This Row],[عدد الذكور]],0)</f>
        <v>0</v>
      </c>
      <c r="S64" s="123">
        <f>IF(AND(الجدول145[[#This Row],[البرنامج]]="OOSCH",الجدول145[[#This Row],[نوع الجلسة]]=$BZ$2),الجدول145[[#This Row],[عدد الأناث]],0)</f>
        <v>0</v>
      </c>
      <c r="T64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64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64" s="124">
        <f>IF(AND(الجدول145[[#This Row],[البرنامج]]="PLW",الجدول145[[#This Row],[نوع الجلسة]]="معلومات صحة تغذوية للسيدة الحامل"),1,0)</f>
        <v>0</v>
      </c>
      <c r="W64" s="124">
        <f>IF(AND(الجدول145[[#This Row],[نوع الجلسة]]=$BZ$3,الجدول145[[#This Row],[البرنامج]]="PLW"),الجدول145[[#This Row],[عدد الذكور]],0)</f>
        <v>0</v>
      </c>
      <c r="X64" s="124">
        <f>IF(AND(الجدول145[[#This Row],[نوع الجلسة]]=$BZ$3,الجدول145[[#This Row],[البرنامج]]="PLW"),الجدول145[[#This Row],[عدد الأناث]],0)</f>
        <v>0</v>
      </c>
      <c r="Y64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64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64" s="113">
        <f>IF(AND(الجدول145[[#This Row],[البرنامج]]="PLW",الجدول145[[#This Row],[نوع الجلسة]]=$BZ$4),1,0)</f>
        <v>0</v>
      </c>
      <c r="AB64" s="113">
        <f>IF(AND(الجدول145[[#This Row],[البرنامج]]="PLW",الجدول145[[#This Row],[نوع الجلسة]]=$BZ$4),الجدول145[[#This Row],[عدد الذكور]],0)</f>
        <v>0</v>
      </c>
      <c r="AC64" s="113">
        <f>IF(AND(الجدول145[[#This Row],[البرنامج]]="PLW",الجدول145[[#This Row],[نوع الجلسة]]=$BZ$4),الجدول145[[#This Row],[عدد الأناث]],0)</f>
        <v>0</v>
      </c>
      <c r="AD64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64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64" s="125">
        <f>IF(AND(الجدول145[[#This Row],[البرنامج]]="OOSCH",الجدول145[[#This Row],[نوع الجلسة]]=$BZ$7),1,0)</f>
        <v>0</v>
      </c>
      <c r="AG64" s="125">
        <f>IF(AND(الجدول145[[#This Row],[البرنامج]]="OOSCH",الجدول145[[#This Row],[نوع الجلسة]]=$BZ$7),الجدول145[[#This Row],[عدد الذكور]],0)</f>
        <v>0</v>
      </c>
      <c r="AH64" s="125">
        <f>IF(AND(الجدول145[[#This Row],[البرنامج]]="OOSCH",الجدول145[[#This Row],[نوع الجلسة]]=$BZ$7),الجدول145[[#This Row],[عدد الأناث]],0)</f>
        <v>0</v>
      </c>
      <c r="AI64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64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64" s="126">
        <f>IF(AND(الجدول145[[#This Row],[البرنامج]]="OOSCH",الجدول145[[#This Row],[نوع الجلسة]]=$BZ$4),1,0)</f>
        <v>0</v>
      </c>
      <c r="AL64" s="126">
        <f>IF(AND(الجدول145[[#This Row],[البرنامج]]="OOSCH",الجدول145[[#This Row],[نوع الجلسة]]=$BZ$4),الجدول145[[#This Row],[عدد الذكور]],0)</f>
        <v>0</v>
      </c>
      <c r="AM64" s="126">
        <f>IF(AND(الجدول145[[#This Row],[البرنامج]]="OOSCH",الجدول145[[#This Row],[نوع الجلسة]]=$BZ$4),الجدول145[[#This Row],[عدد الأناث]],0)</f>
        <v>0</v>
      </c>
      <c r="AN64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64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64" s="123">
        <f>IF(AND(الجدول145[[#This Row],[نوع الجلسة]]=$BZ$5,الجدول145[[#This Row],[البرنامج]]=$BX$3),1,0)</f>
        <v>0</v>
      </c>
      <c r="AQ64" s="123">
        <f>IF(AND(الجدول145[[#This Row],[البرنامج]]="PLW",الجدول145[[#This Row],[نوع الجلسة]]=$BZ$5),الجدول145[[#This Row],[عدد الذكور]],0)</f>
        <v>0</v>
      </c>
      <c r="AR64" s="123">
        <f>IF(AND(الجدول145[[#This Row],[البرنامج]]="PLW",الجدول145[[#This Row],[نوع الجلسة]]=$BZ$5),الجدول145[[#This Row],[عدد الأناث]],0)</f>
        <v>0</v>
      </c>
      <c r="AS64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64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64" s="127">
        <f>IF(AND(الجدول145[[#This Row],[نوع الجلسة]]=$BZ$5,الجدول145[[#This Row],[البرنامج]]=$BX$2),1,0)</f>
        <v>0</v>
      </c>
      <c r="AV64" s="127">
        <f>IF(AND(الجدول145[[#This Row],[البرنامج]]="OOSCH",الجدول145[[#This Row],[نوع الجلسة]]=$BZ$5),الجدول145[[#This Row],[عدد الذكور]],0)</f>
        <v>0</v>
      </c>
      <c r="AW64" s="127">
        <f>IF(AND(الجدول145[[#This Row],[البرنامج]]="OOSCH",الجدول145[[#This Row],[نوع الجلسة]]=$BZ$5),الجدول145[[#This Row],[عدد الأناث]],0)</f>
        <v>0</v>
      </c>
      <c r="AX64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64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64" s="121">
        <f>IF(AND(الجدول145[[#This Row],[نوع الجلسة]]=$BZ$6,الجدول145[[#This Row],[البرنامج]]=$BX$3),1,0)</f>
        <v>0</v>
      </c>
      <c r="BA64" s="121">
        <f>IF(AND(الجدول145[[#This Row],[البرنامج]]="PLW",الجدول145[[#This Row],[نوع الجلسة]]=$BZ$6),الجدول145[[#This Row],[عدد الذكور]],0)</f>
        <v>0</v>
      </c>
      <c r="BB64" s="121">
        <f>IF(AND(الجدول145[[#This Row],[البرنامج]]="PLW",الجدول145[[#This Row],[نوع الجلسة]]=$BZ$6),الجدول145[[#This Row],[عدد الأناث]],0)</f>
        <v>0</v>
      </c>
      <c r="BC64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64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64" s="122">
        <f>IF(AND(الجدول145[[#This Row],[نوع الجلسة]]=$BZ$6,الجدول145[[#This Row],[البرنامج]]=$BX$2),1,0)</f>
        <v>0</v>
      </c>
      <c r="BF64" s="122">
        <f>IF(AND(الجدول145[[#This Row],[البرنامج]]="OOSCH",الجدول145[[#This Row],[نوع الجلسة]]=$BZ$6),الجدول145[[#This Row],[عدد الذكور]],0)</f>
        <v>0</v>
      </c>
      <c r="BG64" s="122">
        <f>IF(AND(الجدول145[[#This Row],[البرنامج]]="OOSCH",الجدول145[[#This Row],[نوع الجلسة]]=$BZ$6),الجدول145[[#This Row],[عدد الأناث]],0)</f>
        <v>0</v>
      </c>
      <c r="BH64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64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65" spans="4:61" ht="31.5" customHeight="1" x14ac:dyDescent="0.25">
      <c r="D65" s="9"/>
      <c r="E65" s="9"/>
      <c r="F65" s="9"/>
      <c r="G65" s="9"/>
      <c r="H65" s="9"/>
      <c r="I65" s="9"/>
      <c r="J65" s="9"/>
      <c r="K65" s="9">
        <f>SUM(الجدول145[[#This Row],[عدد الذكور]:[عدد الأناث]])</f>
        <v>0</v>
      </c>
      <c r="L65" s="120">
        <f>IF(AND(الجدول145[[#This Row],[البرنامج]]="PLW",الجدول145[[#This Row],[نوع الجلسة]]=$BZ$2),1,0)</f>
        <v>0</v>
      </c>
      <c r="M65" s="120">
        <f>IF(AND(الجدول145[[#This Row],[نوع الجلسة]]=$BZ$2,الجدول145[[#This Row],[البرنامج]]="PLW"),الجدول145[[#This Row],[عدد الذكور]],0)</f>
        <v>0</v>
      </c>
      <c r="N65" s="120">
        <f>IF(AND(الجدول145[[#This Row],[نوع الجلسة]]=$BZ$2,الجدول145[[#This Row],[البرنامج]]="PLW"),الجدول145[[#This Row],[عدد الأناث]],0)</f>
        <v>0</v>
      </c>
      <c r="O65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65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65" s="123">
        <f>IF(AND(الجدول145[[#This Row],[البرنامج]]="OOSCH",الجدول145[[#This Row],[نوع الجلسة]]=$BZ$2),1,0)</f>
        <v>0</v>
      </c>
      <c r="R65" s="123">
        <f>IF(AND(الجدول145[[#This Row],[البرنامج]]="OOSCH",الجدول145[[#This Row],[نوع الجلسة]]=$BZ$2),الجدول145[[#This Row],[عدد الذكور]],0)</f>
        <v>0</v>
      </c>
      <c r="S65" s="123">
        <f>IF(AND(الجدول145[[#This Row],[البرنامج]]="OOSCH",الجدول145[[#This Row],[نوع الجلسة]]=$BZ$2),الجدول145[[#This Row],[عدد الأناث]],0)</f>
        <v>0</v>
      </c>
      <c r="T65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65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65" s="124">
        <f>IF(AND(الجدول145[[#This Row],[البرنامج]]="PLW",الجدول145[[#This Row],[نوع الجلسة]]="معلومات صحة تغذوية للسيدة الحامل"),1,0)</f>
        <v>0</v>
      </c>
      <c r="W65" s="124">
        <f>IF(AND(الجدول145[[#This Row],[نوع الجلسة]]=$BZ$3,الجدول145[[#This Row],[البرنامج]]="PLW"),الجدول145[[#This Row],[عدد الذكور]],0)</f>
        <v>0</v>
      </c>
      <c r="X65" s="124">
        <f>IF(AND(الجدول145[[#This Row],[نوع الجلسة]]=$BZ$3,الجدول145[[#This Row],[البرنامج]]="PLW"),الجدول145[[#This Row],[عدد الأناث]],0)</f>
        <v>0</v>
      </c>
      <c r="Y65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65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65" s="113">
        <f>IF(AND(الجدول145[[#This Row],[البرنامج]]="PLW",الجدول145[[#This Row],[نوع الجلسة]]=$BZ$4),1,0)</f>
        <v>0</v>
      </c>
      <c r="AB65" s="113">
        <f>IF(AND(الجدول145[[#This Row],[البرنامج]]="PLW",الجدول145[[#This Row],[نوع الجلسة]]=$BZ$4),الجدول145[[#This Row],[عدد الذكور]],0)</f>
        <v>0</v>
      </c>
      <c r="AC65" s="113">
        <f>IF(AND(الجدول145[[#This Row],[البرنامج]]="PLW",الجدول145[[#This Row],[نوع الجلسة]]=$BZ$4),الجدول145[[#This Row],[عدد الأناث]],0)</f>
        <v>0</v>
      </c>
      <c r="AD65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65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65" s="125">
        <f>IF(AND(الجدول145[[#This Row],[البرنامج]]="OOSCH",الجدول145[[#This Row],[نوع الجلسة]]=$BZ$7),1,0)</f>
        <v>0</v>
      </c>
      <c r="AG65" s="125">
        <f>IF(AND(الجدول145[[#This Row],[البرنامج]]="OOSCH",الجدول145[[#This Row],[نوع الجلسة]]=$BZ$7),الجدول145[[#This Row],[عدد الذكور]],0)</f>
        <v>0</v>
      </c>
      <c r="AH65" s="125">
        <f>IF(AND(الجدول145[[#This Row],[البرنامج]]="OOSCH",الجدول145[[#This Row],[نوع الجلسة]]=$BZ$7),الجدول145[[#This Row],[عدد الأناث]],0)</f>
        <v>0</v>
      </c>
      <c r="AI65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65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65" s="126">
        <f>IF(AND(الجدول145[[#This Row],[البرنامج]]="OOSCH",الجدول145[[#This Row],[نوع الجلسة]]=$BZ$4),1,0)</f>
        <v>0</v>
      </c>
      <c r="AL65" s="126">
        <f>IF(AND(الجدول145[[#This Row],[البرنامج]]="OOSCH",الجدول145[[#This Row],[نوع الجلسة]]=$BZ$4),الجدول145[[#This Row],[عدد الذكور]],0)</f>
        <v>0</v>
      </c>
      <c r="AM65" s="126">
        <f>IF(AND(الجدول145[[#This Row],[البرنامج]]="OOSCH",الجدول145[[#This Row],[نوع الجلسة]]=$BZ$4),الجدول145[[#This Row],[عدد الأناث]],0)</f>
        <v>0</v>
      </c>
      <c r="AN65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65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65" s="123">
        <f>IF(AND(الجدول145[[#This Row],[نوع الجلسة]]=$BZ$5,الجدول145[[#This Row],[البرنامج]]=$BX$3),1,0)</f>
        <v>0</v>
      </c>
      <c r="AQ65" s="123">
        <f>IF(AND(الجدول145[[#This Row],[البرنامج]]="PLW",الجدول145[[#This Row],[نوع الجلسة]]=$BZ$5),الجدول145[[#This Row],[عدد الذكور]],0)</f>
        <v>0</v>
      </c>
      <c r="AR65" s="123">
        <f>IF(AND(الجدول145[[#This Row],[البرنامج]]="PLW",الجدول145[[#This Row],[نوع الجلسة]]=$BZ$5),الجدول145[[#This Row],[عدد الأناث]],0)</f>
        <v>0</v>
      </c>
      <c r="AS65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65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65" s="127">
        <f>IF(AND(الجدول145[[#This Row],[نوع الجلسة]]=$BZ$5,الجدول145[[#This Row],[البرنامج]]=$BX$2),1,0)</f>
        <v>0</v>
      </c>
      <c r="AV65" s="127">
        <f>IF(AND(الجدول145[[#This Row],[البرنامج]]="OOSCH",الجدول145[[#This Row],[نوع الجلسة]]=$BZ$5),الجدول145[[#This Row],[عدد الذكور]],0)</f>
        <v>0</v>
      </c>
      <c r="AW65" s="127">
        <f>IF(AND(الجدول145[[#This Row],[البرنامج]]="OOSCH",الجدول145[[#This Row],[نوع الجلسة]]=$BZ$5),الجدول145[[#This Row],[عدد الأناث]],0)</f>
        <v>0</v>
      </c>
      <c r="AX65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65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65" s="121">
        <f>IF(AND(الجدول145[[#This Row],[نوع الجلسة]]=$BZ$6,الجدول145[[#This Row],[البرنامج]]=$BX$3),1,0)</f>
        <v>0</v>
      </c>
      <c r="BA65" s="121">
        <f>IF(AND(الجدول145[[#This Row],[البرنامج]]="PLW",الجدول145[[#This Row],[نوع الجلسة]]=$BZ$6),الجدول145[[#This Row],[عدد الذكور]],0)</f>
        <v>0</v>
      </c>
      <c r="BB65" s="121">
        <f>IF(AND(الجدول145[[#This Row],[البرنامج]]="PLW",الجدول145[[#This Row],[نوع الجلسة]]=$BZ$6),الجدول145[[#This Row],[عدد الأناث]],0)</f>
        <v>0</v>
      </c>
      <c r="BC65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65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65" s="122">
        <f>IF(AND(الجدول145[[#This Row],[نوع الجلسة]]=$BZ$6,الجدول145[[#This Row],[البرنامج]]=$BX$2),1,0)</f>
        <v>0</v>
      </c>
      <c r="BF65" s="122">
        <f>IF(AND(الجدول145[[#This Row],[البرنامج]]="OOSCH",الجدول145[[#This Row],[نوع الجلسة]]=$BZ$6),الجدول145[[#This Row],[عدد الذكور]],0)</f>
        <v>0</v>
      </c>
      <c r="BG65" s="122">
        <f>IF(AND(الجدول145[[#This Row],[البرنامج]]="OOSCH",الجدول145[[#This Row],[نوع الجلسة]]=$BZ$6),الجدول145[[#This Row],[عدد الأناث]],0)</f>
        <v>0</v>
      </c>
      <c r="BH65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65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66" spans="4:61" ht="31.5" customHeight="1" x14ac:dyDescent="0.25">
      <c r="D66" s="9"/>
      <c r="E66" s="9"/>
      <c r="F66" s="9"/>
      <c r="G66" s="9"/>
      <c r="H66" s="9"/>
      <c r="I66" s="9"/>
      <c r="J66" s="9"/>
      <c r="K66" s="9">
        <f>SUM(الجدول145[[#This Row],[عدد الذكور]:[عدد الأناث]])</f>
        <v>0</v>
      </c>
      <c r="L66" s="120">
        <f>IF(AND(الجدول145[[#This Row],[البرنامج]]="PLW",الجدول145[[#This Row],[نوع الجلسة]]=$BZ$2),1,0)</f>
        <v>0</v>
      </c>
      <c r="M66" s="120">
        <f>IF(AND(الجدول145[[#This Row],[نوع الجلسة]]=$BZ$2,الجدول145[[#This Row],[البرنامج]]="PLW"),الجدول145[[#This Row],[عدد الذكور]],0)</f>
        <v>0</v>
      </c>
      <c r="N66" s="120">
        <f>IF(AND(الجدول145[[#This Row],[نوع الجلسة]]=$BZ$2,الجدول145[[#This Row],[البرنامج]]="PLW"),الجدول145[[#This Row],[عدد الأناث]],0)</f>
        <v>0</v>
      </c>
      <c r="O66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66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66" s="123">
        <f>IF(AND(الجدول145[[#This Row],[البرنامج]]="OOSCH",الجدول145[[#This Row],[نوع الجلسة]]=$BZ$2),1,0)</f>
        <v>0</v>
      </c>
      <c r="R66" s="123">
        <f>IF(AND(الجدول145[[#This Row],[البرنامج]]="OOSCH",الجدول145[[#This Row],[نوع الجلسة]]=$BZ$2),الجدول145[[#This Row],[عدد الذكور]],0)</f>
        <v>0</v>
      </c>
      <c r="S66" s="123">
        <f>IF(AND(الجدول145[[#This Row],[البرنامج]]="OOSCH",الجدول145[[#This Row],[نوع الجلسة]]=$BZ$2),الجدول145[[#This Row],[عدد الأناث]],0)</f>
        <v>0</v>
      </c>
      <c r="T66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66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66" s="124">
        <f>IF(AND(الجدول145[[#This Row],[البرنامج]]="PLW",الجدول145[[#This Row],[نوع الجلسة]]="معلومات صحة تغذوية للسيدة الحامل"),1,0)</f>
        <v>0</v>
      </c>
      <c r="W66" s="124">
        <f>IF(AND(الجدول145[[#This Row],[نوع الجلسة]]=$BZ$3,الجدول145[[#This Row],[البرنامج]]="PLW"),الجدول145[[#This Row],[عدد الذكور]],0)</f>
        <v>0</v>
      </c>
      <c r="X66" s="124">
        <f>IF(AND(الجدول145[[#This Row],[نوع الجلسة]]=$BZ$3,الجدول145[[#This Row],[البرنامج]]="PLW"),الجدول145[[#This Row],[عدد الأناث]],0)</f>
        <v>0</v>
      </c>
      <c r="Y66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66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66" s="113">
        <f>IF(AND(الجدول145[[#This Row],[البرنامج]]="PLW",الجدول145[[#This Row],[نوع الجلسة]]=$BZ$4),1,0)</f>
        <v>0</v>
      </c>
      <c r="AB66" s="113">
        <f>IF(AND(الجدول145[[#This Row],[البرنامج]]="PLW",الجدول145[[#This Row],[نوع الجلسة]]=$BZ$4),الجدول145[[#This Row],[عدد الذكور]],0)</f>
        <v>0</v>
      </c>
      <c r="AC66" s="113">
        <f>IF(AND(الجدول145[[#This Row],[البرنامج]]="PLW",الجدول145[[#This Row],[نوع الجلسة]]=$BZ$4),الجدول145[[#This Row],[عدد الأناث]],0)</f>
        <v>0</v>
      </c>
      <c r="AD66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66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66" s="125">
        <f>IF(AND(الجدول145[[#This Row],[البرنامج]]="OOSCH",الجدول145[[#This Row],[نوع الجلسة]]=$BZ$7),1,0)</f>
        <v>0</v>
      </c>
      <c r="AG66" s="125">
        <f>IF(AND(الجدول145[[#This Row],[البرنامج]]="OOSCH",الجدول145[[#This Row],[نوع الجلسة]]=$BZ$7),الجدول145[[#This Row],[عدد الذكور]],0)</f>
        <v>0</v>
      </c>
      <c r="AH66" s="125">
        <f>IF(AND(الجدول145[[#This Row],[البرنامج]]="OOSCH",الجدول145[[#This Row],[نوع الجلسة]]=$BZ$7),الجدول145[[#This Row],[عدد الأناث]],0)</f>
        <v>0</v>
      </c>
      <c r="AI66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66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66" s="126">
        <f>IF(AND(الجدول145[[#This Row],[البرنامج]]="OOSCH",الجدول145[[#This Row],[نوع الجلسة]]=$BZ$4),1,0)</f>
        <v>0</v>
      </c>
      <c r="AL66" s="126">
        <f>IF(AND(الجدول145[[#This Row],[البرنامج]]="OOSCH",الجدول145[[#This Row],[نوع الجلسة]]=$BZ$4),الجدول145[[#This Row],[عدد الذكور]],0)</f>
        <v>0</v>
      </c>
      <c r="AM66" s="126">
        <f>IF(AND(الجدول145[[#This Row],[البرنامج]]="OOSCH",الجدول145[[#This Row],[نوع الجلسة]]=$BZ$4),الجدول145[[#This Row],[عدد الأناث]],0)</f>
        <v>0</v>
      </c>
      <c r="AN66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66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66" s="123">
        <f>IF(AND(الجدول145[[#This Row],[نوع الجلسة]]=$BZ$5,الجدول145[[#This Row],[البرنامج]]=$BX$3),1,0)</f>
        <v>0</v>
      </c>
      <c r="AQ66" s="123">
        <f>IF(AND(الجدول145[[#This Row],[البرنامج]]="PLW",الجدول145[[#This Row],[نوع الجلسة]]=$BZ$5),الجدول145[[#This Row],[عدد الذكور]],0)</f>
        <v>0</v>
      </c>
      <c r="AR66" s="123">
        <f>IF(AND(الجدول145[[#This Row],[البرنامج]]="PLW",الجدول145[[#This Row],[نوع الجلسة]]=$BZ$5),الجدول145[[#This Row],[عدد الأناث]],0)</f>
        <v>0</v>
      </c>
      <c r="AS66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66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66" s="127">
        <f>IF(AND(الجدول145[[#This Row],[نوع الجلسة]]=$BZ$5,الجدول145[[#This Row],[البرنامج]]=$BX$2),1,0)</f>
        <v>0</v>
      </c>
      <c r="AV66" s="127">
        <f>IF(AND(الجدول145[[#This Row],[البرنامج]]="OOSCH",الجدول145[[#This Row],[نوع الجلسة]]=$BZ$5),الجدول145[[#This Row],[عدد الذكور]],0)</f>
        <v>0</v>
      </c>
      <c r="AW66" s="127">
        <f>IF(AND(الجدول145[[#This Row],[البرنامج]]="OOSCH",الجدول145[[#This Row],[نوع الجلسة]]=$BZ$5),الجدول145[[#This Row],[عدد الأناث]],0)</f>
        <v>0</v>
      </c>
      <c r="AX66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66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66" s="121">
        <f>IF(AND(الجدول145[[#This Row],[نوع الجلسة]]=$BZ$6,الجدول145[[#This Row],[البرنامج]]=$BX$3),1,0)</f>
        <v>0</v>
      </c>
      <c r="BA66" s="121">
        <f>IF(AND(الجدول145[[#This Row],[البرنامج]]="PLW",الجدول145[[#This Row],[نوع الجلسة]]=$BZ$6),الجدول145[[#This Row],[عدد الذكور]],0)</f>
        <v>0</v>
      </c>
      <c r="BB66" s="121">
        <f>IF(AND(الجدول145[[#This Row],[البرنامج]]="PLW",الجدول145[[#This Row],[نوع الجلسة]]=$BZ$6),الجدول145[[#This Row],[عدد الأناث]],0)</f>
        <v>0</v>
      </c>
      <c r="BC66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66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66" s="122">
        <f>IF(AND(الجدول145[[#This Row],[نوع الجلسة]]=$BZ$6,الجدول145[[#This Row],[البرنامج]]=$BX$2),1,0)</f>
        <v>0</v>
      </c>
      <c r="BF66" s="122">
        <f>IF(AND(الجدول145[[#This Row],[البرنامج]]="OOSCH",الجدول145[[#This Row],[نوع الجلسة]]=$BZ$6),الجدول145[[#This Row],[عدد الذكور]],0)</f>
        <v>0</v>
      </c>
      <c r="BG66" s="122">
        <f>IF(AND(الجدول145[[#This Row],[البرنامج]]="OOSCH",الجدول145[[#This Row],[نوع الجلسة]]=$BZ$6),الجدول145[[#This Row],[عدد الأناث]],0)</f>
        <v>0</v>
      </c>
      <c r="BH66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66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67" spans="4:61" ht="31.5" customHeight="1" x14ac:dyDescent="0.25">
      <c r="D67" s="9"/>
      <c r="E67" s="9"/>
      <c r="F67" s="9"/>
      <c r="G67" s="9"/>
      <c r="H67" s="9"/>
      <c r="I67" s="9"/>
      <c r="J67" s="9"/>
      <c r="K67" s="9">
        <f>SUM(الجدول145[[#This Row],[عدد الذكور]:[عدد الأناث]])</f>
        <v>0</v>
      </c>
      <c r="L67" s="120">
        <f>IF(AND(الجدول145[[#This Row],[البرنامج]]="PLW",الجدول145[[#This Row],[نوع الجلسة]]=$BZ$2),1,0)</f>
        <v>0</v>
      </c>
      <c r="M67" s="120">
        <f>IF(AND(الجدول145[[#This Row],[نوع الجلسة]]=$BZ$2,الجدول145[[#This Row],[البرنامج]]="PLW"),الجدول145[[#This Row],[عدد الذكور]],0)</f>
        <v>0</v>
      </c>
      <c r="N67" s="120">
        <f>IF(AND(الجدول145[[#This Row],[نوع الجلسة]]=$BZ$2,الجدول145[[#This Row],[البرنامج]]="PLW"),الجدول145[[#This Row],[عدد الأناث]],0)</f>
        <v>0</v>
      </c>
      <c r="O67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67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67" s="123">
        <f>IF(AND(الجدول145[[#This Row],[البرنامج]]="OOSCH",الجدول145[[#This Row],[نوع الجلسة]]=$BZ$2),1,0)</f>
        <v>0</v>
      </c>
      <c r="R67" s="123">
        <f>IF(AND(الجدول145[[#This Row],[البرنامج]]="OOSCH",الجدول145[[#This Row],[نوع الجلسة]]=$BZ$2),الجدول145[[#This Row],[عدد الذكور]],0)</f>
        <v>0</v>
      </c>
      <c r="S67" s="123">
        <f>IF(AND(الجدول145[[#This Row],[البرنامج]]="OOSCH",الجدول145[[#This Row],[نوع الجلسة]]=$BZ$2),الجدول145[[#This Row],[عدد الأناث]],0)</f>
        <v>0</v>
      </c>
      <c r="T67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67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67" s="124">
        <f>IF(AND(الجدول145[[#This Row],[البرنامج]]="PLW",الجدول145[[#This Row],[نوع الجلسة]]="معلومات صحة تغذوية للسيدة الحامل"),1,0)</f>
        <v>0</v>
      </c>
      <c r="W67" s="124">
        <f>IF(AND(الجدول145[[#This Row],[نوع الجلسة]]=$BZ$3,الجدول145[[#This Row],[البرنامج]]="PLW"),الجدول145[[#This Row],[عدد الذكور]],0)</f>
        <v>0</v>
      </c>
      <c r="X67" s="124">
        <f>IF(AND(الجدول145[[#This Row],[نوع الجلسة]]=$BZ$3,الجدول145[[#This Row],[البرنامج]]="PLW"),الجدول145[[#This Row],[عدد الأناث]],0)</f>
        <v>0</v>
      </c>
      <c r="Y67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67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67" s="113">
        <f>IF(AND(الجدول145[[#This Row],[البرنامج]]="PLW",الجدول145[[#This Row],[نوع الجلسة]]=$BZ$4),1,0)</f>
        <v>0</v>
      </c>
      <c r="AB67" s="113">
        <f>IF(AND(الجدول145[[#This Row],[البرنامج]]="PLW",الجدول145[[#This Row],[نوع الجلسة]]=$BZ$4),الجدول145[[#This Row],[عدد الذكور]],0)</f>
        <v>0</v>
      </c>
      <c r="AC67" s="113">
        <f>IF(AND(الجدول145[[#This Row],[البرنامج]]="PLW",الجدول145[[#This Row],[نوع الجلسة]]=$BZ$4),الجدول145[[#This Row],[عدد الأناث]],0)</f>
        <v>0</v>
      </c>
      <c r="AD67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67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67" s="125">
        <f>IF(AND(الجدول145[[#This Row],[البرنامج]]="OOSCH",الجدول145[[#This Row],[نوع الجلسة]]=$BZ$7),1,0)</f>
        <v>0</v>
      </c>
      <c r="AG67" s="125">
        <f>IF(AND(الجدول145[[#This Row],[البرنامج]]="OOSCH",الجدول145[[#This Row],[نوع الجلسة]]=$BZ$7),الجدول145[[#This Row],[عدد الذكور]],0)</f>
        <v>0</v>
      </c>
      <c r="AH67" s="125">
        <f>IF(AND(الجدول145[[#This Row],[البرنامج]]="OOSCH",الجدول145[[#This Row],[نوع الجلسة]]=$BZ$7),الجدول145[[#This Row],[عدد الأناث]],0)</f>
        <v>0</v>
      </c>
      <c r="AI67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67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67" s="126">
        <f>IF(AND(الجدول145[[#This Row],[البرنامج]]="OOSCH",الجدول145[[#This Row],[نوع الجلسة]]=$BZ$4),1,0)</f>
        <v>0</v>
      </c>
      <c r="AL67" s="126">
        <f>IF(AND(الجدول145[[#This Row],[البرنامج]]="OOSCH",الجدول145[[#This Row],[نوع الجلسة]]=$BZ$4),الجدول145[[#This Row],[عدد الذكور]],0)</f>
        <v>0</v>
      </c>
      <c r="AM67" s="126">
        <f>IF(AND(الجدول145[[#This Row],[البرنامج]]="OOSCH",الجدول145[[#This Row],[نوع الجلسة]]=$BZ$4),الجدول145[[#This Row],[عدد الأناث]],0)</f>
        <v>0</v>
      </c>
      <c r="AN67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67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67" s="123">
        <f>IF(AND(الجدول145[[#This Row],[نوع الجلسة]]=$BZ$5,الجدول145[[#This Row],[البرنامج]]=$BX$3),1,0)</f>
        <v>0</v>
      </c>
      <c r="AQ67" s="123">
        <f>IF(AND(الجدول145[[#This Row],[البرنامج]]="PLW",الجدول145[[#This Row],[نوع الجلسة]]=$BZ$5),الجدول145[[#This Row],[عدد الذكور]],0)</f>
        <v>0</v>
      </c>
      <c r="AR67" s="123">
        <f>IF(AND(الجدول145[[#This Row],[البرنامج]]="PLW",الجدول145[[#This Row],[نوع الجلسة]]=$BZ$5),الجدول145[[#This Row],[عدد الأناث]],0)</f>
        <v>0</v>
      </c>
      <c r="AS67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67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67" s="127">
        <f>IF(AND(الجدول145[[#This Row],[نوع الجلسة]]=$BZ$5,الجدول145[[#This Row],[البرنامج]]=$BX$2),1,0)</f>
        <v>0</v>
      </c>
      <c r="AV67" s="127">
        <f>IF(AND(الجدول145[[#This Row],[البرنامج]]="OOSCH",الجدول145[[#This Row],[نوع الجلسة]]=$BZ$5),الجدول145[[#This Row],[عدد الذكور]],0)</f>
        <v>0</v>
      </c>
      <c r="AW67" s="127">
        <f>IF(AND(الجدول145[[#This Row],[البرنامج]]="OOSCH",الجدول145[[#This Row],[نوع الجلسة]]=$BZ$5),الجدول145[[#This Row],[عدد الأناث]],0)</f>
        <v>0</v>
      </c>
      <c r="AX67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67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67" s="121">
        <f>IF(AND(الجدول145[[#This Row],[نوع الجلسة]]=$BZ$6,الجدول145[[#This Row],[البرنامج]]=$BX$3),1,0)</f>
        <v>0</v>
      </c>
      <c r="BA67" s="121">
        <f>IF(AND(الجدول145[[#This Row],[البرنامج]]="PLW",الجدول145[[#This Row],[نوع الجلسة]]=$BZ$6),الجدول145[[#This Row],[عدد الذكور]],0)</f>
        <v>0</v>
      </c>
      <c r="BB67" s="121">
        <f>IF(AND(الجدول145[[#This Row],[البرنامج]]="PLW",الجدول145[[#This Row],[نوع الجلسة]]=$BZ$6),الجدول145[[#This Row],[عدد الأناث]],0)</f>
        <v>0</v>
      </c>
      <c r="BC67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67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67" s="122">
        <f>IF(AND(الجدول145[[#This Row],[نوع الجلسة]]=$BZ$6,الجدول145[[#This Row],[البرنامج]]=$BX$2),1,0)</f>
        <v>0</v>
      </c>
      <c r="BF67" s="122">
        <f>IF(AND(الجدول145[[#This Row],[البرنامج]]="OOSCH",الجدول145[[#This Row],[نوع الجلسة]]=$BZ$6),الجدول145[[#This Row],[عدد الذكور]],0)</f>
        <v>0</v>
      </c>
      <c r="BG67" s="122">
        <f>IF(AND(الجدول145[[#This Row],[البرنامج]]="OOSCH",الجدول145[[#This Row],[نوع الجلسة]]=$BZ$6),الجدول145[[#This Row],[عدد الأناث]],0)</f>
        <v>0</v>
      </c>
      <c r="BH67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67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68" spans="4:61" ht="31.5" customHeight="1" x14ac:dyDescent="0.25">
      <c r="D68" s="9"/>
      <c r="E68" s="9"/>
      <c r="F68" s="9"/>
      <c r="G68" s="9"/>
      <c r="H68" s="9"/>
      <c r="I68" s="9"/>
      <c r="J68" s="9"/>
      <c r="K68" s="9">
        <f>SUM(الجدول145[[#This Row],[عدد الذكور]:[عدد الأناث]])</f>
        <v>0</v>
      </c>
      <c r="L68" s="120">
        <f>IF(AND(الجدول145[[#This Row],[البرنامج]]="PLW",الجدول145[[#This Row],[نوع الجلسة]]=$BZ$2),1,0)</f>
        <v>0</v>
      </c>
      <c r="M68" s="120">
        <f>IF(AND(الجدول145[[#This Row],[نوع الجلسة]]=$BZ$2,الجدول145[[#This Row],[البرنامج]]="PLW"),الجدول145[[#This Row],[عدد الذكور]],0)</f>
        <v>0</v>
      </c>
      <c r="N68" s="120">
        <f>IF(AND(الجدول145[[#This Row],[نوع الجلسة]]=$BZ$2,الجدول145[[#This Row],[البرنامج]]="PLW"),الجدول145[[#This Row],[عدد الأناث]],0)</f>
        <v>0</v>
      </c>
      <c r="O68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68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68" s="123">
        <f>IF(AND(الجدول145[[#This Row],[البرنامج]]="OOSCH",الجدول145[[#This Row],[نوع الجلسة]]=$BZ$2),1,0)</f>
        <v>0</v>
      </c>
      <c r="R68" s="123">
        <f>IF(AND(الجدول145[[#This Row],[البرنامج]]="OOSCH",الجدول145[[#This Row],[نوع الجلسة]]=$BZ$2),الجدول145[[#This Row],[عدد الذكور]],0)</f>
        <v>0</v>
      </c>
      <c r="S68" s="123">
        <f>IF(AND(الجدول145[[#This Row],[البرنامج]]="OOSCH",الجدول145[[#This Row],[نوع الجلسة]]=$BZ$2),الجدول145[[#This Row],[عدد الأناث]],0)</f>
        <v>0</v>
      </c>
      <c r="T68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68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68" s="124">
        <f>IF(AND(الجدول145[[#This Row],[البرنامج]]="PLW",الجدول145[[#This Row],[نوع الجلسة]]="معلومات صحة تغذوية للسيدة الحامل"),1,0)</f>
        <v>0</v>
      </c>
      <c r="W68" s="124">
        <f>IF(AND(الجدول145[[#This Row],[نوع الجلسة]]=$BZ$3,الجدول145[[#This Row],[البرنامج]]="PLW"),الجدول145[[#This Row],[عدد الذكور]],0)</f>
        <v>0</v>
      </c>
      <c r="X68" s="124">
        <f>IF(AND(الجدول145[[#This Row],[نوع الجلسة]]=$BZ$3,الجدول145[[#This Row],[البرنامج]]="PLW"),الجدول145[[#This Row],[عدد الأناث]],0)</f>
        <v>0</v>
      </c>
      <c r="Y68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68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68" s="113">
        <f>IF(AND(الجدول145[[#This Row],[البرنامج]]="PLW",الجدول145[[#This Row],[نوع الجلسة]]=$BZ$4),1,0)</f>
        <v>0</v>
      </c>
      <c r="AB68" s="113">
        <f>IF(AND(الجدول145[[#This Row],[البرنامج]]="PLW",الجدول145[[#This Row],[نوع الجلسة]]=$BZ$4),الجدول145[[#This Row],[عدد الذكور]],0)</f>
        <v>0</v>
      </c>
      <c r="AC68" s="113">
        <f>IF(AND(الجدول145[[#This Row],[البرنامج]]="PLW",الجدول145[[#This Row],[نوع الجلسة]]=$BZ$4),الجدول145[[#This Row],[عدد الأناث]],0)</f>
        <v>0</v>
      </c>
      <c r="AD68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68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68" s="125">
        <f>IF(AND(الجدول145[[#This Row],[البرنامج]]="OOSCH",الجدول145[[#This Row],[نوع الجلسة]]=$BZ$7),1,0)</f>
        <v>0</v>
      </c>
      <c r="AG68" s="125">
        <f>IF(AND(الجدول145[[#This Row],[البرنامج]]="OOSCH",الجدول145[[#This Row],[نوع الجلسة]]=$BZ$7),الجدول145[[#This Row],[عدد الذكور]],0)</f>
        <v>0</v>
      </c>
      <c r="AH68" s="125">
        <f>IF(AND(الجدول145[[#This Row],[البرنامج]]="OOSCH",الجدول145[[#This Row],[نوع الجلسة]]=$BZ$7),الجدول145[[#This Row],[عدد الأناث]],0)</f>
        <v>0</v>
      </c>
      <c r="AI68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68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68" s="126">
        <f>IF(AND(الجدول145[[#This Row],[البرنامج]]="OOSCH",الجدول145[[#This Row],[نوع الجلسة]]=$BZ$4),1,0)</f>
        <v>0</v>
      </c>
      <c r="AL68" s="126">
        <f>IF(AND(الجدول145[[#This Row],[البرنامج]]="OOSCH",الجدول145[[#This Row],[نوع الجلسة]]=$BZ$4),الجدول145[[#This Row],[عدد الذكور]],0)</f>
        <v>0</v>
      </c>
      <c r="AM68" s="126">
        <f>IF(AND(الجدول145[[#This Row],[البرنامج]]="OOSCH",الجدول145[[#This Row],[نوع الجلسة]]=$BZ$4),الجدول145[[#This Row],[عدد الأناث]],0)</f>
        <v>0</v>
      </c>
      <c r="AN68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68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68" s="123">
        <f>IF(AND(الجدول145[[#This Row],[نوع الجلسة]]=$BZ$5,الجدول145[[#This Row],[البرنامج]]=$BX$3),1,0)</f>
        <v>0</v>
      </c>
      <c r="AQ68" s="123">
        <f>IF(AND(الجدول145[[#This Row],[البرنامج]]="PLW",الجدول145[[#This Row],[نوع الجلسة]]=$BZ$5),الجدول145[[#This Row],[عدد الذكور]],0)</f>
        <v>0</v>
      </c>
      <c r="AR68" s="123">
        <f>IF(AND(الجدول145[[#This Row],[البرنامج]]="PLW",الجدول145[[#This Row],[نوع الجلسة]]=$BZ$5),الجدول145[[#This Row],[عدد الأناث]],0)</f>
        <v>0</v>
      </c>
      <c r="AS68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68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68" s="127">
        <f>IF(AND(الجدول145[[#This Row],[نوع الجلسة]]=$BZ$5,الجدول145[[#This Row],[البرنامج]]=$BX$2),1,0)</f>
        <v>0</v>
      </c>
      <c r="AV68" s="127">
        <f>IF(AND(الجدول145[[#This Row],[البرنامج]]="OOSCH",الجدول145[[#This Row],[نوع الجلسة]]=$BZ$5),الجدول145[[#This Row],[عدد الذكور]],0)</f>
        <v>0</v>
      </c>
      <c r="AW68" s="127">
        <f>IF(AND(الجدول145[[#This Row],[البرنامج]]="OOSCH",الجدول145[[#This Row],[نوع الجلسة]]=$BZ$5),الجدول145[[#This Row],[عدد الأناث]],0)</f>
        <v>0</v>
      </c>
      <c r="AX68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68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68" s="121">
        <f>IF(AND(الجدول145[[#This Row],[نوع الجلسة]]=$BZ$6,الجدول145[[#This Row],[البرنامج]]=$BX$3),1,0)</f>
        <v>0</v>
      </c>
      <c r="BA68" s="121">
        <f>IF(AND(الجدول145[[#This Row],[البرنامج]]="PLW",الجدول145[[#This Row],[نوع الجلسة]]=$BZ$6),الجدول145[[#This Row],[عدد الذكور]],0)</f>
        <v>0</v>
      </c>
      <c r="BB68" s="121">
        <f>IF(AND(الجدول145[[#This Row],[البرنامج]]="PLW",الجدول145[[#This Row],[نوع الجلسة]]=$BZ$6),الجدول145[[#This Row],[عدد الأناث]],0)</f>
        <v>0</v>
      </c>
      <c r="BC68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68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68" s="122">
        <f>IF(AND(الجدول145[[#This Row],[نوع الجلسة]]=$BZ$6,الجدول145[[#This Row],[البرنامج]]=$BX$2),1,0)</f>
        <v>0</v>
      </c>
      <c r="BF68" s="122">
        <f>IF(AND(الجدول145[[#This Row],[البرنامج]]="OOSCH",الجدول145[[#This Row],[نوع الجلسة]]=$BZ$6),الجدول145[[#This Row],[عدد الذكور]],0)</f>
        <v>0</v>
      </c>
      <c r="BG68" s="122">
        <f>IF(AND(الجدول145[[#This Row],[البرنامج]]="OOSCH",الجدول145[[#This Row],[نوع الجلسة]]=$BZ$6),الجدول145[[#This Row],[عدد الأناث]],0)</f>
        <v>0</v>
      </c>
      <c r="BH68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68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69" spans="4:61" ht="31.5" customHeight="1" x14ac:dyDescent="0.25">
      <c r="D69" s="9"/>
      <c r="E69" s="9"/>
      <c r="F69" s="9"/>
      <c r="G69" s="9"/>
      <c r="H69" s="9"/>
      <c r="I69" s="9"/>
      <c r="J69" s="9"/>
      <c r="K69" s="9">
        <f>SUM(الجدول145[[#This Row],[عدد الذكور]:[عدد الأناث]])</f>
        <v>0</v>
      </c>
      <c r="L69" s="120">
        <f>IF(AND(الجدول145[[#This Row],[البرنامج]]="PLW",الجدول145[[#This Row],[نوع الجلسة]]=$BZ$2),1,0)</f>
        <v>0</v>
      </c>
      <c r="M69" s="120">
        <f>IF(AND(الجدول145[[#This Row],[نوع الجلسة]]=$BZ$2,الجدول145[[#This Row],[البرنامج]]="PLW"),الجدول145[[#This Row],[عدد الذكور]],0)</f>
        <v>0</v>
      </c>
      <c r="N69" s="120">
        <f>IF(AND(الجدول145[[#This Row],[نوع الجلسة]]=$BZ$2,الجدول145[[#This Row],[البرنامج]]="PLW"),الجدول145[[#This Row],[عدد الأناث]],0)</f>
        <v>0</v>
      </c>
      <c r="O69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69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69" s="123">
        <f>IF(AND(الجدول145[[#This Row],[البرنامج]]="OOSCH",الجدول145[[#This Row],[نوع الجلسة]]=$BZ$2),1,0)</f>
        <v>0</v>
      </c>
      <c r="R69" s="123">
        <f>IF(AND(الجدول145[[#This Row],[البرنامج]]="OOSCH",الجدول145[[#This Row],[نوع الجلسة]]=$BZ$2),الجدول145[[#This Row],[عدد الذكور]],0)</f>
        <v>0</v>
      </c>
      <c r="S69" s="123">
        <f>IF(AND(الجدول145[[#This Row],[البرنامج]]="OOSCH",الجدول145[[#This Row],[نوع الجلسة]]=$BZ$2),الجدول145[[#This Row],[عدد الأناث]],0)</f>
        <v>0</v>
      </c>
      <c r="T69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69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69" s="124">
        <f>IF(AND(الجدول145[[#This Row],[البرنامج]]="PLW",الجدول145[[#This Row],[نوع الجلسة]]="معلومات صحة تغذوية للسيدة الحامل"),1,0)</f>
        <v>0</v>
      </c>
      <c r="W69" s="124">
        <f>IF(AND(الجدول145[[#This Row],[نوع الجلسة]]=$BZ$3,الجدول145[[#This Row],[البرنامج]]="PLW"),الجدول145[[#This Row],[عدد الذكور]],0)</f>
        <v>0</v>
      </c>
      <c r="X69" s="124">
        <f>IF(AND(الجدول145[[#This Row],[نوع الجلسة]]=$BZ$3,الجدول145[[#This Row],[البرنامج]]="PLW"),الجدول145[[#This Row],[عدد الأناث]],0)</f>
        <v>0</v>
      </c>
      <c r="Y69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69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69" s="113">
        <f>IF(AND(الجدول145[[#This Row],[البرنامج]]="PLW",الجدول145[[#This Row],[نوع الجلسة]]=$BZ$4),1,0)</f>
        <v>0</v>
      </c>
      <c r="AB69" s="113">
        <f>IF(AND(الجدول145[[#This Row],[البرنامج]]="PLW",الجدول145[[#This Row],[نوع الجلسة]]=$BZ$4),الجدول145[[#This Row],[عدد الذكور]],0)</f>
        <v>0</v>
      </c>
      <c r="AC69" s="113">
        <f>IF(AND(الجدول145[[#This Row],[البرنامج]]="PLW",الجدول145[[#This Row],[نوع الجلسة]]=$BZ$4),الجدول145[[#This Row],[عدد الأناث]],0)</f>
        <v>0</v>
      </c>
      <c r="AD69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69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69" s="125">
        <f>IF(AND(الجدول145[[#This Row],[البرنامج]]="OOSCH",الجدول145[[#This Row],[نوع الجلسة]]=$BZ$7),1,0)</f>
        <v>0</v>
      </c>
      <c r="AG69" s="125">
        <f>IF(AND(الجدول145[[#This Row],[البرنامج]]="OOSCH",الجدول145[[#This Row],[نوع الجلسة]]=$BZ$7),الجدول145[[#This Row],[عدد الذكور]],0)</f>
        <v>0</v>
      </c>
      <c r="AH69" s="125">
        <f>IF(AND(الجدول145[[#This Row],[البرنامج]]="OOSCH",الجدول145[[#This Row],[نوع الجلسة]]=$BZ$7),الجدول145[[#This Row],[عدد الأناث]],0)</f>
        <v>0</v>
      </c>
      <c r="AI69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69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69" s="126">
        <f>IF(AND(الجدول145[[#This Row],[البرنامج]]="OOSCH",الجدول145[[#This Row],[نوع الجلسة]]=$BZ$4),1,0)</f>
        <v>0</v>
      </c>
      <c r="AL69" s="126">
        <f>IF(AND(الجدول145[[#This Row],[البرنامج]]="OOSCH",الجدول145[[#This Row],[نوع الجلسة]]=$BZ$4),الجدول145[[#This Row],[عدد الذكور]],0)</f>
        <v>0</v>
      </c>
      <c r="AM69" s="126">
        <f>IF(AND(الجدول145[[#This Row],[البرنامج]]="OOSCH",الجدول145[[#This Row],[نوع الجلسة]]=$BZ$4),الجدول145[[#This Row],[عدد الأناث]],0)</f>
        <v>0</v>
      </c>
      <c r="AN69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69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69" s="123">
        <f>IF(AND(الجدول145[[#This Row],[نوع الجلسة]]=$BZ$5,الجدول145[[#This Row],[البرنامج]]=$BX$3),1,0)</f>
        <v>0</v>
      </c>
      <c r="AQ69" s="123">
        <f>IF(AND(الجدول145[[#This Row],[البرنامج]]="PLW",الجدول145[[#This Row],[نوع الجلسة]]=$BZ$5),الجدول145[[#This Row],[عدد الذكور]],0)</f>
        <v>0</v>
      </c>
      <c r="AR69" s="123">
        <f>IF(AND(الجدول145[[#This Row],[البرنامج]]="PLW",الجدول145[[#This Row],[نوع الجلسة]]=$BZ$5),الجدول145[[#This Row],[عدد الأناث]],0)</f>
        <v>0</v>
      </c>
      <c r="AS69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69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69" s="127">
        <f>IF(AND(الجدول145[[#This Row],[نوع الجلسة]]=$BZ$5,الجدول145[[#This Row],[البرنامج]]=$BX$2),1,0)</f>
        <v>0</v>
      </c>
      <c r="AV69" s="127">
        <f>IF(AND(الجدول145[[#This Row],[البرنامج]]="OOSCH",الجدول145[[#This Row],[نوع الجلسة]]=$BZ$5),الجدول145[[#This Row],[عدد الذكور]],0)</f>
        <v>0</v>
      </c>
      <c r="AW69" s="127">
        <f>IF(AND(الجدول145[[#This Row],[البرنامج]]="OOSCH",الجدول145[[#This Row],[نوع الجلسة]]=$BZ$5),الجدول145[[#This Row],[عدد الأناث]],0)</f>
        <v>0</v>
      </c>
      <c r="AX69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69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69" s="121">
        <f>IF(AND(الجدول145[[#This Row],[نوع الجلسة]]=$BZ$6,الجدول145[[#This Row],[البرنامج]]=$BX$3),1,0)</f>
        <v>0</v>
      </c>
      <c r="BA69" s="121">
        <f>IF(AND(الجدول145[[#This Row],[البرنامج]]="PLW",الجدول145[[#This Row],[نوع الجلسة]]=$BZ$6),الجدول145[[#This Row],[عدد الذكور]],0)</f>
        <v>0</v>
      </c>
      <c r="BB69" s="121">
        <f>IF(AND(الجدول145[[#This Row],[البرنامج]]="PLW",الجدول145[[#This Row],[نوع الجلسة]]=$BZ$6),الجدول145[[#This Row],[عدد الأناث]],0)</f>
        <v>0</v>
      </c>
      <c r="BC69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69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69" s="122">
        <f>IF(AND(الجدول145[[#This Row],[نوع الجلسة]]=$BZ$6,الجدول145[[#This Row],[البرنامج]]=$BX$2),1,0)</f>
        <v>0</v>
      </c>
      <c r="BF69" s="122">
        <f>IF(AND(الجدول145[[#This Row],[البرنامج]]="OOSCH",الجدول145[[#This Row],[نوع الجلسة]]=$BZ$6),الجدول145[[#This Row],[عدد الذكور]],0)</f>
        <v>0</v>
      </c>
      <c r="BG69" s="122">
        <f>IF(AND(الجدول145[[#This Row],[البرنامج]]="OOSCH",الجدول145[[#This Row],[نوع الجلسة]]=$BZ$6),الجدول145[[#This Row],[عدد الأناث]],0)</f>
        <v>0</v>
      </c>
      <c r="BH69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69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70" spans="4:61" ht="31.5" customHeight="1" x14ac:dyDescent="0.25">
      <c r="D70" s="9"/>
      <c r="E70" s="9"/>
      <c r="F70" s="9"/>
      <c r="G70" s="9"/>
      <c r="H70" s="9"/>
      <c r="I70" s="9"/>
      <c r="J70" s="9"/>
      <c r="K70" s="9">
        <f>SUM(الجدول145[[#This Row],[عدد الذكور]:[عدد الأناث]])</f>
        <v>0</v>
      </c>
      <c r="L70" s="120">
        <f>IF(AND(الجدول145[[#This Row],[البرنامج]]="PLW",الجدول145[[#This Row],[نوع الجلسة]]=$BZ$2),1,0)</f>
        <v>0</v>
      </c>
      <c r="M70" s="120">
        <f>IF(AND(الجدول145[[#This Row],[نوع الجلسة]]=$BZ$2,الجدول145[[#This Row],[البرنامج]]="PLW"),الجدول145[[#This Row],[عدد الذكور]],0)</f>
        <v>0</v>
      </c>
      <c r="N70" s="120">
        <f>IF(AND(الجدول145[[#This Row],[نوع الجلسة]]=$BZ$2,الجدول145[[#This Row],[البرنامج]]="PLW"),الجدول145[[#This Row],[عدد الأناث]],0)</f>
        <v>0</v>
      </c>
      <c r="O70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70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70" s="123">
        <f>IF(AND(الجدول145[[#This Row],[البرنامج]]="OOSCH",الجدول145[[#This Row],[نوع الجلسة]]=$BZ$2),1,0)</f>
        <v>0</v>
      </c>
      <c r="R70" s="123">
        <f>IF(AND(الجدول145[[#This Row],[البرنامج]]="OOSCH",الجدول145[[#This Row],[نوع الجلسة]]=$BZ$2),الجدول145[[#This Row],[عدد الذكور]],0)</f>
        <v>0</v>
      </c>
      <c r="S70" s="123">
        <f>IF(AND(الجدول145[[#This Row],[البرنامج]]="OOSCH",الجدول145[[#This Row],[نوع الجلسة]]=$BZ$2),الجدول145[[#This Row],[عدد الأناث]],0)</f>
        <v>0</v>
      </c>
      <c r="T70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70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70" s="124">
        <f>IF(AND(الجدول145[[#This Row],[البرنامج]]="PLW",الجدول145[[#This Row],[نوع الجلسة]]="معلومات صحة تغذوية للسيدة الحامل"),1,0)</f>
        <v>0</v>
      </c>
      <c r="W70" s="124">
        <f>IF(AND(الجدول145[[#This Row],[نوع الجلسة]]=$BZ$3,الجدول145[[#This Row],[البرنامج]]="PLW"),الجدول145[[#This Row],[عدد الذكور]],0)</f>
        <v>0</v>
      </c>
      <c r="X70" s="124">
        <f>IF(AND(الجدول145[[#This Row],[نوع الجلسة]]=$BZ$3,الجدول145[[#This Row],[البرنامج]]="PLW"),الجدول145[[#This Row],[عدد الأناث]],0)</f>
        <v>0</v>
      </c>
      <c r="Y70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70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70" s="113">
        <f>IF(AND(الجدول145[[#This Row],[البرنامج]]="PLW",الجدول145[[#This Row],[نوع الجلسة]]=$BZ$4),1,0)</f>
        <v>0</v>
      </c>
      <c r="AB70" s="113">
        <f>IF(AND(الجدول145[[#This Row],[البرنامج]]="PLW",الجدول145[[#This Row],[نوع الجلسة]]=$BZ$4),الجدول145[[#This Row],[عدد الذكور]],0)</f>
        <v>0</v>
      </c>
      <c r="AC70" s="113">
        <f>IF(AND(الجدول145[[#This Row],[البرنامج]]="PLW",الجدول145[[#This Row],[نوع الجلسة]]=$BZ$4),الجدول145[[#This Row],[عدد الأناث]],0)</f>
        <v>0</v>
      </c>
      <c r="AD70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70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70" s="125">
        <f>IF(AND(الجدول145[[#This Row],[البرنامج]]="OOSCH",الجدول145[[#This Row],[نوع الجلسة]]=$BZ$7),1,0)</f>
        <v>0</v>
      </c>
      <c r="AG70" s="125">
        <f>IF(AND(الجدول145[[#This Row],[البرنامج]]="OOSCH",الجدول145[[#This Row],[نوع الجلسة]]=$BZ$7),الجدول145[[#This Row],[عدد الذكور]],0)</f>
        <v>0</v>
      </c>
      <c r="AH70" s="125">
        <f>IF(AND(الجدول145[[#This Row],[البرنامج]]="OOSCH",الجدول145[[#This Row],[نوع الجلسة]]=$BZ$7),الجدول145[[#This Row],[عدد الأناث]],0)</f>
        <v>0</v>
      </c>
      <c r="AI70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70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70" s="126">
        <f>IF(AND(الجدول145[[#This Row],[البرنامج]]="OOSCH",الجدول145[[#This Row],[نوع الجلسة]]=$BZ$4),1,0)</f>
        <v>0</v>
      </c>
      <c r="AL70" s="126">
        <f>IF(AND(الجدول145[[#This Row],[البرنامج]]="OOSCH",الجدول145[[#This Row],[نوع الجلسة]]=$BZ$4),الجدول145[[#This Row],[عدد الذكور]],0)</f>
        <v>0</v>
      </c>
      <c r="AM70" s="126">
        <f>IF(AND(الجدول145[[#This Row],[البرنامج]]="OOSCH",الجدول145[[#This Row],[نوع الجلسة]]=$BZ$4),الجدول145[[#This Row],[عدد الأناث]],0)</f>
        <v>0</v>
      </c>
      <c r="AN70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70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70" s="123">
        <f>IF(AND(الجدول145[[#This Row],[نوع الجلسة]]=$BZ$5,الجدول145[[#This Row],[البرنامج]]=$BX$3),1,0)</f>
        <v>0</v>
      </c>
      <c r="AQ70" s="123">
        <f>IF(AND(الجدول145[[#This Row],[البرنامج]]="PLW",الجدول145[[#This Row],[نوع الجلسة]]=$BZ$5),الجدول145[[#This Row],[عدد الذكور]],0)</f>
        <v>0</v>
      </c>
      <c r="AR70" s="123">
        <f>IF(AND(الجدول145[[#This Row],[البرنامج]]="PLW",الجدول145[[#This Row],[نوع الجلسة]]=$BZ$5),الجدول145[[#This Row],[عدد الأناث]],0)</f>
        <v>0</v>
      </c>
      <c r="AS70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70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70" s="127">
        <f>IF(AND(الجدول145[[#This Row],[نوع الجلسة]]=$BZ$5,الجدول145[[#This Row],[البرنامج]]=$BX$2),1,0)</f>
        <v>0</v>
      </c>
      <c r="AV70" s="127">
        <f>IF(AND(الجدول145[[#This Row],[البرنامج]]="OOSCH",الجدول145[[#This Row],[نوع الجلسة]]=$BZ$5),الجدول145[[#This Row],[عدد الذكور]],0)</f>
        <v>0</v>
      </c>
      <c r="AW70" s="127">
        <f>IF(AND(الجدول145[[#This Row],[البرنامج]]="OOSCH",الجدول145[[#This Row],[نوع الجلسة]]=$BZ$5),الجدول145[[#This Row],[عدد الأناث]],0)</f>
        <v>0</v>
      </c>
      <c r="AX70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70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70" s="121">
        <f>IF(AND(الجدول145[[#This Row],[نوع الجلسة]]=$BZ$6,الجدول145[[#This Row],[البرنامج]]=$BX$3),1,0)</f>
        <v>0</v>
      </c>
      <c r="BA70" s="121">
        <f>IF(AND(الجدول145[[#This Row],[البرنامج]]="PLW",الجدول145[[#This Row],[نوع الجلسة]]=$BZ$6),الجدول145[[#This Row],[عدد الذكور]],0)</f>
        <v>0</v>
      </c>
      <c r="BB70" s="121">
        <f>IF(AND(الجدول145[[#This Row],[البرنامج]]="PLW",الجدول145[[#This Row],[نوع الجلسة]]=$BZ$6),الجدول145[[#This Row],[عدد الأناث]],0)</f>
        <v>0</v>
      </c>
      <c r="BC70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70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70" s="122">
        <f>IF(AND(الجدول145[[#This Row],[نوع الجلسة]]=$BZ$6,الجدول145[[#This Row],[البرنامج]]=$BX$2),1,0)</f>
        <v>0</v>
      </c>
      <c r="BF70" s="122">
        <f>IF(AND(الجدول145[[#This Row],[البرنامج]]="OOSCH",الجدول145[[#This Row],[نوع الجلسة]]=$BZ$6),الجدول145[[#This Row],[عدد الذكور]],0)</f>
        <v>0</v>
      </c>
      <c r="BG70" s="122">
        <f>IF(AND(الجدول145[[#This Row],[البرنامج]]="OOSCH",الجدول145[[#This Row],[نوع الجلسة]]=$BZ$6),الجدول145[[#This Row],[عدد الأناث]],0)</f>
        <v>0</v>
      </c>
      <c r="BH70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70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71" spans="4:61" ht="31.5" customHeight="1" x14ac:dyDescent="0.25">
      <c r="D71" s="9"/>
      <c r="E71" s="9"/>
      <c r="F71" s="9"/>
      <c r="G71" s="9"/>
      <c r="H71" s="9"/>
      <c r="I71" s="9"/>
      <c r="J71" s="9"/>
      <c r="K71" s="9">
        <f>SUM(الجدول145[[#This Row],[عدد الذكور]:[عدد الأناث]])</f>
        <v>0</v>
      </c>
      <c r="L71" s="120">
        <f>IF(AND(الجدول145[[#This Row],[البرنامج]]="PLW",الجدول145[[#This Row],[نوع الجلسة]]=$BZ$2),1,0)</f>
        <v>0</v>
      </c>
      <c r="M71" s="120">
        <f>IF(AND(الجدول145[[#This Row],[نوع الجلسة]]=$BZ$2,الجدول145[[#This Row],[البرنامج]]="PLW"),الجدول145[[#This Row],[عدد الذكور]],0)</f>
        <v>0</v>
      </c>
      <c r="N71" s="120">
        <f>IF(AND(الجدول145[[#This Row],[نوع الجلسة]]=$BZ$2,الجدول145[[#This Row],[البرنامج]]="PLW"),الجدول145[[#This Row],[عدد الأناث]],0)</f>
        <v>0</v>
      </c>
      <c r="O71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71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71" s="123">
        <f>IF(AND(الجدول145[[#This Row],[البرنامج]]="OOSCH",الجدول145[[#This Row],[نوع الجلسة]]=$BZ$2),1,0)</f>
        <v>0</v>
      </c>
      <c r="R71" s="123">
        <f>IF(AND(الجدول145[[#This Row],[البرنامج]]="OOSCH",الجدول145[[#This Row],[نوع الجلسة]]=$BZ$2),الجدول145[[#This Row],[عدد الذكور]],0)</f>
        <v>0</v>
      </c>
      <c r="S71" s="123">
        <f>IF(AND(الجدول145[[#This Row],[البرنامج]]="OOSCH",الجدول145[[#This Row],[نوع الجلسة]]=$BZ$2),الجدول145[[#This Row],[عدد الأناث]],0)</f>
        <v>0</v>
      </c>
      <c r="T71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71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71" s="124">
        <f>IF(AND(الجدول145[[#This Row],[البرنامج]]="PLW",الجدول145[[#This Row],[نوع الجلسة]]="معلومات صحة تغذوية للسيدة الحامل"),1,0)</f>
        <v>0</v>
      </c>
      <c r="W71" s="124">
        <f>IF(AND(الجدول145[[#This Row],[نوع الجلسة]]=$BZ$3,الجدول145[[#This Row],[البرنامج]]="PLW"),الجدول145[[#This Row],[عدد الذكور]],0)</f>
        <v>0</v>
      </c>
      <c r="X71" s="124">
        <f>IF(AND(الجدول145[[#This Row],[نوع الجلسة]]=$BZ$3,الجدول145[[#This Row],[البرنامج]]="PLW"),الجدول145[[#This Row],[عدد الأناث]],0)</f>
        <v>0</v>
      </c>
      <c r="Y71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71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71" s="113">
        <f>IF(AND(الجدول145[[#This Row],[البرنامج]]="PLW",الجدول145[[#This Row],[نوع الجلسة]]=$BZ$4),1,0)</f>
        <v>0</v>
      </c>
      <c r="AB71" s="113">
        <f>IF(AND(الجدول145[[#This Row],[البرنامج]]="PLW",الجدول145[[#This Row],[نوع الجلسة]]=$BZ$4),الجدول145[[#This Row],[عدد الذكور]],0)</f>
        <v>0</v>
      </c>
      <c r="AC71" s="113">
        <f>IF(AND(الجدول145[[#This Row],[البرنامج]]="PLW",الجدول145[[#This Row],[نوع الجلسة]]=$BZ$4),الجدول145[[#This Row],[عدد الأناث]],0)</f>
        <v>0</v>
      </c>
      <c r="AD71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71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71" s="125">
        <f>IF(AND(الجدول145[[#This Row],[البرنامج]]="OOSCH",الجدول145[[#This Row],[نوع الجلسة]]=$BZ$7),1,0)</f>
        <v>0</v>
      </c>
      <c r="AG71" s="125">
        <f>IF(AND(الجدول145[[#This Row],[البرنامج]]="OOSCH",الجدول145[[#This Row],[نوع الجلسة]]=$BZ$7),الجدول145[[#This Row],[عدد الذكور]],0)</f>
        <v>0</v>
      </c>
      <c r="AH71" s="125">
        <f>IF(AND(الجدول145[[#This Row],[البرنامج]]="OOSCH",الجدول145[[#This Row],[نوع الجلسة]]=$BZ$7),الجدول145[[#This Row],[عدد الأناث]],0)</f>
        <v>0</v>
      </c>
      <c r="AI71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71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71" s="126">
        <f>IF(AND(الجدول145[[#This Row],[البرنامج]]="OOSCH",الجدول145[[#This Row],[نوع الجلسة]]=$BZ$4),1,0)</f>
        <v>0</v>
      </c>
      <c r="AL71" s="126">
        <f>IF(AND(الجدول145[[#This Row],[البرنامج]]="OOSCH",الجدول145[[#This Row],[نوع الجلسة]]=$BZ$4),الجدول145[[#This Row],[عدد الذكور]],0)</f>
        <v>0</v>
      </c>
      <c r="AM71" s="126">
        <f>IF(AND(الجدول145[[#This Row],[البرنامج]]="OOSCH",الجدول145[[#This Row],[نوع الجلسة]]=$BZ$4),الجدول145[[#This Row],[عدد الأناث]],0)</f>
        <v>0</v>
      </c>
      <c r="AN71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71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71" s="123">
        <f>IF(AND(الجدول145[[#This Row],[نوع الجلسة]]=$BZ$5,الجدول145[[#This Row],[البرنامج]]=$BX$3),1,0)</f>
        <v>0</v>
      </c>
      <c r="AQ71" s="123">
        <f>IF(AND(الجدول145[[#This Row],[البرنامج]]="PLW",الجدول145[[#This Row],[نوع الجلسة]]=$BZ$5),الجدول145[[#This Row],[عدد الذكور]],0)</f>
        <v>0</v>
      </c>
      <c r="AR71" s="123">
        <f>IF(AND(الجدول145[[#This Row],[البرنامج]]="PLW",الجدول145[[#This Row],[نوع الجلسة]]=$BZ$5),الجدول145[[#This Row],[عدد الأناث]],0)</f>
        <v>0</v>
      </c>
      <c r="AS71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71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71" s="127">
        <f>IF(AND(الجدول145[[#This Row],[نوع الجلسة]]=$BZ$5,الجدول145[[#This Row],[البرنامج]]=$BX$2),1,0)</f>
        <v>0</v>
      </c>
      <c r="AV71" s="127">
        <f>IF(AND(الجدول145[[#This Row],[البرنامج]]="OOSCH",الجدول145[[#This Row],[نوع الجلسة]]=$BZ$5),الجدول145[[#This Row],[عدد الذكور]],0)</f>
        <v>0</v>
      </c>
      <c r="AW71" s="127">
        <f>IF(AND(الجدول145[[#This Row],[البرنامج]]="OOSCH",الجدول145[[#This Row],[نوع الجلسة]]=$BZ$5),الجدول145[[#This Row],[عدد الأناث]],0)</f>
        <v>0</v>
      </c>
      <c r="AX71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71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71" s="121">
        <f>IF(AND(الجدول145[[#This Row],[نوع الجلسة]]=$BZ$6,الجدول145[[#This Row],[البرنامج]]=$BX$3),1,0)</f>
        <v>0</v>
      </c>
      <c r="BA71" s="121">
        <f>IF(AND(الجدول145[[#This Row],[البرنامج]]="PLW",الجدول145[[#This Row],[نوع الجلسة]]=$BZ$6),الجدول145[[#This Row],[عدد الذكور]],0)</f>
        <v>0</v>
      </c>
      <c r="BB71" s="121">
        <f>IF(AND(الجدول145[[#This Row],[البرنامج]]="PLW",الجدول145[[#This Row],[نوع الجلسة]]=$BZ$6),الجدول145[[#This Row],[عدد الأناث]],0)</f>
        <v>0</v>
      </c>
      <c r="BC71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71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71" s="122">
        <f>IF(AND(الجدول145[[#This Row],[نوع الجلسة]]=$BZ$6,الجدول145[[#This Row],[البرنامج]]=$BX$2),1,0)</f>
        <v>0</v>
      </c>
      <c r="BF71" s="122">
        <f>IF(AND(الجدول145[[#This Row],[البرنامج]]="OOSCH",الجدول145[[#This Row],[نوع الجلسة]]=$BZ$6),الجدول145[[#This Row],[عدد الذكور]],0)</f>
        <v>0</v>
      </c>
      <c r="BG71" s="122">
        <f>IF(AND(الجدول145[[#This Row],[البرنامج]]="OOSCH",الجدول145[[#This Row],[نوع الجلسة]]=$BZ$6),الجدول145[[#This Row],[عدد الأناث]],0)</f>
        <v>0</v>
      </c>
      <c r="BH71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71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72" spans="4:61" ht="31.5" customHeight="1" x14ac:dyDescent="0.25">
      <c r="D72" s="9"/>
      <c r="E72" s="9"/>
      <c r="F72" s="9"/>
      <c r="G72" s="9"/>
      <c r="H72" s="9"/>
      <c r="I72" s="9"/>
      <c r="J72" s="9"/>
      <c r="K72" s="9">
        <f>SUM(الجدول145[[#This Row],[عدد الذكور]:[عدد الأناث]])</f>
        <v>0</v>
      </c>
      <c r="L72" s="120">
        <f>IF(AND(الجدول145[[#This Row],[البرنامج]]="PLW",الجدول145[[#This Row],[نوع الجلسة]]=$BZ$2),1,0)</f>
        <v>0</v>
      </c>
      <c r="M72" s="120">
        <f>IF(AND(الجدول145[[#This Row],[نوع الجلسة]]=$BZ$2,الجدول145[[#This Row],[البرنامج]]="PLW"),الجدول145[[#This Row],[عدد الذكور]],0)</f>
        <v>0</v>
      </c>
      <c r="N72" s="120">
        <f>IF(AND(الجدول145[[#This Row],[نوع الجلسة]]=$BZ$2,الجدول145[[#This Row],[البرنامج]]="PLW"),الجدول145[[#This Row],[عدد الأناث]],0)</f>
        <v>0</v>
      </c>
      <c r="O72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72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72" s="123">
        <f>IF(AND(الجدول145[[#This Row],[البرنامج]]="OOSCH",الجدول145[[#This Row],[نوع الجلسة]]=$BZ$2),1,0)</f>
        <v>0</v>
      </c>
      <c r="R72" s="123">
        <f>IF(AND(الجدول145[[#This Row],[البرنامج]]="OOSCH",الجدول145[[#This Row],[نوع الجلسة]]=$BZ$2),الجدول145[[#This Row],[عدد الذكور]],0)</f>
        <v>0</v>
      </c>
      <c r="S72" s="123">
        <f>IF(AND(الجدول145[[#This Row],[البرنامج]]="OOSCH",الجدول145[[#This Row],[نوع الجلسة]]=$BZ$2),الجدول145[[#This Row],[عدد الأناث]],0)</f>
        <v>0</v>
      </c>
      <c r="T72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72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72" s="124">
        <f>IF(AND(الجدول145[[#This Row],[البرنامج]]="PLW",الجدول145[[#This Row],[نوع الجلسة]]="معلومات صحة تغذوية للسيدة الحامل"),1,0)</f>
        <v>0</v>
      </c>
      <c r="W72" s="124">
        <f>IF(AND(الجدول145[[#This Row],[نوع الجلسة]]=$BZ$3,الجدول145[[#This Row],[البرنامج]]="PLW"),الجدول145[[#This Row],[عدد الذكور]],0)</f>
        <v>0</v>
      </c>
      <c r="X72" s="124">
        <f>IF(AND(الجدول145[[#This Row],[نوع الجلسة]]=$BZ$3,الجدول145[[#This Row],[البرنامج]]="PLW"),الجدول145[[#This Row],[عدد الأناث]],0)</f>
        <v>0</v>
      </c>
      <c r="Y72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72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72" s="113">
        <f>IF(AND(الجدول145[[#This Row],[البرنامج]]="PLW",الجدول145[[#This Row],[نوع الجلسة]]=$BZ$4),1,0)</f>
        <v>0</v>
      </c>
      <c r="AB72" s="113">
        <f>IF(AND(الجدول145[[#This Row],[البرنامج]]="PLW",الجدول145[[#This Row],[نوع الجلسة]]=$BZ$4),الجدول145[[#This Row],[عدد الذكور]],0)</f>
        <v>0</v>
      </c>
      <c r="AC72" s="113">
        <f>IF(AND(الجدول145[[#This Row],[البرنامج]]="PLW",الجدول145[[#This Row],[نوع الجلسة]]=$BZ$4),الجدول145[[#This Row],[عدد الأناث]],0)</f>
        <v>0</v>
      </c>
      <c r="AD72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72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72" s="125">
        <f>IF(AND(الجدول145[[#This Row],[البرنامج]]="OOSCH",الجدول145[[#This Row],[نوع الجلسة]]=$BZ$7),1,0)</f>
        <v>0</v>
      </c>
      <c r="AG72" s="125">
        <f>IF(AND(الجدول145[[#This Row],[البرنامج]]="OOSCH",الجدول145[[#This Row],[نوع الجلسة]]=$BZ$7),الجدول145[[#This Row],[عدد الذكور]],0)</f>
        <v>0</v>
      </c>
      <c r="AH72" s="125">
        <f>IF(AND(الجدول145[[#This Row],[البرنامج]]="OOSCH",الجدول145[[#This Row],[نوع الجلسة]]=$BZ$7),الجدول145[[#This Row],[عدد الأناث]],0)</f>
        <v>0</v>
      </c>
      <c r="AI72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72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72" s="126">
        <f>IF(AND(الجدول145[[#This Row],[البرنامج]]="OOSCH",الجدول145[[#This Row],[نوع الجلسة]]=$BZ$4),1,0)</f>
        <v>0</v>
      </c>
      <c r="AL72" s="126">
        <f>IF(AND(الجدول145[[#This Row],[البرنامج]]="OOSCH",الجدول145[[#This Row],[نوع الجلسة]]=$BZ$4),الجدول145[[#This Row],[عدد الذكور]],0)</f>
        <v>0</v>
      </c>
      <c r="AM72" s="126">
        <f>IF(AND(الجدول145[[#This Row],[البرنامج]]="OOSCH",الجدول145[[#This Row],[نوع الجلسة]]=$BZ$4),الجدول145[[#This Row],[عدد الأناث]],0)</f>
        <v>0</v>
      </c>
      <c r="AN72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72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72" s="123">
        <f>IF(AND(الجدول145[[#This Row],[نوع الجلسة]]=$BZ$5,الجدول145[[#This Row],[البرنامج]]=$BX$3),1,0)</f>
        <v>0</v>
      </c>
      <c r="AQ72" s="123">
        <f>IF(AND(الجدول145[[#This Row],[البرنامج]]="PLW",الجدول145[[#This Row],[نوع الجلسة]]=$BZ$5),الجدول145[[#This Row],[عدد الذكور]],0)</f>
        <v>0</v>
      </c>
      <c r="AR72" s="123">
        <f>IF(AND(الجدول145[[#This Row],[البرنامج]]="PLW",الجدول145[[#This Row],[نوع الجلسة]]=$BZ$5),الجدول145[[#This Row],[عدد الأناث]],0)</f>
        <v>0</v>
      </c>
      <c r="AS72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72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72" s="127">
        <f>IF(AND(الجدول145[[#This Row],[نوع الجلسة]]=$BZ$5,الجدول145[[#This Row],[البرنامج]]=$BX$2),1,0)</f>
        <v>0</v>
      </c>
      <c r="AV72" s="127">
        <f>IF(AND(الجدول145[[#This Row],[البرنامج]]="OOSCH",الجدول145[[#This Row],[نوع الجلسة]]=$BZ$5),الجدول145[[#This Row],[عدد الذكور]],0)</f>
        <v>0</v>
      </c>
      <c r="AW72" s="127">
        <f>IF(AND(الجدول145[[#This Row],[البرنامج]]="OOSCH",الجدول145[[#This Row],[نوع الجلسة]]=$BZ$5),الجدول145[[#This Row],[عدد الأناث]],0)</f>
        <v>0</v>
      </c>
      <c r="AX72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72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72" s="121">
        <f>IF(AND(الجدول145[[#This Row],[نوع الجلسة]]=$BZ$6,الجدول145[[#This Row],[البرنامج]]=$BX$3),1,0)</f>
        <v>0</v>
      </c>
      <c r="BA72" s="121">
        <f>IF(AND(الجدول145[[#This Row],[البرنامج]]="PLW",الجدول145[[#This Row],[نوع الجلسة]]=$BZ$6),الجدول145[[#This Row],[عدد الذكور]],0)</f>
        <v>0</v>
      </c>
      <c r="BB72" s="121">
        <f>IF(AND(الجدول145[[#This Row],[البرنامج]]="PLW",الجدول145[[#This Row],[نوع الجلسة]]=$BZ$6),الجدول145[[#This Row],[عدد الأناث]],0)</f>
        <v>0</v>
      </c>
      <c r="BC72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72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72" s="122">
        <f>IF(AND(الجدول145[[#This Row],[نوع الجلسة]]=$BZ$6,الجدول145[[#This Row],[البرنامج]]=$BX$2),1,0)</f>
        <v>0</v>
      </c>
      <c r="BF72" s="122">
        <f>IF(AND(الجدول145[[#This Row],[البرنامج]]="OOSCH",الجدول145[[#This Row],[نوع الجلسة]]=$BZ$6),الجدول145[[#This Row],[عدد الذكور]],0)</f>
        <v>0</v>
      </c>
      <c r="BG72" s="122">
        <f>IF(AND(الجدول145[[#This Row],[البرنامج]]="OOSCH",الجدول145[[#This Row],[نوع الجلسة]]=$BZ$6),الجدول145[[#This Row],[عدد الأناث]],0)</f>
        <v>0</v>
      </c>
      <c r="BH72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72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73" spans="4:61" ht="31.5" customHeight="1" x14ac:dyDescent="0.25">
      <c r="D73" s="9"/>
      <c r="E73" s="9"/>
      <c r="F73" s="9"/>
      <c r="G73" s="9"/>
      <c r="H73" s="9"/>
      <c r="I73" s="9"/>
      <c r="J73" s="9"/>
      <c r="K73" s="9">
        <f>SUM(الجدول145[[#This Row],[عدد الذكور]:[عدد الأناث]])</f>
        <v>0</v>
      </c>
      <c r="L73" s="120">
        <f>IF(AND(الجدول145[[#This Row],[البرنامج]]="PLW",الجدول145[[#This Row],[نوع الجلسة]]=$BZ$2),1,0)</f>
        <v>0</v>
      </c>
      <c r="M73" s="120">
        <f>IF(AND(الجدول145[[#This Row],[نوع الجلسة]]=$BZ$2,الجدول145[[#This Row],[البرنامج]]="PLW"),الجدول145[[#This Row],[عدد الذكور]],0)</f>
        <v>0</v>
      </c>
      <c r="N73" s="120">
        <f>IF(AND(الجدول145[[#This Row],[نوع الجلسة]]=$BZ$2,الجدول145[[#This Row],[البرنامج]]="PLW"),الجدول145[[#This Row],[عدد الأناث]],0)</f>
        <v>0</v>
      </c>
      <c r="O73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73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73" s="123">
        <f>IF(AND(الجدول145[[#This Row],[البرنامج]]="OOSCH",الجدول145[[#This Row],[نوع الجلسة]]=$BZ$2),1,0)</f>
        <v>0</v>
      </c>
      <c r="R73" s="123">
        <f>IF(AND(الجدول145[[#This Row],[البرنامج]]="OOSCH",الجدول145[[#This Row],[نوع الجلسة]]=$BZ$2),الجدول145[[#This Row],[عدد الذكور]],0)</f>
        <v>0</v>
      </c>
      <c r="S73" s="123">
        <f>IF(AND(الجدول145[[#This Row],[البرنامج]]="OOSCH",الجدول145[[#This Row],[نوع الجلسة]]=$BZ$2),الجدول145[[#This Row],[عدد الأناث]],0)</f>
        <v>0</v>
      </c>
      <c r="T73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73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73" s="124">
        <f>IF(AND(الجدول145[[#This Row],[البرنامج]]="PLW",الجدول145[[#This Row],[نوع الجلسة]]="معلومات صحة تغذوية للسيدة الحامل"),1,0)</f>
        <v>0</v>
      </c>
      <c r="W73" s="124">
        <f>IF(AND(الجدول145[[#This Row],[نوع الجلسة]]=$BZ$3,الجدول145[[#This Row],[البرنامج]]="PLW"),الجدول145[[#This Row],[عدد الذكور]],0)</f>
        <v>0</v>
      </c>
      <c r="X73" s="124">
        <f>IF(AND(الجدول145[[#This Row],[نوع الجلسة]]=$BZ$3,الجدول145[[#This Row],[البرنامج]]="PLW"),الجدول145[[#This Row],[عدد الأناث]],0)</f>
        <v>0</v>
      </c>
      <c r="Y73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73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73" s="113">
        <f>IF(AND(الجدول145[[#This Row],[البرنامج]]="PLW",الجدول145[[#This Row],[نوع الجلسة]]=$BZ$4),1,0)</f>
        <v>0</v>
      </c>
      <c r="AB73" s="113">
        <f>IF(AND(الجدول145[[#This Row],[البرنامج]]="PLW",الجدول145[[#This Row],[نوع الجلسة]]=$BZ$4),الجدول145[[#This Row],[عدد الذكور]],0)</f>
        <v>0</v>
      </c>
      <c r="AC73" s="113">
        <f>IF(AND(الجدول145[[#This Row],[البرنامج]]="PLW",الجدول145[[#This Row],[نوع الجلسة]]=$BZ$4),الجدول145[[#This Row],[عدد الأناث]],0)</f>
        <v>0</v>
      </c>
      <c r="AD73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73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73" s="125">
        <f>IF(AND(الجدول145[[#This Row],[البرنامج]]="OOSCH",الجدول145[[#This Row],[نوع الجلسة]]=$BZ$7),1,0)</f>
        <v>0</v>
      </c>
      <c r="AG73" s="125">
        <f>IF(AND(الجدول145[[#This Row],[البرنامج]]="OOSCH",الجدول145[[#This Row],[نوع الجلسة]]=$BZ$7),الجدول145[[#This Row],[عدد الذكور]],0)</f>
        <v>0</v>
      </c>
      <c r="AH73" s="125">
        <f>IF(AND(الجدول145[[#This Row],[البرنامج]]="OOSCH",الجدول145[[#This Row],[نوع الجلسة]]=$BZ$7),الجدول145[[#This Row],[عدد الأناث]],0)</f>
        <v>0</v>
      </c>
      <c r="AI73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73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73" s="126">
        <f>IF(AND(الجدول145[[#This Row],[البرنامج]]="OOSCH",الجدول145[[#This Row],[نوع الجلسة]]=$BZ$4),1,0)</f>
        <v>0</v>
      </c>
      <c r="AL73" s="126">
        <f>IF(AND(الجدول145[[#This Row],[البرنامج]]="OOSCH",الجدول145[[#This Row],[نوع الجلسة]]=$BZ$4),الجدول145[[#This Row],[عدد الذكور]],0)</f>
        <v>0</v>
      </c>
      <c r="AM73" s="126">
        <f>IF(AND(الجدول145[[#This Row],[البرنامج]]="OOSCH",الجدول145[[#This Row],[نوع الجلسة]]=$BZ$4),الجدول145[[#This Row],[عدد الأناث]],0)</f>
        <v>0</v>
      </c>
      <c r="AN73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73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73" s="123">
        <f>IF(AND(الجدول145[[#This Row],[نوع الجلسة]]=$BZ$5,الجدول145[[#This Row],[البرنامج]]=$BX$3),1,0)</f>
        <v>0</v>
      </c>
      <c r="AQ73" s="123">
        <f>IF(AND(الجدول145[[#This Row],[البرنامج]]="PLW",الجدول145[[#This Row],[نوع الجلسة]]=$BZ$5),الجدول145[[#This Row],[عدد الذكور]],0)</f>
        <v>0</v>
      </c>
      <c r="AR73" s="123">
        <f>IF(AND(الجدول145[[#This Row],[البرنامج]]="PLW",الجدول145[[#This Row],[نوع الجلسة]]=$BZ$5),الجدول145[[#This Row],[عدد الأناث]],0)</f>
        <v>0</v>
      </c>
      <c r="AS73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73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73" s="127">
        <f>IF(AND(الجدول145[[#This Row],[نوع الجلسة]]=$BZ$5,الجدول145[[#This Row],[البرنامج]]=$BX$2),1,0)</f>
        <v>0</v>
      </c>
      <c r="AV73" s="127">
        <f>IF(AND(الجدول145[[#This Row],[البرنامج]]="OOSCH",الجدول145[[#This Row],[نوع الجلسة]]=$BZ$5),الجدول145[[#This Row],[عدد الذكور]],0)</f>
        <v>0</v>
      </c>
      <c r="AW73" s="127">
        <f>IF(AND(الجدول145[[#This Row],[البرنامج]]="OOSCH",الجدول145[[#This Row],[نوع الجلسة]]=$BZ$5),الجدول145[[#This Row],[عدد الأناث]],0)</f>
        <v>0</v>
      </c>
      <c r="AX73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73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73" s="121">
        <f>IF(AND(الجدول145[[#This Row],[نوع الجلسة]]=$BZ$6,الجدول145[[#This Row],[البرنامج]]=$BX$3),1,0)</f>
        <v>0</v>
      </c>
      <c r="BA73" s="121">
        <f>IF(AND(الجدول145[[#This Row],[البرنامج]]="PLW",الجدول145[[#This Row],[نوع الجلسة]]=$BZ$6),الجدول145[[#This Row],[عدد الذكور]],0)</f>
        <v>0</v>
      </c>
      <c r="BB73" s="121">
        <f>IF(AND(الجدول145[[#This Row],[البرنامج]]="PLW",الجدول145[[#This Row],[نوع الجلسة]]=$BZ$6),الجدول145[[#This Row],[عدد الأناث]],0)</f>
        <v>0</v>
      </c>
      <c r="BC73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73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73" s="122">
        <f>IF(AND(الجدول145[[#This Row],[نوع الجلسة]]=$BZ$6,الجدول145[[#This Row],[البرنامج]]=$BX$2),1,0)</f>
        <v>0</v>
      </c>
      <c r="BF73" s="122">
        <f>IF(AND(الجدول145[[#This Row],[البرنامج]]="OOSCH",الجدول145[[#This Row],[نوع الجلسة]]=$BZ$6),الجدول145[[#This Row],[عدد الذكور]],0)</f>
        <v>0</v>
      </c>
      <c r="BG73" s="122">
        <f>IF(AND(الجدول145[[#This Row],[البرنامج]]="OOSCH",الجدول145[[#This Row],[نوع الجلسة]]=$BZ$6),الجدول145[[#This Row],[عدد الأناث]],0)</f>
        <v>0</v>
      </c>
      <c r="BH73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73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74" spans="4:61" ht="31.5" customHeight="1" x14ac:dyDescent="0.25">
      <c r="D74" s="9"/>
      <c r="E74" s="9"/>
      <c r="F74" s="9"/>
      <c r="G74" s="9"/>
      <c r="H74" s="9"/>
      <c r="I74" s="9"/>
      <c r="J74" s="9"/>
      <c r="K74" s="9">
        <f>SUM(الجدول145[[#This Row],[عدد الذكور]:[عدد الأناث]])</f>
        <v>0</v>
      </c>
      <c r="L74" s="120">
        <f>IF(AND(الجدول145[[#This Row],[البرنامج]]="PLW",الجدول145[[#This Row],[نوع الجلسة]]=$BZ$2),1,0)</f>
        <v>0</v>
      </c>
      <c r="M74" s="120">
        <f>IF(AND(الجدول145[[#This Row],[نوع الجلسة]]=$BZ$2,الجدول145[[#This Row],[البرنامج]]="PLW"),الجدول145[[#This Row],[عدد الذكور]],0)</f>
        <v>0</v>
      </c>
      <c r="N74" s="120">
        <f>IF(AND(الجدول145[[#This Row],[نوع الجلسة]]=$BZ$2,الجدول145[[#This Row],[البرنامج]]="PLW"),الجدول145[[#This Row],[عدد الأناث]],0)</f>
        <v>0</v>
      </c>
      <c r="O74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74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74" s="123">
        <f>IF(AND(الجدول145[[#This Row],[البرنامج]]="OOSCH",الجدول145[[#This Row],[نوع الجلسة]]=$BZ$2),1,0)</f>
        <v>0</v>
      </c>
      <c r="R74" s="123">
        <f>IF(AND(الجدول145[[#This Row],[البرنامج]]="OOSCH",الجدول145[[#This Row],[نوع الجلسة]]=$BZ$2),الجدول145[[#This Row],[عدد الذكور]],0)</f>
        <v>0</v>
      </c>
      <c r="S74" s="123">
        <f>IF(AND(الجدول145[[#This Row],[البرنامج]]="OOSCH",الجدول145[[#This Row],[نوع الجلسة]]=$BZ$2),الجدول145[[#This Row],[عدد الأناث]],0)</f>
        <v>0</v>
      </c>
      <c r="T74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74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74" s="124">
        <f>IF(AND(الجدول145[[#This Row],[البرنامج]]="PLW",الجدول145[[#This Row],[نوع الجلسة]]="معلومات صحة تغذوية للسيدة الحامل"),1,0)</f>
        <v>0</v>
      </c>
      <c r="W74" s="124">
        <f>IF(AND(الجدول145[[#This Row],[نوع الجلسة]]=$BZ$3,الجدول145[[#This Row],[البرنامج]]="PLW"),الجدول145[[#This Row],[عدد الذكور]],0)</f>
        <v>0</v>
      </c>
      <c r="X74" s="124">
        <f>IF(AND(الجدول145[[#This Row],[نوع الجلسة]]=$BZ$3,الجدول145[[#This Row],[البرنامج]]="PLW"),الجدول145[[#This Row],[عدد الأناث]],0)</f>
        <v>0</v>
      </c>
      <c r="Y74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74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74" s="113">
        <f>IF(AND(الجدول145[[#This Row],[البرنامج]]="PLW",الجدول145[[#This Row],[نوع الجلسة]]=$BZ$4),1,0)</f>
        <v>0</v>
      </c>
      <c r="AB74" s="113">
        <f>IF(AND(الجدول145[[#This Row],[البرنامج]]="PLW",الجدول145[[#This Row],[نوع الجلسة]]=$BZ$4),الجدول145[[#This Row],[عدد الذكور]],0)</f>
        <v>0</v>
      </c>
      <c r="AC74" s="113">
        <f>IF(AND(الجدول145[[#This Row],[البرنامج]]="PLW",الجدول145[[#This Row],[نوع الجلسة]]=$BZ$4),الجدول145[[#This Row],[عدد الأناث]],0)</f>
        <v>0</v>
      </c>
      <c r="AD74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74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74" s="125">
        <f>IF(AND(الجدول145[[#This Row],[البرنامج]]="OOSCH",الجدول145[[#This Row],[نوع الجلسة]]=$BZ$7),1,0)</f>
        <v>0</v>
      </c>
      <c r="AG74" s="125">
        <f>IF(AND(الجدول145[[#This Row],[البرنامج]]="OOSCH",الجدول145[[#This Row],[نوع الجلسة]]=$BZ$7),الجدول145[[#This Row],[عدد الذكور]],0)</f>
        <v>0</v>
      </c>
      <c r="AH74" s="125">
        <f>IF(AND(الجدول145[[#This Row],[البرنامج]]="OOSCH",الجدول145[[#This Row],[نوع الجلسة]]=$BZ$7),الجدول145[[#This Row],[عدد الأناث]],0)</f>
        <v>0</v>
      </c>
      <c r="AI74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74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74" s="126">
        <f>IF(AND(الجدول145[[#This Row],[البرنامج]]="OOSCH",الجدول145[[#This Row],[نوع الجلسة]]=$BZ$4),1,0)</f>
        <v>0</v>
      </c>
      <c r="AL74" s="126">
        <f>IF(AND(الجدول145[[#This Row],[البرنامج]]="OOSCH",الجدول145[[#This Row],[نوع الجلسة]]=$BZ$4),الجدول145[[#This Row],[عدد الذكور]],0)</f>
        <v>0</v>
      </c>
      <c r="AM74" s="126">
        <f>IF(AND(الجدول145[[#This Row],[البرنامج]]="OOSCH",الجدول145[[#This Row],[نوع الجلسة]]=$BZ$4),الجدول145[[#This Row],[عدد الأناث]],0)</f>
        <v>0</v>
      </c>
      <c r="AN74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74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74" s="123">
        <f>IF(AND(الجدول145[[#This Row],[نوع الجلسة]]=$BZ$5,الجدول145[[#This Row],[البرنامج]]=$BX$3),1,0)</f>
        <v>0</v>
      </c>
      <c r="AQ74" s="123">
        <f>IF(AND(الجدول145[[#This Row],[البرنامج]]="PLW",الجدول145[[#This Row],[نوع الجلسة]]=$BZ$5),الجدول145[[#This Row],[عدد الذكور]],0)</f>
        <v>0</v>
      </c>
      <c r="AR74" s="123">
        <f>IF(AND(الجدول145[[#This Row],[البرنامج]]="PLW",الجدول145[[#This Row],[نوع الجلسة]]=$BZ$5),الجدول145[[#This Row],[عدد الأناث]],0)</f>
        <v>0</v>
      </c>
      <c r="AS74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74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74" s="127">
        <f>IF(AND(الجدول145[[#This Row],[نوع الجلسة]]=$BZ$5,الجدول145[[#This Row],[البرنامج]]=$BX$2),1,0)</f>
        <v>0</v>
      </c>
      <c r="AV74" s="127">
        <f>IF(AND(الجدول145[[#This Row],[البرنامج]]="OOSCH",الجدول145[[#This Row],[نوع الجلسة]]=$BZ$5),الجدول145[[#This Row],[عدد الذكور]],0)</f>
        <v>0</v>
      </c>
      <c r="AW74" s="127">
        <f>IF(AND(الجدول145[[#This Row],[البرنامج]]="OOSCH",الجدول145[[#This Row],[نوع الجلسة]]=$BZ$5),الجدول145[[#This Row],[عدد الأناث]],0)</f>
        <v>0</v>
      </c>
      <c r="AX74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74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74" s="121">
        <f>IF(AND(الجدول145[[#This Row],[نوع الجلسة]]=$BZ$6,الجدول145[[#This Row],[البرنامج]]=$BX$3),1,0)</f>
        <v>0</v>
      </c>
      <c r="BA74" s="121">
        <f>IF(AND(الجدول145[[#This Row],[البرنامج]]="PLW",الجدول145[[#This Row],[نوع الجلسة]]=$BZ$6),الجدول145[[#This Row],[عدد الذكور]],0)</f>
        <v>0</v>
      </c>
      <c r="BB74" s="121">
        <f>IF(AND(الجدول145[[#This Row],[البرنامج]]="PLW",الجدول145[[#This Row],[نوع الجلسة]]=$BZ$6),الجدول145[[#This Row],[عدد الأناث]],0)</f>
        <v>0</v>
      </c>
      <c r="BC74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74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74" s="122">
        <f>IF(AND(الجدول145[[#This Row],[نوع الجلسة]]=$BZ$6,الجدول145[[#This Row],[البرنامج]]=$BX$2),1,0)</f>
        <v>0</v>
      </c>
      <c r="BF74" s="122">
        <f>IF(AND(الجدول145[[#This Row],[البرنامج]]="OOSCH",الجدول145[[#This Row],[نوع الجلسة]]=$BZ$6),الجدول145[[#This Row],[عدد الذكور]],0)</f>
        <v>0</v>
      </c>
      <c r="BG74" s="122">
        <f>IF(AND(الجدول145[[#This Row],[البرنامج]]="OOSCH",الجدول145[[#This Row],[نوع الجلسة]]=$BZ$6),الجدول145[[#This Row],[عدد الأناث]],0)</f>
        <v>0</v>
      </c>
      <c r="BH74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74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75" spans="4:61" ht="31.5" customHeight="1" x14ac:dyDescent="0.25">
      <c r="D75" s="9"/>
      <c r="E75" s="9"/>
      <c r="F75" s="9"/>
      <c r="G75" s="9"/>
      <c r="H75" s="9"/>
      <c r="I75" s="9"/>
      <c r="J75" s="9"/>
      <c r="K75" s="9">
        <f>SUM(الجدول145[[#This Row],[عدد الذكور]:[عدد الأناث]])</f>
        <v>0</v>
      </c>
      <c r="L75" s="120">
        <f>IF(AND(الجدول145[[#This Row],[البرنامج]]="PLW",الجدول145[[#This Row],[نوع الجلسة]]=$BZ$2),1,0)</f>
        <v>0</v>
      </c>
      <c r="M75" s="120">
        <f>IF(AND(الجدول145[[#This Row],[نوع الجلسة]]=$BZ$2,الجدول145[[#This Row],[البرنامج]]="PLW"),الجدول145[[#This Row],[عدد الذكور]],0)</f>
        <v>0</v>
      </c>
      <c r="N75" s="120">
        <f>IF(AND(الجدول145[[#This Row],[نوع الجلسة]]=$BZ$2,الجدول145[[#This Row],[البرنامج]]="PLW"),الجدول145[[#This Row],[عدد الأناث]],0)</f>
        <v>0</v>
      </c>
      <c r="O75" s="120" t="str">
        <f>IF(AND(الجدول145[[#This Row],[نوع الجلسة]]=$BZ$2,الجدول145[[#This Row],[البرنامج]]="PLW"),الجدول145[[#This Row],[العمر الأكبر ضمن الجلسة]]," ")</f>
        <v xml:space="preserve"> </v>
      </c>
      <c r="P75" s="120" t="str">
        <f>IF(AND(الجدول145[[#This Row],[نوع الجلسة]]=$BZ$2,الجدول145[[#This Row],[البرنامج]]="PLW"),الجدول145[[#This Row],[العمر الأصغر ضمن الجلسة]]," ")</f>
        <v xml:space="preserve"> </v>
      </c>
      <c r="Q75" s="123">
        <f>IF(AND(الجدول145[[#This Row],[البرنامج]]="OOSCH",الجدول145[[#This Row],[نوع الجلسة]]=$BZ$2),1,0)</f>
        <v>0</v>
      </c>
      <c r="R75" s="123">
        <f>IF(AND(الجدول145[[#This Row],[البرنامج]]="OOSCH",الجدول145[[#This Row],[نوع الجلسة]]=$BZ$2),الجدول145[[#This Row],[عدد الذكور]],0)</f>
        <v>0</v>
      </c>
      <c r="S75" s="123">
        <f>IF(AND(الجدول145[[#This Row],[البرنامج]]="OOSCH",الجدول145[[#This Row],[نوع الجلسة]]=$BZ$2),الجدول145[[#This Row],[عدد الأناث]],0)</f>
        <v>0</v>
      </c>
      <c r="T75" s="123" t="str">
        <f>IF(AND(الجدول145[[#This Row],[البرنامج]]="OOSCH",الجدول145[[#This Row],[نوع الجلسة]]=$BZ$2),الجدول145[[#This Row],[العمر الأكبر ضمن الجلسة]]," ")</f>
        <v xml:space="preserve"> </v>
      </c>
      <c r="U75" s="123" t="str">
        <f>IF(AND(الجدول145[[#This Row],[البرنامج]]="OOSCH",الجدول145[[#This Row],[نوع الجلسة]]=$BZ$2),الجدول145[[#This Row],[العمر الأصغر ضمن الجلسة]]," ")</f>
        <v xml:space="preserve"> </v>
      </c>
      <c r="V75" s="124">
        <f>IF(AND(الجدول145[[#This Row],[البرنامج]]="PLW",الجدول145[[#This Row],[نوع الجلسة]]="معلومات صحة تغذوية للسيدة الحامل"),1,0)</f>
        <v>0</v>
      </c>
      <c r="W75" s="124">
        <f>IF(AND(الجدول145[[#This Row],[نوع الجلسة]]=$BZ$3,الجدول145[[#This Row],[البرنامج]]="PLW"),الجدول145[[#This Row],[عدد الذكور]],0)</f>
        <v>0</v>
      </c>
      <c r="X75" s="124">
        <f>IF(AND(الجدول145[[#This Row],[نوع الجلسة]]=$BZ$3,الجدول145[[#This Row],[البرنامج]]="PLW"),الجدول145[[#This Row],[عدد الأناث]],0)</f>
        <v>0</v>
      </c>
      <c r="Y75" s="124" t="str">
        <f>IF(AND(الجدول145[[#This Row],[نوع الجلسة]]=$BZ$3,الجدول145[[#This Row],[البرنامج]]="PLW"),الجدول145[[#This Row],[العمر الأكبر ضمن الجلسة]]," ")</f>
        <v xml:space="preserve"> </v>
      </c>
      <c r="Z75" s="124" t="str">
        <f>IF(AND(الجدول145[[#This Row],[نوع الجلسة]]=$BZ$3,الجدول145[[#This Row],[البرنامج]]="PLW"),الجدول145[[#This Row],[العمر الأصغر ضمن الجلسة]]," ")</f>
        <v xml:space="preserve"> </v>
      </c>
      <c r="AA75" s="113">
        <f>IF(AND(الجدول145[[#This Row],[البرنامج]]="PLW",الجدول145[[#This Row],[نوع الجلسة]]=$BZ$4),1,0)</f>
        <v>0</v>
      </c>
      <c r="AB75" s="113">
        <f>IF(AND(الجدول145[[#This Row],[البرنامج]]="PLW",الجدول145[[#This Row],[نوع الجلسة]]=$BZ$4),الجدول145[[#This Row],[عدد الذكور]],0)</f>
        <v>0</v>
      </c>
      <c r="AC75" s="113">
        <f>IF(AND(الجدول145[[#This Row],[البرنامج]]="PLW",الجدول145[[#This Row],[نوع الجلسة]]=$BZ$4),الجدول145[[#This Row],[عدد الأناث]],0)</f>
        <v>0</v>
      </c>
      <c r="AD75" s="113" t="str">
        <f>IF(AND(الجدول145[[#This Row],[البرنامج]]="PLW",الجدول145[[#This Row],[نوع الجلسة]]=$BZ$4),الجدول145[[#This Row],[العمر الأكبر ضمن الجلسة]]," ")</f>
        <v xml:space="preserve"> </v>
      </c>
      <c r="AE75" s="113" t="str">
        <f>IF(AND(الجدول145[[#This Row],[البرنامج]]="PLW",الجدول145[[#This Row],[نوع الجلسة]]=$BZ$4),الجدول145[[#This Row],[العمر الأصغر ضمن الجلسة]]," ")</f>
        <v xml:space="preserve"> </v>
      </c>
      <c r="AF75" s="125">
        <f>IF(AND(الجدول145[[#This Row],[البرنامج]]="OOSCH",الجدول145[[#This Row],[نوع الجلسة]]=$BZ$7),1,0)</f>
        <v>0</v>
      </c>
      <c r="AG75" s="125">
        <f>IF(AND(الجدول145[[#This Row],[البرنامج]]="OOSCH",الجدول145[[#This Row],[نوع الجلسة]]=$BZ$7),الجدول145[[#This Row],[عدد الذكور]],0)</f>
        <v>0</v>
      </c>
      <c r="AH75" s="125">
        <f>IF(AND(الجدول145[[#This Row],[البرنامج]]="OOSCH",الجدول145[[#This Row],[نوع الجلسة]]=$BZ$7),الجدول145[[#This Row],[عدد الأناث]],0)</f>
        <v>0</v>
      </c>
      <c r="AI75" s="125" t="str">
        <f>IF(AND(الجدول145[[#This Row],[البرنامج]]="OOSCH",الجدول145[[#This Row],[نوع الجلسة]]=$BZ$7),الجدول145[[#This Row],[العمر الأكبر ضمن الجلسة]]," ")</f>
        <v xml:space="preserve"> </v>
      </c>
      <c r="AJ75" s="125" t="str">
        <f>IF(AND(الجدول145[[#This Row],[البرنامج]]="OOSCH",الجدول145[[#This Row],[نوع الجلسة]]=$BZ$7),الجدول145[[#This Row],[العمر الأصغر ضمن الجلسة]]," ")</f>
        <v xml:space="preserve"> </v>
      </c>
      <c r="AK75" s="126">
        <f>IF(AND(الجدول145[[#This Row],[البرنامج]]="OOSCH",الجدول145[[#This Row],[نوع الجلسة]]=$BZ$4),1,0)</f>
        <v>0</v>
      </c>
      <c r="AL75" s="126">
        <f>IF(AND(الجدول145[[#This Row],[البرنامج]]="OOSCH",الجدول145[[#This Row],[نوع الجلسة]]=$BZ$4),الجدول145[[#This Row],[عدد الذكور]],0)</f>
        <v>0</v>
      </c>
      <c r="AM75" s="126">
        <f>IF(AND(الجدول145[[#This Row],[البرنامج]]="OOSCH",الجدول145[[#This Row],[نوع الجلسة]]=$BZ$4),الجدول145[[#This Row],[عدد الأناث]],0)</f>
        <v>0</v>
      </c>
      <c r="AN75" s="126" t="str">
        <f>IF(AND(الجدول145[[#This Row],[البرنامج]]="OOSCH",الجدول145[[#This Row],[نوع الجلسة]]=$BZ$4),الجدول145[[#This Row],[العمر الأكبر ضمن الجلسة]]," ")</f>
        <v xml:space="preserve"> </v>
      </c>
      <c r="AO75" s="126" t="str">
        <f>IF(AND(الجدول145[[#This Row],[البرنامج]]="OOSCH",الجدول145[[#This Row],[نوع الجلسة]]=$BZ$4),الجدول145[[#This Row],[العمر الأصغر ضمن الجلسة]]," ")</f>
        <v xml:space="preserve"> </v>
      </c>
      <c r="AP75" s="123">
        <f>IF(AND(الجدول145[[#This Row],[نوع الجلسة]]=$BZ$5,الجدول145[[#This Row],[البرنامج]]=$BX$3),1,0)</f>
        <v>0</v>
      </c>
      <c r="AQ75" s="123">
        <f>IF(AND(الجدول145[[#This Row],[البرنامج]]="PLW",الجدول145[[#This Row],[نوع الجلسة]]=$BZ$5),الجدول145[[#This Row],[عدد الذكور]],0)</f>
        <v>0</v>
      </c>
      <c r="AR75" s="123">
        <f>IF(AND(الجدول145[[#This Row],[البرنامج]]="PLW",الجدول145[[#This Row],[نوع الجلسة]]=$BZ$5),الجدول145[[#This Row],[عدد الأناث]],0)</f>
        <v>0</v>
      </c>
      <c r="AS75" s="123" t="str">
        <f>IF(AND(الجدول145[[#This Row],[البرنامج]]="PLW",الجدول145[[#This Row],[نوع الجلسة]]=$BZ$5),الجدول145[[#This Row],[العمر الأكبر ضمن الجلسة]]," ")</f>
        <v xml:space="preserve"> </v>
      </c>
      <c r="AT75" s="123" t="str">
        <f>IF(AND(الجدول145[[#This Row],[البرنامج]]="PLW",الجدول145[[#This Row],[نوع الجلسة]]=$BZ$5),الجدول145[[#This Row],[العمر الأصغر ضمن الجلسة]]," ")</f>
        <v xml:space="preserve"> </v>
      </c>
      <c r="AU75" s="127">
        <f>IF(AND(الجدول145[[#This Row],[نوع الجلسة]]=$BZ$5,الجدول145[[#This Row],[البرنامج]]=$BX$2),1,0)</f>
        <v>0</v>
      </c>
      <c r="AV75" s="127">
        <f>IF(AND(الجدول145[[#This Row],[البرنامج]]="OOSCH",الجدول145[[#This Row],[نوع الجلسة]]=$BZ$5),الجدول145[[#This Row],[عدد الذكور]],0)</f>
        <v>0</v>
      </c>
      <c r="AW75" s="127">
        <f>IF(AND(الجدول145[[#This Row],[البرنامج]]="OOSCH",الجدول145[[#This Row],[نوع الجلسة]]=$BZ$5),الجدول145[[#This Row],[عدد الأناث]],0)</f>
        <v>0</v>
      </c>
      <c r="AX75" s="127" t="str">
        <f>IF(AND(الجدول145[[#This Row],[البرنامج]]="OOSCH",الجدول145[[#This Row],[نوع الجلسة]]=$BZ$5),الجدول145[[#This Row],[العمر الأكبر ضمن الجلسة]]," ")</f>
        <v xml:space="preserve"> </v>
      </c>
      <c r="AY75" s="127" t="str">
        <f>IF(AND(الجدول145[[#This Row],[البرنامج]]="OOSCH",الجدول145[[#This Row],[نوع الجلسة]]=$BZ$5),الجدول145[[#This Row],[العمر الأصغر ضمن الجلسة]]," ")</f>
        <v xml:space="preserve"> </v>
      </c>
      <c r="AZ75" s="121">
        <f>IF(AND(الجدول145[[#This Row],[نوع الجلسة]]=$BZ$6,الجدول145[[#This Row],[البرنامج]]=$BX$3),1,0)</f>
        <v>0</v>
      </c>
      <c r="BA75" s="121">
        <f>IF(AND(الجدول145[[#This Row],[البرنامج]]="PLW",الجدول145[[#This Row],[نوع الجلسة]]=$BZ$6),الجدول145[[#This Row],[عدد الذكور]],0)</f>
        <v>0</v>
      </c>
      <c r="BB75" s="121">
        <f>IF(AND(الجدول145[[#This Row],[البرنامج]]="PLW",الجدول145[[#This Row],[نوع الجلسة]]=$BZ$6),الجدول145[[#This Row],[عدد الأناث]],0)</f>
        <v>0</v>
      </c>
      <c r="BC75" s="121" t="str">
        <f>IF(AND(الجدول145[[#This Row],[البرنامج]]="PLW",الجدول145[[#This Row],[نوع الجلسة]]=$BZ$6),الجدول145[[#This Row],[العمر الأكبر ضمن الجلسة]]," ")</f>
        <v xml:space="preserve"> </v>
      </c>
      <c r="BD75" s="121" t="str">
        <f>IF(AND(الجدول145[[#This Row],[البرنامج]]="PLW",الجدول145[[#This Row],[نوع الجلسة]]=$BZ$6),الجدول145[[#This Row],[العمر الأصغر ضمن الجلسة]]," ")</f>
        <v xml:space="preserve"> </v>
      </c>
      <c r="BE75" s="122">
        <f>IF(AND(الجدول145[[#This Row],[نوع الجلسة]]=$BZ$6,الجدول145[[#This Row],[البرنامج]]=$BX$2),1,0)</f>
        <v>0</v>
      </c>
      <c r="BF75" s="122">
        <f>IF(AND(الجدول145[[#This Row],[البرنامج]]="OOSCH",الجدول145[[#This Row],[نوع الجلسة]]=$BZ$6),الجدول145[[#This Row],[عدد الذكور]],0)</f>
        <v>0</v>
      </c>
      <c r="BG75" s="122">
        <f>IF(AND(الجدول145[[#This Row],[البرنامج]]="OOSCH",الجدول145[[#This Row],[نوع الجلسة]]=$BZ$6),الجدول145[[#This Row],[عدد الأناث]],0)</f>
        <v>0</v>
      </c>
      <c r="BH75" s="122" t="str">
        <f>IF(AND(الجدول145[[#This Row],[البرنامج]]="OOSCH",الجدول145[[#This Row],[نوع الجلسة]]=$BZ$6),الجدول145[[#This Row],[العمر الأكبر ضمن الجلسة]]," ")</f>
        <v xml:space="preserve"> </v>
      </c>
      <c r="BI75" s="122" t="str">
        <f>IF(AND(الجدول145[[#This Row],[البرنامج]]="OOSCH",الجدول145[[#This Row],[نوع الجلسة]]=$BZ$6),الجدول145[[#This Row],[العمر الأصغر ضمن الجلسة]]," ")</f>
        <v xml:space="preserve"> </v>
      </c>
    </row>
    <row r="76" spans="4:61" ht="31.5" customHeight="1" x14ac:dyDescent="0.25">
      <c r="D76" s="9" t="s">
        <v>161</v>
      </c>
      <c r="E76" s="9"/>
      <c r="F76" s="9"/>
      <c r="G76" s="9"/>
      <c r="H76" s="9"/>
      <c r="I76" s="9"/>
      <c r="J76" s="9"/>
      <c r="K76" s="9">
        <f>SUBTOTAL(109,الجدول145[عدد المستفيدين])</f>
        <v>0</v>
      </c>
      <c r="L76" s="120">
        <f>SUBTOTAL(109,الجدول145[تعريف ببرنامج الـ PLW])</f>
        <v>0</v>
      </c>
      <c r="M76" s="120">
        <f>SUBTOTAL(109,الجدول145[عدد الذكور في جلسات التعريف بـ PLW])</f>
        <v>0</v>
      </c>
      <c r="N76" s="120">
        <f>SUBTOTAL(109,الجدول145[عدد الاناث في جلسات التعريف بـPLW])</f>
        <v>0</v>
      </c>
      <c r="O76" s="120">
        <f>SUBTOTAL(104,الجدول145[الفئة العمرية الكبرى في جلسات التعريف بـPLW])</f>
        <v>0</v>
      </c>
      <c r="P76" s="120">
        <f>SUBTOTAL(105,الجدول145[الفئة العمرية الصغرى في جلسات التعريف بـPLW])</f>
        <v>0</v>
      </c>
      <c r="Q76" s="123">
        <f>SUBTOTAL(109,الجدول145[تعريف ببرنامج الـ OOSCH])</f>
        <v>0</v>
      </c>
      <c r="R76" s="123">
        <f>SUBTOTAL(109,الجدول145[عدد الذكور في جلسات التعريف بـ OOSCH])</f>
        <v>0</v>
      </c>
      <c r="S76" s="123">
        <f>SUBTOTAL(109,الجدول145[عدد الاناث في جلسات التعريف بـOOSCH])</f>
        <v>0</v>
      </c>
      <c r="T76" s="123">
        <f>SUBTOTAL(104,الجدول145[الفئة العمرية الكبرى في جلسات التعريف بـOOSCH])</f>
        <v>0</v>
      </c>
      <c r="U76" s="123">
        <f>SUBTOTAL(105,الجدول145[الفئة العمرية الصغرى في جلسات التعريف بـOOSCH2])</f>
        <v>0</v>
      </c>
      <c r="V76" s="124">
        <f>SUBTOTAL(109,الجدول145[معلومات صحة تغذوية للسيدة الحامل])</f>
        <v>0</v>
      </c>
      <c r="W76" s="124">
        <f>SUBTOTAL(109,الجدول145[عدد الذكور في جلسات معلومات الصحة التغذوية])</f>
        <v>0</v>
      </c>
      <c r="X76" s="124">
        <f>SUBTOTAL(109,الجدول145[عدد الاناث في جلسات معلومات الصحة التغذوية])</f>
        <v>0</v>
      </c>
      <c r="Y76" s="124">
        <f>SUBTOTAL(104,الجدول145[فئة عمرية كبرى لجلسات الصحة التغذوية])</f>
        <v>0</v>
      </c>
      <c r="Z76" s="124">
        <f>SUBTOTAL(105,الجدول145[فئة عمرية صغرى لجلسات الصحة التغذوية])</f>
        <v>0</v>
      </c>
      <c r="AA76" s="113">
        <f>SUBTOTAL(109,الجدول145[تعليمات الية صرف البطاقة لـ PLW])</f>
        <v>0</v>
      </c>
      <c r="AB76" s="113">
        <f>SUBTOTAL(109,الجدول145[عدد الذكور في جلسات تعليم آلية صرف البطاقة لـPLW])</f>
        <v>0</v>
      </c>
      <c r="AC76" s="113">
        <f>SUBTOTAL(109,الجدول145[عدد الاناث في جلسات تعليم آلية صرف البطاقة لـPLW])</f>
        <v>0</v>
      </c>
      <c r="AD76" s="113">
        <f>SUBTOTAL(104,الجدول145[فئة عمرية كبرى لجلسات تعليم صرف البطاقة لـPLW])</f>
        <v>0</v>
      </c>
      <c r="AE76" s="113">
        <f>SUBTOTAL(105,الجدول145[فئة عمرية صغرى لجلسات تعليم صرف البطاقة لـPLW])</f>
        <v>0</v>
      </c>
      <c r="AF76" s="125">
        <f>SUBTOTAL(109,الجدول145[أهمية التعليم ومخاطر التسرب])</f>
        <v>0</v>
      </c>
      <c r="AG76" s="125">
        <f>SUBTOTAL(109,الجدول145[عدد الذكور في جلسات أهمية التعليم])</f>
        <v>0</v>
      </c>
      <c r="AH76" s="125">
        <f>SUBTOTAL(109,الجدول145[عدد الاناث في جلسات أهمية التعلم])</f>
        <v>0</v>
      </c>
      <c r="AI76" s="125">
        <f>SUBTOTAL(104,الجدول145[فئة عمرية كبرى لجلسات أهمية التعلم])</f>
        <v>0</v>
      </c>
      <c r="AJ76" s="125">
        <f>SUBTOTAL(105,الجدول145[فئة عمرية صغرى لجلسات أهمية التعلم])</f>
        <v>0</v>
      </c>
      <c r="AK76" s="126">
        <f>SUBTOTAL(109,الجدول145[تعليمات آلية صرف البطاقة لـOOSCH])</f>
        <v>0</v>
      </c>
      <c r="AL76" s="126">
        <f>SUBTOTAL(109,الجدول145[عدد الذكور في جلسات تعليم آلية صرف البطاقة لـOOSCH])</f>
        <v>0</v>
      </c>
      <c r="AM76" s="126">
        <f>SUBTOTAL(109,الجدول145[عدد الاناث في جلسات تعليم آلية صرف البطاقة لـOOSCH])</f>
        <v>0</v>
      </c>
      <c r="AN76" s="126">
        <f>SUBTOTAL(104,الجدول145[فئة عمرية كبرى لجلسات تعليم صرف البطاقة لـOOSCH])</f>
        <v>0</v>
      </c>
      <c r="AO76" s="126">
        <f>SUBTOTAL(105,الجدول145[فئة عمرية صغرى لجلسات تعليم صرف البطاقة لHـOOSC])</f>
        <v>0</v>
      </c>
      <c r="AP76" s="123">
        <f>SUBTOTAL(109,الجدول145[حماية PLW])</f>
        <v>0</v>
      </c>
      <c r="AQ76" s="123">
        <f>SUBTOTAL(109,الجدول145[عدد الذكور في جلسات حماية PLW])</f>
        <v>0</v>
      </c>
      <c r="AR76" s="123">
        <f>SUBTOTAL(109,الجدول145[عدد الاناث في جلسات حماية PLW])</f>
        <v>0</v>
      </c>
      <c r="AS76" s="123">
        <f>SUBTOTAL(104,الجدول145[فئة عمرية كبرى في جلسات حماية PLW])</f>
        <v>0</v>
      </c>
      <c r="AT76" s="123">
        <f>SUBTOTAL(105,الجدول145[فئة عمرية صغرى في جلسات حماية PLW])</f>
        <v>0</v>
      </c>
      <c r="AU76" s="127">
        <f>SUBTOTAL(109,الجدول145[حماية OOSCH])</f>
        <v>0</v>
      </c>
      <c r="AV76" s="127">
        <f>SUBTOTAL(109,الجدول145[عدد الذكور في جلسات حماية OOSCH])</f>
        <v>0</v>
      </c>
      <c r="AW76" s="127">
        <f>SUBTOTAL(109,الجدول145[عدد الاناث في جلسات حماية OOSCH])</f>
        <v>0</v>
      </c>
      <c r="AX76" s="127">
        <f>SUBTOTAL(104,الجدول145[فئة عمرية كبرى في جلسات حماية OOSCH])</f>
        <v>0</v>
      </c>
      <c r="AY76" s="127">
        <f>SUBTOTAL(105,الجدول145[فئة عمرية صغرى في جلسات حماية OOSCH])</f>
        <v>0</v>
      </c>
      <c r="AZ76" s="121">
        <f>SUBTOTAL(109,الجدول145[تشاور PLW])</f>
        <v>0</v>
      </c>
      <c r="BA76" s="121">
        <f>SUBTOTAL(109,الجدول145[عدد الذكور في جلسات التشاور لبرنامج PLW])</f>
        <v>0</v>
      </c>
      <c r="BB76" s="121">
        <f>SUBTOTAL(109,الجدول145[عدد الاناث في جلسات التشاور PLW])</f>
        <v>0</v>
      </c>
      <c r="BC76" s="121">
        <f>SUBTOTAL(104,الجدول145[فئة عمرية كبرى لجلسات التشاور PLW])</f>
        <v>0</v>
      </c>
      <c r="BD76" s="121">
        <f>SUBTOTAL(105,الجدول145[فئة عمرية صغرى لجلسات التشاور PLW])</f>
        <v>0</v>
      </c>
      <c r="BE76" s="122">
        <f>SUBTOTAL(109,الجدول145[تشاور OOSCH])</f>
        <v>0</v>
      </c>
      <c r="BF76" s="122">
        <f>SUBTOTAL(109,الجدول145[عدد الذكور في جلسات التشاور لبرنامج OOSCH])</f>
        <v>0</v>
      </c>
      <c r="BG76" s="122">
        <f>SUBTOTAL(109,الجدول145[عدد الاناث في جلسات التشاور OOSCH])</f>
        <v>0</v>
      </c>
      <c r="BH76" s="122">
        <f>SUBTOTAL(104,الجدول145[فئة عمرية كبرى لجلسات التشاور OOSCH])</f>
        <v>0</v>
      </c>
      <c r="BI76" s="122">
        <f>SUBTOTAL(105,الجدول145[فئة عمرية صغرى لجلسات التشاور OOSCH])</f>
        <v>0</v>
      </c>
    </row>
    <row r="78" spans="4:61" ht="31.5" customHeight="1" x14ac:dyDescent="0.2">
      <c r="BI78" s="153" t="s">
        <v>14</v>
      </c>
    </row>
  </sheetData>
  <sheetProtection algorithmName="SHA-512" hashValue="q0kuTnvPKzlKVYJVyn4P9KLU9T6O5Vqxa1Twznc2Afbe47XCKkjaoZ/prc26OAWaN5oexSTccr9Adqw5BKHOrg==" saltValue="yfkj6wI0StvJ5WzTdwm5zQ==" spinCount="100000" sheet="1" objects="1" scenarios="1"/>
  <protectedRanges>
    <protectedRange algorithmName="SHA-512" hashValue="ARvWYaEegU2v0bQbmmLBypsCo8ePnmnqZr+92i+qrkWtWbPNrICBUrKDpJpqTZfoSyL2ywGaUowW4eqHZCqHFw==" saltValue="Vy5s4tSQW/ZpvfBXWXgftw==" spinCount="100000" sqref="D2:J75" name="جيهان"/>
  </protectedRanges>
  <mergeCells count="1">
    <mergeCell ref="A4:B5"/>
  </mergeCells>
  <conditionalFormatting sqref="J2:J75">
    <cfRule type="cellIs" dxfId="336" priority="1" operator="equal">
      <formula>$BX$2</formula>
    </cfRule>
    <cfRule type="expression" dxfId="335" priority="2">
      <formula>$BX$2</formula>
    </cfRule>
  </conditionalFormatting>
  <dataValidations count="4">
    <dataValidation type="whole" operator="greaterThanOrEqual" allowBlank="1" showInputMessage="1" showErrorMessage="1" errorTitle="انتبه" error="لا يمكنك ادخال الا اعداد صحيحة" sqref="K13:U75 K2:K75 R3:U12 L3:P12 Q5:Q12 E2:F75">
      <formula1>0</formula1>
    </dataValidation>
    <dataValidation type="list" allowBlank="1" showInputMessage="1" showErrorMessage="1" sqref="I2:I75">
      <formula1>$CA$2:$CA$7</formula1>
    </dataValidation>
    <dataValidation type="whole" operator="greaterThanOrEqual" allowBlank="1" showInputMessage="1" showErrorMessage="1" sqref="G2:H75">
      <formula1>0</formula1>
    </dataValidation>
    <dataValidation type="list" allowBlank="1" showInputMessage="1" showErrorMessage="1" sqref="J2:J75">
      <formula1>$BX$2:$BX$3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578BDCB8-272F-418B-93A1-AC25C4E2664C}">
            <xm:f>NOT(ISERROR(SEARCH($BX$3,J2)))</xm:f>
            <xm:f>$BX$3</xm:f>
            <x14:dxf>
              <fill>
                <patternFill>
                  <bgColor theme="5" tint="0.59996337778862885"/>
                </patternFill>
              </fill>
            </x14:dxf>
          </x14:cfRule>
          <xm:sqref>J2:J75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8"/>
  <sheetViews>
    <sheetView workbookViewId="0">
      <selection activeCell="A3" sqref="A3"/>
    </sheetView>
  </sheetViews>
  <sheetFormatPr defaultColWidth="9.140625" defaultRowHeight="31.5" customHeight="1" x14ac:dyDescent="0.25"/>
  <cols>
    <col min="1" max="2" width="9.140625" style="1"/>
    <col min="3" max="3" width="5.28515625" style="1" customWidth="1"/>
    <col min="4" max="4" width="54.7109375" style="1" customWidth="1"/>
    <col min="5" max="5" width="9.28515625" style="1" bestFit="1" customWidth="1"/>
    <col min="6" max="6" width="8.85546875" style="1" bestFit="1" customWidth="1"/>
    <col min="7" max="7" width="21.140625" style="1" bestFit="1" customWidth="1"/>
    <col min="8" max="8" width="19.85546875" style="1" bestFit="1" customWidth="1"/>
    <col min="9" max="9" width="23.7109375" style="1" bestFit="1" customWidth="1"/>
    <col min="10" max="10" width="6.28515625" style="1" bestFit="1" customWidth="1"/>
    <col min="11" max="11" width="13.7109375" style="1" bestFit="1" customWidth="1"/>
    <col min="12" max="12" width="22.140625" style="1" bestFit="1" customWidth="1"/>
    <col min="13" max="13" width="34.7109375" style="1" bestFit="1" customWidth="1"/>
    <col min="14" max="14" width="33.85546875" style="1" bestFit="1" customWidth="1"/>
    <col min="15" max="15" width="40.7109375" style="1" bestFit="1" customWidth="1"/>
    <col min="16" max="16" width="42" style="1" bestFit="1" customWidth="1"/>
    <col min="17" max="17" width="24.28515625" style="1" bestFit="1" customWidth="1"/>
    <col min="18" max="18" width="36.85546875" style="1" bestFit="1" customWidth="1"/>
    <col min="19" max="19" width="36.28515625" style="1" bestFit="1" customWidth="1"/>
    <col min="20" max="20" width="43.140625" style="1" bestFit="1" customWidth="1"/>
    <col min="21" max="21" width="45.28515625" style="1" bestFit="1" customWidth="1"/>
    <col min="22" max="22" width="29.140625" style="1" bestFit="1" customWidth="1"/>
    <col min="23" max="23" width="37" style="1" bestFit="1" customWidth="1"/>
    <col min="24" max="24" width="36.85546875" style="1" bestFit="1" customWidth="1"/>
    <col min="25" max="25" width="32" style="1" bestFit="1" customWidth="1"/>
    <col min="26" max="26" width="33.28515625" style="1" bestFit="1" customWidth="1"/>
    <col min="27" max="27" width="31.28515625" style="1" bestFit="1" customWidth="1"/>
    <col min="28" max="28" width="41.7109375" style="1" bestFit="1" customWidth="1"/>
    <col min="29" max="29" width="41.28515625" style="1" bestFit="1" customWidth="1"/>
    <col min="30" max="30" width="40" style="1" bestFit="1" customWidth="1"/>
    <col min="31" max="31" width="41.28515625" style="1" bestFit="1" customWidth="1"/>
    <col min="32" max="32" width="27.85546875" style="1" bestFit="1" customWidth="1"/>
    <col min="33" max="33" width="32.7109375" style="1" bestFit="1" customWidth="1"/>
    <col min="34" max="34" width="31.7109375" style="1" bestFit="1" customWidth="1"/>
    <col min="35" max="35" width="33.7109375" style="1" bestFit="1" customWidth="1"/>
    <col min="36" max="36" width="35.28515625" style="1" bestFit="1" customWidth="1"/>
    <col min="37" max="37" width="33.28515625" style="1" bestFit="1" customWidth="1"/>
    <col min="38" max="38" width="44" style="1" bestFit="1" customWidth="1"/>
    <col min="39" max="39" width="43.85546875" style="1" bestFit="1" customWidth="1"/>
    <col min="40" max="40" width="42.28515625" style="1" bestFit="1" customWidth="1"/>
    <col min="41" max="41" width="44.28515625" style="1" bestFit="1" customWidth="1"/>
    <col min="42" max="42" width="9.85546875" style="1" bestFit="1" customWidth="1"/>
    <col min="43" max="43" width="31.7109375" style="1" bestFit="1" customWidth="1"/>
    <col min="44" max="44" width="31.28515625" style="1" bestFit="1" customWidth="1"/>
    <col min="45" max="45" width="34.85546875" style="1" bestFit="1" customWidth="1"/>
    <col min="46" max="46" width="36.28515625" style="1" bestFit="1" customWidth="1"/>
    <col min="47" max="47" width="16.7109375" style="1" bestFit="1" customWidth="1"/>
    <col min="48" max="48" width="33.85546875" style="1" bestFit="1" customWidth="1"/>
    <col min="49" max="49" width="33.7109375" style="1" bestFit="1" customWidth="1"/>
    <col min="50" max="50" width="37.140625" style="1" bestFit="1" customWidth="1"/>
    <col min="51" max="51" width="38.7109375" style="1" bestFit="1" customWidth="1"/>
    <col min="52" max="52" width="14.28515625" style="1" bestFit="1" customWidth="1"/>
    <col min="53" max="53" width="37.7109375" style="1" bestFit="1" customWidth="1"/>
    <col min="54" max="54" width="32.28515625" style="1" bestFit="1" customWidth="1"/>
    <col min="55" max="55" width="34.28515625" style="1" bestFit="1" customWidth="1"/>
    <col min="56" max="56" width="35.85546875" style="1" bestFit="1" customWidth="1"/>
    <col min="57" max="57" width="16.7109375" style="1" bestFit="1" customWidth="1"/>
    <col min="58" max="58" width="40.140625" style="1" bestFit="1" customWidth="1"/>
    <col min="59" max="59" width="34.7109375" style="1" bestFit="1" customWidth="1"/>
    <col min="60" max="60" width="36.7109375" style="1" bestFit="1" customWidth="1"/>
    <col min="61" max="61" width="38.140625" style="1" bestFit="1" customWidth="1"/>
    <col min="62" max="62" width="9.140625" style="1"/>
    <col min="63" max="63" width="28.28515625" style="1" bestFit="1" customWidth="1"/>
    <col min="64" max="64" width="9.140625" style="1"/>
    <col min="65" max="65" width="7.28515625" style="1" bestFit="1" customWidth="1"/>
    <col min="66" max="67" width="9.140625" style="1"/>
    <col min="68" max="68" width="28.28515625" style="1" bestFit="1" customWidth="1"/>
    <col min="69" max="75" width="9.140625" style="1"/>
    <col min="76" max="76" width="7.28515625" style="1" bestFit="1" customWidth="1"/>
    <col min="77" max="77" width="9.140625" style="1"/>
    <col min="78" max="79" width="28.28515625" style="1" bestFit="1" customWidth="1"/>
    <col min="80" max="16384" width="9.140625" style="1"/>
  </cols>
  <sheetData>
    <row r="1" spans="1:80" ht="31.5" customHeight="1" x14ac:dyDescent="0.25">
      <c r="D1" s="137" t="s">
        <v>174</v>
      </c>
      <c r="E1" s="137" t="s">
        <v>44</v>
      </c>
      <c r="F1" s="137" t="s">
        <v>175</v>
      </c>
      <c r="G1" s="137" t="s">
        <v>176</v>
      </c>
      <c r="H1" s="137" t="s">
        <v>177</v>
      </c>
      <c r="I1" s="137" t="s">
        <v>178</v>
      </c>
      <c r="J1" s="137" t="s">
        <v>179</v>
      </c>
      <c r="K1" s="137" t="s">
        <v>180</v>
      </c>
      <c r="L1" s="137" t="s">
        <v>181</v>
      </c>
      <c r="M1" s="137" t="s">
        <v>182</v>
      </c>
      <c r="N1" s="137" t="s">
        <v>183</v>
      </c>
      <c r="O1" s="137" t="s">
        <v>184</v>
      </c>
      <c r="P1" s="137" t="s">
        <v>185</v>
      </c>
      <c r="Q1" s="137" t="s">
        <v>186</v>
      </c>
      <c r="R1" s="137" t="s">
        <v>187</v>
      </c>
      <c r="S1" s="137" t="s">
        <v>188</v>
      </c>
      <c r="T1" s="137" t="s">
        <v>189</v>
      </c>
      <c r="U1" s="137" t="s">
        <v>190</v>
      </c>
      <c r="V1" s="137" t="s">
        <v>191</v>
      </c>
      <c r="W1" s="137" t="s">
        <v>192</v>
      </c>
      <c r="X1" s="137" t="s">
        <v>193</v>
      </c>
      <c r="Y1" s="137" t="s">
        <v>194</v>
      </c>
      <c r="Z1" s="137" t="s">
        <v>195</v>
      </c>
      <c r="AA1" s="137" t="s">
        <v>196</v>
      </c>
      <c r="AB1" s="137" t="s">
        <v>197</v>
      </c>
      <c r="AC1" s="137" t="s">
        <v>198</v>
      </c>
      <c r="AD1" s="137" t="s">
        <v>199</v>
      </c>
      <c r="AE1" s="137" t="s">
        <v>200</v>
      </c>
      <c r="AF1" s="138" t="s">
        <v>201</v>
      </c>
      <c r="AG1" s="137" t="s">
        <v>202</v>
      </c>
      <c r="AH1" s="137" t="s">
        <v>203</v>
      </c>
      <c r="AI1" s="137" t="s">
        <v>204</v>
      </c>
      <c r="AJ1" s="137" t="s">
        <v>205</v>
      </c>
      <c r="AK1" s="137" t="s">
        <v>206</v>
      </c>
      <c r="AL1" s="137" t="s">
        <v>207</v>
      </c>
      <c r="AM1" s="137" t="s">
        <v>208</v>
      </c>
      <c r="AN1" s="137" t="s">
        <v>209</v>
      </c>
      <c r="AO1" s="137" t="s">
        <v>210</v>
      </c>
      <c r="AP1" s="137" t="s">
        <v>211</v>
      </c>
      <c r="AQ1" s="137" t="s">
        <v>212</v>
      </c>
      <c r="AR1" s="137" t="s">
        <v>213</v>
      </c>
      <c r="AS1" s="137" t="s">
        <v>214</v>
      </c>
      <c r="AT1" s="137" t="s">
        <v>215</v>
      </c>
      <c r="AU1" s="137" t="s">
        <v>216</v>
      </c>
      <c r="AV1" s="137" t="s">
        <v>217</v>
      </c>
      <c r="AW1" s="137" t="s">
        <v>218</v>
      </c>
      <c r="AX1" s="137" t="s">
        <v>219</v>
      </c>
      <c r="AY1" s="137" t="s">
        <v>220</v>
      </c>
      <c r="AZ1" s="137" t="s">
        <v>221</v>
      </c>
      <c r="BA1" s="137" t="s">
        <v>222</v>
      </c>
      <c r="BB1" s="137" t="s">
        <v>223</v>
      </c>
      <c r="BC1" s="137" t="s">
        <v>224</v>
      </c>
      <c r="BD1" s="137" t="s">
        <v>225</v>
      </c>
      <c r="BE1" s="137" t="s">
        <v>226</v>
      </c>
      <c r="BF1" s="137" t="s">
        <v>227</v>
      </c>
      <c r="BG1" s="137" t="s">
        <v>228</v>
      </c>
      <c r="BH1" s="137" t="s">
        <v>229</v>
      </c>
      <c r="BI1" s="137" t="s">
        <v>230</v>
      </c>
      <c r="BZ1" s="145" t="s">
        <v>231</v>
      </c>
      <c r="CA1" s="145" t="s">
        <v>231</v>
      </c>
      <c r="CB1" s="145"/>
    </row>
    <row r="2" spans="1:80" ht="31.5" customHeight="1" x14ac:dyDescent="0.25">
      <c r="D2" s="11"/>
      <c r="E2" s="11"/>
      <c r="F2" s="11"/>
      <c r="G2" s="11"/>
      <c r="H2" s="11"/>
      <c r="I2" s="11"/>
      <c r="J2" s="11"/>
      <c r="K2" s="11">
        <f>SUM(الجدول14[[#This Row],[عدد الذكور]:[عدد الأناث]])</f>
        <v>0</v>
      </c>
      <c r="L2" s="128">
        <f>IF(AND(الجدول14[[#This Row],[البرنامج]]="PLW",الجدول14[[#This Row],[نوع الجلسة]]=$BZ$2),1,0)</f>
        <v>0</v>
      </c>
      <c r="M2" s="128">
        <f>IF(AND(الجدول14[[#This Row],[نوع الجلسة]]=$BZ$2,الجدول14[[#This Row],[البرنامج]]="PLW"),الجدول14[[#This Row],[عدد الذكور]],0)</f>
        <v>0</v>
      </c>
      <c r="N2" s="128">
        <f>IF(AND(الجدول14[[#This Row],[نوع الجلسة]]=$BZ$2,الجدول14[[#This Row],[البرنامج]]="PLW"),الجدول14[[#This Row],[عدد الأناث]],0)</f>
        <v>0</v>
      </c>
      <c r="O2" s="128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2" s="128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2" s="129">
        <f>IF(AND(الجدول14[[#This Row],[البرنامج]]="OOSCH",الجدول14[[#This Row],[نوع الجلسة]]=$BZ$2),1,0)</f>
        <v>0</v>
      </c>
      <c r="R2" s="129">
        <f>IF(AND(الجدول14[[#This Row],[البرنامج]]="OOSCH",الجدول14[[#This Row],[نوع الجلسة]]=$BZ$2),الجدول14[[#This Row],[عدد الذكور]],0)</f>
        <v>0</v>
      </c>
      <c r="S2" s="129">
        <f>IF(AND(الجدول14[[#This Row],[البرنامج]]="OOSCH",الجدول14[[#This Row],[نوع الجلسة]]=$BZ$2),الجدول14[[#This Row],[عدد الأناث]],0)</f>
        <v>0</v>
      </c>
      <c r="T2" s="129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2" s="129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2" s="130">
        <f>IF(AND(الجدول14[[#This Row],[البرنامج]]="PLW",الجدول14[[#This Row],[نوع الجلسة]]="معلومات صحة تغذوية للسيدة الحامل"),1,0)</f>
        <v>0</v>
      </c>
      <c r="W2" s="130">
        <f>IF(AND(الجدول14[[#This Row],[نوع الجلسة]]=$BZ$3,الجدول14[[#This Row],[البرنامج]]="PLW"),الجدول14[[#This Row],[عدد الذكور]],0)</f>
        <v>0</v>
      </c>
      <c r="X2" s="130">
        <f>IF(AND(الجدول14[[#This Row],[نوع الجلسة]]=$BZ$3,الجدول14[[#This Row],[البرنامج]]="PLW"),الجدول14[[#This Row],[عدد الأناث]],0)</f>
        <v>0</v>
      </c>
      <c r="Y2" s="130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2" s="130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2" s="131">
        <f>IF(AND(الجدول14[[#This Row],[البرنامج]]="PLW",الجدول14[[#This Row],[نوع الجلسة]]=$BZ$4),1,0)</f>
        <v>0</v>
      </c>
      <c r="AB2" s="131">
        <f>IF(AND(الجدول14[[#This Row],[البرنامج]]="PLW",الجدول14[[#This Row],[نوع الجلسة]]=$BZ$4),الجدول14[[#This Row],[عدد الذكور]],0)</f>
        <v>0</v>
      </c>
      <c r="AC2" s="131">
        <f>IF(AND(الجدول14[[#This Row],[البرنامج]]="PLW",الجدول14[[#This Row],[نوع الجلسة]]=$BZ$4),الجدول14[[#This Row],[عدد الأناث]],0)</f>
        <v>0</v>
      </c>
      <c r="AD2" s="131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2" s="131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2" s="132">
        <f>IF(AND(الجدول14[[#This Row],[البرنامج]]="OOSCH",الجدول14[[#This Row],[نوع الجلسة]]=$BZ$7),1,0)</f>
        <v>0</v>
      </c>
      <c r="AG2" s="132">
        <f>IF(AND(الجدول14[[#This Row],[البرنامج]]="OOSCH",الجدول14[[#This Row],[نوع الجلسة]]=$BZ$7),الجدول14[[#This Row],[عدد الذكور]],0)</f>
        <v>0</v>
      </c>
      <c r="AH2" s="132">
        <f>IF(AND(الجدول14[[#This Row],[البرنامج]]="OOSCH",الجدول14[[#This Row],[نوع الجلسة]]=$BZ$7),الجدول14[[#This Row],[عدد الأناث]],0)</f>
        <v>0</v>
      </c>
      <c r="AI2" s="132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2" s="132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2" s="133">
        <f>IF(AND(الجدول14[[#This Row],[البرنامج]]="OOSCH",الجدول14[[#This Row],[نوع الجلسة]]=$BZ$4),1,0)</f>
        <v>0</v>
      </c>
      <c r="AL2" s="133">
        <f>IF(AND(الجدول14[[#This Row],[البرنامج]]="OOSCH",الجدول14[[#This Row],[نوع الجلسة]]=$BZ$4),الجدول14[[#This Row],[عدد الذكور]],0)</f>
        <v>0</v>
      </c>
      <c r="AM2" s="133">
        <f>IF(AND(الجدول14[[#This Row],[البرنامج]]="OOSCH",الجدول14[[#This Row],[نوع الجلسة]]=$BZ$4),الجدول14[[#This Row],[عدد الأناث]],0)</f>
        <v>0</v>
      </c>
      <c r="AN2" s="133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2" s="133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2" s="129">
        <f>IF(AND(الجدول14[[#This Row],[نوع الجلسة]]=$BZ$5,الجدول14[[#This Row],[البرنامج]]=$BX$3),1,0)</f>
        <v>0</v>
      </c>
      <c r="AQ2" s="129">
        <f>IF(AND(الجدول14[[#This Row],[البرنامج]]="PLW",الجدول14[[#This Row],[نوع الجلسة]]=$BZ$5),الجدول14[[#This Row],[عدد الذكور]],0)</f>
        <v>0</v>
      </c>
      <c r="AR2" s="129">
        <f>IF(AND(الجدول14[[#This Row],[البرنامج]]="PLW",الجدول14[[#This Row],[نوع الجلسة]]=$BZ$5),الجدول14[[#This Row],[عدد الأناث]],0)</f>
        <v>0</v>
      </c>
      <c r="AS2" s="129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2" s="129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2" s="134">
        <f>IF(AND(الجدول14[[#This Row],[نوع الجلسة]]=$BZ$5,الجدول14[[#This Row],[البرنامج]]=$BX$2),1,0)</f>
        <v>0</v>
      </c>
      <c r="AV2" s="134">
        <f>IF(AND(الجدول14[[#This Row],[البرنامج]]="OOSCH",الجدول14[[#This Row],[نوع الجلسة]]=$BZ$5),الجدول14[[#This Row],[عدد الذكور]],0)</f>
        <v>0</v>
      </c>
      <c r="AW2" s="134">
        <f>IF(AND(الجدول14[[#This Row],[البرنامج]]="OOSCH",الجدول14[[#This Row],[نوع الجلسة]]=$BZ$5),الجدول14[[#This Row],[عدد الأناث]],0)</f>
        <v>0</v>
      </c>
      <c r="AX2" s="134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2" s="134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2" s="135">
        <f>IF(AND(الجدول14[[#This Row],[نوع الجلسة]]=$BZ$6,الجدول14[[#This Row],[البرنامج]]=$BX$3),1,0)</f>
        <v>0</v>
      </c>
      <c r="BA2" s="135">
        <f>IF(AND(الجدول14[[#This Row],[البرنامج]]="PLW",الجدول14[[#This Row],[نوع الجلسة]]=$BZ$6),الجدول14[[#This Row],[عدد الذكور]],0)</f>
        <v>0</v>
      </c>
      <c r="BB2" s="135">
        <f>IF(AND(الجدول14[[#This Row],[البرنامج]]="PLW",الجدول14[[#This Row],[نوع الجلسة]]=$BZ$6),الجدول14[[#This Row],[عدد الأناث]],0)</f>
        <v>0</v>
      </c>
      <c r="BC2" s="135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2" s="135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2" s="136">
        <f>IF(AND(الجدول14[[#This Row],[نوع الجلسة]]=$BZ$6,الجدول14[[#This Row],[البرنامج]]=$BX$2),1,0)</f>
        <v>0</v>
      </c>
      <c r="BF2" s="136">
        <f>IF(AND(الجدول14[[#This Row],[البرنامج]]="OOSCH",الجدول14[[#This Row],[نوع الجلسة]]=$BZ$6),الجدول14[[#This Row],[عدد الذكور]],0)</f>
        <v>0</v>
      </c>
      <c r="BG2" s="136">
        <f>IF(AND(الجدول14[[#This Row],[البرنامج]]="OOSCH",الجدول14[[#This Row],[نوع الجلسة]]=$BZ$6),الجدول14[[#This Row],[عدد الأناث]],0)</f>
        <v>0</v>
      </c>
      <c r="BH2" s="136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2" s="136" t="str">
        <f>IF(AND(الجدول14[[#This Row],[البرنامج]]="OOSCH",الجدول14[[#This Row],[نوع الجلسة]]=$BZ$6),الجدول14[[#This Row],[العمر الأصغر ضمن الجلسة]]," ")</f>
        <v xml:space="preserve"> </v>
      </c>
      <c r="BX2" s="1" t="s">
        <v>69</v>
      </c>
      <c r="BZ2" s="145" t="s">
        <v>232</v>
      </c>
      <c r="CA2" s="145" t="s">
        <v>232</v>
      </c>
      <c r="CB2" s="145"/>
    </row>
    <row r="3" spans="1:80" ht="31.5" customHeight="1" thickBot="1" x14ac:dyDescent="0.3">
      <c r="D3" s="9"/>
      <c r="E3" s="9"/>
      <c r="F3" s="9"/>
      <c r="G3" s="9"/>
      <c r="H3" s="9"/>
      <c r="I3" s="9"/>
      <c r="J3" s="9"/>
      <c r="K3" s="9">
        <f>SUM(الجدول14[[#This Row],[عدد الذكور]:[عدد الأناث]])</f>
        <v>0</v>
      </c>
      <c r="L3" s="120">
        <f>IF(AND(الجدول14[[#This Row],[البرنامج]]="PLW",الجدول14[[#This Row],[نوع الجلسة]]=$BZ$2),1,0)</f>
        <v>0</v>
      </c>
      <c r="M3" s="120">
        <f>IF(AND(الجدول14[[#This Row],[نوع الجلسة]]=$BZ$2,الجدول14[[#This Row],[البرنامج]]="PLW"),الجدول14[[#This Row],[عدد الذكور]],0)</f>
        <v>0</v>
      </c>
      <c r="N3" s="120">
        <f>IF(AND(الجدول14[[#This Row],[نوع الجلسة]]=$BZ$2,الجدول14[[#This Row],[البرنامج]]="PLW"),الجدول14[[#This Row],[عدد الأناث]],0)</f>
        <v>0</v>
      </c>
      <c r="O3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3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3" s="123">
        <f>IF(AND(الجدول14[[#This Row],[البرنامج]]="OOSCH",الجدول14[[#This Row],[نوع الجلسة]]=$BZ$2),1,0)</f>
        <v>0</v>
      </c>
      <c r="R3" s="123">
        <f>IF(AND(الجدول14[[#This Row],[البرنامج]]="OOSCH",الجدول14[[#This Row],[نوع الجلسة]]=$BZ$2),الجدول14[[#This Row],[عدد الذكور]],0)</f>
        <v>0</v>
      </c>
      <c r="S3" s="123">
        <f>IF(AND(الجدول14[[#This Row],[البرنامج]]="OOSCH",الجدول14[[#This Row],[نوع الجلسة]]=$BZ$2),الجدول14[[#This Row],[عدد الأناث]],0)</f>
        <v>0</v>
      </c>
      <c r="T3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3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3" s="124">
        <f>IF(AND(الجدول14[[#This Row],[البرنامج]]="PLW",الجدول14[[#This Row],[نوع الجلسة]]="معلومات صحة تغذوية للسيدة الحامل"),1,0)</f>
        <v>0</v>
      </c>
      <c r="W3" s="124">
        <f>IF(AND(الجدول14[[#This Row],[نوع الجلسة]]=$BZ$3,الجدول14[[#This Row],[البرنامج]]="PLW"),الجدول14[[#This Row],[عدد الذكور]],0)</f>
        <v>0</v>
      </c>
      <c r="X3" s="124">
        <f>IF(AND(الجدول14[[#This Row],[نوع الجلسة]]=$BZ$3,الجدول14[[#This Row],[البرنامج]]="PLW"),الجدول14[[#This Row],[عدد الأناث]],0)</f>
        <v>0</v>
      </c>
      <c r="Y3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3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3" s="113">
        <f>IF(AND(الجدول14[[#This Row],[البرنامج]]="PLW",الجدول14[[#This Row],[نوع الجلسة]]=$BZ$4),1,0)</f>
        <v>0</v>
      </c>
      <c r="AB3" s="113">
        <f>IF(AND(الجدول14[[#This Row],[البرنامج]]="PLW",الجدول14[[#This Row],[نوع الجلسة]]=$BZ$4),الجدول14[[#This Row],[عدد الذكور]],0)</f>
        <v>0</v>
      </c>
      <c r="AC3" s="113">
        <f>IF(AND(الجدول14[[#This Row],[البرنامج]]="PLW",الجدول14[[#This Row],[نوع الجلسة]]=$BZ$4),الجدول14[[#This Row],[عدد الأناث]],0)</f>
        <v>0</v>
      </c>
      <c r="AD3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3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3" s="125">
        <f>IF(AND(الجدول14[[#This Row],[البرنامج]]="OOSCH",الجدول14[[#This Row],[نوع الجلسة]]=$BZ$7),1,0)</f>
        <v>0</v>
      </c>
      <c r="AG3" s="125">
        <f>IF(AND(الجدول14[[#This Row],[البرنامج]]="OOSCH",الجدول14[[#This Row],[نوع الجلسة]]=$BZ$7),الجدول14[[#This Row],[عدد الذكور]],0)</f>
        <v>0</v>
      </c>
      <c r="AH3" s="125">
        <f>IF(AND(الجدول14[[#This Row],[البرنامج]]="OOSCH",الجدول14[[#This Row],[نوع الجلسة]]=$BZ$7),الجدول14[[#This Row],[عدد الأناث]],0)</f>
        <v>0</v>
      </c>
      <c r="AI3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3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3" s="126">
        <f>IF(AND(الجدول14[[#This Row],[البرنامج]]="OOSCH",الجدول14[[#This Row],[نوع الجلسة]]=$BZ$4),1,0)</f>
        <v>0</v>
      </c>
      <c r="AL3" s="126">
        <f>IF(AND(الجدول14[[#This Row],[البرنامج]]="OOSCH",الجدول14[[#This Row],[نوع الجلسة]]=$BZ$4),الجدول14[[#This Row],[عدد الذكور]],0)</f>
        <v>0</v>
      </c>
      <c r="AM3" s="126">
        <f>IF(AND(الجدول14[[#This Row],[البرنامج]]="OOSCH",الجدول14[[#This Row],[نوع الجلسة]]=$BZ$4),الجدول14[[#This Row],[عدد الأناث]],0)</f>
        <v>0</v>
      </c>
      <c r="AN3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3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3" s="123">
        <f>IF(AND(الجدول14[[#This Row],[نوع الجلسة]]=$BZ$5,الجدول14[[#This Row],[البرنامج]]=$BX$3),1,0)</f>
        <v>0</v>
      </c>
      <c r="AQ3" s="123">
        <f>IF(AND(الجدول14[[#This Row],[البرنامج]]="PLW",الجدول14[[#This Row],[نوع الجلسة]]=$BZ$5),الجدول14[[#This Row],[عدد الذكور]],0)</f>
        <v>0</v>
      </c>
      <c r="AR3" s="123">
        <f>IF(AND(الجدول14[[#This Row],[البرنامج]]="PLW",الجدول14[[#This Row],[نوع الجلسة]]=$BZ$5),الجدول14[[#This Row],[عدد الأناث]],0)</f>
        <v>0</v>
      </c>
      <c r="AS3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3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3" s="127">
        <f>IF(AND(الجدول14[[#This Row],[نوع الجلسة]]=$BZ$5,الجدول14[[#This Row],[البرنامج]]=$BX$2),1,0)</f>
        <v>0</v>
      </c>
      <c r="AV3" s="127">
        <f>IF(AND(الجدول14[[#This Row],[البرنامج]]="OOSCH",الجدول14[[#This Row],[نوع الجلسة]]=$BZ$5),الجدول14[[#This Row],[عدد الذكور]],0)</f>
        <v>0</v>
      </c>
      <c r="AW3" s="127">
        <f>IF(AND(الجدول14[[#This Row],[البرنامج]]="OOSCH",الجدول14[[#This Row],[نوع الجلسة]]=$BZ$5),الجدول14[[#This Row],[عدد الأناث]],0)</f>
        <v>0</v>
      </c>
      <c r="AX3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3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3" s="121">
        <f>IF(AND(الجدول14[[#This Row],[نوع الجلسة]]=$BZ$6,الجدول14[[#This Row],[البرنامج]]=$BX$3),1,0)</f>
        <v>0</v>
      </c>
      <c r="BA3" s="121">
        <f>IF(AND(الجدول14[[#This Row],[البرنامج]]="PLW",الجدول14[[#This Row],[نوع الجلسة]]=$BZ$6),الجدول14[[#This Row],[عدد الذكور]],0)</f>
        <v>0</v>
      </c>
      <c r="BB3" s="121">
        <f>IF(AND(الجدول14[[#This Row],[البرنامج]]="PLW",الجدول14[[#This Row],[نوع الجلسة]]=$BZ$6),الجدول14[[#This Row],[عدد الأناث]],0)</f>
        <v>0</v>
      </c>
      <c r="BC3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3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3" s="122">
        <f>IF(AND(الجدول14[[#This Row],[نوع الجلسة]]=$BZ$6,الجدول14[[#This Row],[البرنامج]]=$BX$2),1,0)</f>
        <v>0</v>
      </c>
      <c r="BF3" s="122">
        <f>IF(AND(الجدول14[[#This Row],[البرنامج]]="OOSCH",الجدول14[[#This Row],[نوع الجلسة]]=$BZ$6),الجدول14[[#This Row],[عدد الذكور]],0)</f>
        <v>0</v>
      </c>
      <c r="BG3" s="122">
        <f>IF(AND(الجدول14[[#This Row],[البرنامج]]="OOSCH",الجدول14[[#This Row],[نوع الجلسة]]=$BZ$6),الجدول14[[#This Row],[عدد الأناث]],0)</f>
        <v>0</v>
      </c>
      <c r="BH3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3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  <c r="BX3" s="1" t="s">
        <v>2</v>
      </c>
      <c r="BZ3" s="145" t="s">
        <v>191</v>
      </c>
      <c r="CA3" s="145" t="s">
        <v>191</v>
      </c>
      <c r="CB3" s="145"/>
    </row>
    <row r="4" spans="1:80" ht="31.5" customHeight="1" x14ac:dyDescent="0.25">
      <c r="A4" s="461" t="s">
        <v>1</v>
      </c>
      <c r="B4" s="462"/>
      <c r="D4" s="9"/>
      <c r="E4" s="9"/>
      <c r="F4" s="9"/>
      <c r="G4" s="9"/>
      <c r="H4" s="9"/>
      <c r="I4" s="9"/>
      <c r="J4" s="9"/>
      <c r="K4" s="9">
        <f>SUM(الجدول14[[#This Row],[عدد الذكور]:[عدد الأناث]])</f>
        <v>0</v>
      </c>
      <c r="L4" s="120">
        <f>IF(AND(الجدول14[[#This Row],[البرنامج]]="PLW",الجدول14[[#This Row],[نوع الجلسة]]=$BZ$2),1,0)</f>
        <v>0</v>
      </c>
      <c r="M4" s="120">
        <f>IF(AND(الجدول14[[#This Row],[نوع الجلسة]]=$BZ$2,الجدول14[[#This Row],[البرنامج]]="PLW"),الجدول14[[#This Row],[عدد الذكور]],0)</f>
        <v>0</v>
      </c>
      <c r="N4" s="120">
        <f>IF(AND(الجدول14[[#This Row],[نوع الجلسة]]=$BZ$2,الجدول14[[#This Row],[البرنامج]]="PLW"),الجدول14[[#This Row],[عدد الأناث]],0)</f>
        <v>0</v>
      </c>
      <c r="O4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4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4" s="123">
        <f>IF(AND(الجدول14[[#This Row],[البرنامج]]="OOSCH",الجدول14[[#This Row],[نوع الجلسة]]=$BZ$2),1,0)</f>
        <v>0</v>
      </c>
      <c r="R4" s="123">
        <f>IF(AND(الجدول14[[#This Row],[البرنامج]]="OOSCH",الجدول14[[#This Row],[نوع الجلسة]]=$BZ$2),الجدول14[[#This Row],[عدد الذكور]],0)</f>
        <v>0</v>
      </c>
      <c r="S4" s="123">
        <f>IF(AND(الجدول14[[#This Row],[البرنامج]]="OOSCH",الجدول14[[#This Row],[نوع الجلسة]]=$BZ$2),الجدول14[[#This Row],[عدد الأناث]],0)</f>
        <v>0</v>
      </c>
      <c r="T4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4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4" s="124">
        <f>IF(AND(الجدول14[[#This Row],[البرنامج]]="PLW",الجدول14[[#This Row],[نوع الجلسة]]="معلومات صحة تغذوية للسيدة الحامل"),1,0)</f>
        <v>0</v>
      </c>
      <c r="W4" s="124">
        <f>IF(AND(الجدول14[[#This Row],[نوع الجلسة]]=$BZ$3,الجدول14[[#This Row],[البرنامج]]="PLW"),الجدول14[[#This Row],[عدد الذكور]],0)</f>
        <v>0</v>
      </c>
      <c r="X4" s="124">
        <f>IF(AND(الجدول14[[#This Row],[نوع الجلسة]]=$BZ$3,الجدول14[[#This Row],[البرنامج]]="PLW"),الجدول14[[#This Row],[عدد الأناث]],0)</f>
        <v>0</v>
      </c>
      <c r="Y4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4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4" s="113">
        <f>IF(AND(الجدول14[[#This Row],[البرنامج]]="PLW",الجدول14[[#This Row],[نوع الجلسة]]=$BZ$4),1,0)</f>
        <v>0</v>
      </c>
      <c r="AB4" s="113">
        <f>IF(AND(الجدول14[[#This Row],[البرنامج]]="PLW",الجدول14[[#This Row],[نوع الجلسة]]=$BZ$4),الجدول14[[#This Row],[عدد الذكور]],0)</f>
        <v>0</v>
      </c>
      <c r="AC4" s="113">
        <f>IF(AND(الجدول14[[#This Row],[البرنامج]]="PLW",الجدول14[[#This Row],[نوع الجلسة]]=$BZ$4),الجدول14[[#This Row],[عدد الأناث]],0)</f>
        <v>0</v>
      </c>
      <c r="AD4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4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4" s="125">
        <f>IF(AND(الجدول14[[#This Row],[البرنامج]]="OOSCH",الجدول14[[#This Row],[نوع الجلسة]]=$BZ$7),1,0)</f>
        <v>0</v>
      </c>
      <c r="AG4" s="125">
        <f>IF(AND(الجدول14[[#This Row],[البرنامج]]="OOSCH",الجدول14[[#This Row],[نوع الجلسة]]=$BZ$7),الجدول14[[#This Row],[عدد الذكور]],0)</f>
        <v>0</v>
      </c>
      <c r="AH4" s="125">
        <f>IF(AND(الجدول14[[#This Row],[البرنامج]]="OOSCH",الجدول14[[#This Row],[نوع الجلسة]]=$BZ$7),الجدول14[[#This Row],[عدد الأناث]],0)</f>
        <v>0</v>
      </c>
      <c r="AI4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4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4" s="126">
        <f>IF(AND(الجدول14[[#This Row],[البرنامج]]="OOSCH",الجدول14[[#This Row],[نوع الجلسة]]=$BZ$4),1,0)</f>
        <v>0</v>
      </c>
      <c r="AL4" s="126">
        <f>IF(AND(الجدول14[[#This Row],[البرنامج]]="OOSCH",الجدول14[[#This Row],[نوع الجلسة]]=$BZ$4),الجدول14[[#This Row],[عدد الذكور]],0)</f>
        <v>0</v>
      </c>
      <c r="AM4" s="126">
        <f>IF(AND(الجدول14[[#This Row],[البرنامج]]="OOSCH",الجدول14[[#This Row],[نوع الجلسة]]=$BZ$4),الجدول14[[#This Row],[عدد الأناث]],0)</f>
        <v>0</v>
      </c>
      <c r="AN4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4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4" s="123">
        <f>IF(AND(الجدول14[[#This Row],[نوع الجلسة]]=$BZ$5,الجدول14[[#This Row],[البرنامج]]=$BX$3),1,0)</f>
        <v>0</v>
      </c>
      <c r="AQ4" s="123">
        <f>IF(AND(الجدول14[[#This Row],[البرنامج]]="PLW",الجدول14[[#This Row],[نوع الجلسة]]=$BZ$5),الجدول14[[#This Row],[عدد الذكور]],0)</f>
        <v>0</v>
      </c>
      <c r="AR4" s="123">
        <f>IF(AND(الجدول14[[#This Row],[البرنامج]]="PLW",الجدول14[[#This Row],[نوع الجلسة]]=$BZ$5),الجدول14[[#This Row],[عدد الأناث]],0)</f>
        <v>0</v>
      </c>
      <c r="AS4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4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4" s="127">
        <f>IF(AND(الجدول14[[#This Row],[نوع الجلسة]]=$BZ$5,الجدول14[[#This Row],[البرنامج]]=$BX$2),1,0)</f>
        <v>0</v>
      </c>
      <c r="AV4" s="127">
        <f>IF(AND(الجدول14[[#This Row],[البرنامج]]="OOSCH",الجدول14[[#This Row],[نوع الجلسة]]=$BZ$5),الجدول14[[#This Row],[عدد الذكور]],0)</f>
        <v>0</v>
      </c>
      <c r="AW4" s="127">
        <f>IF(AND(الجدول14[[#This Row],[البرنامج]]="OOSCH",الجدول14[[#This Row],[نوع الجلسة]]=$BZ$5),الجدول14[[#This Row],[عدد الأناث]],0)</f>
        <v>0</v>
      </c>
      <c r="AX4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4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4" s="121">
        <f>IF(AND(الجدول14[[#This Row],[نوع الجلسة]]=$BZ$6,الجدول14[[#This Row],[البرنامج]]=$BX$3),1,0)</f>
        <v>0</v>
      </c>
      <c r="BA4" s="121">
        <f>IF(AND(الجدول14[[#This Row],[البرنامج]]="PLW",الجدول14[[#This Row],[نوع الجلسة]]=$BZ$6),الجدول14[[#This Row],[عدد الذكور]],0)</f>
        <v>0</v>
      </c>
      <c r="BB4" s="121">
        <f>IF(AND(الجدول14[[#This Row],[البرنامج]]="PLW",الجدول14[[#This Row],[نوع الجلسة]]=$BZ$6),الجدول14[[#This Row],[عدد الأناث]],0)</f>
        <v>0</v>
      </c>
      <c r="BC4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4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4" s="122">
        <f>IF(AND(الجدول14[[#This Row],[نوع الجلسة]]=$BZ$6,الجدول14[[#This Row],[البرنامج]]=$BX$2),1,0)</f>
        <v>0</v>
      </c>
      <c r="BF4" s="122">
        <f>IF(AND(الجدول14[[#This Row],[البرنامج]]="OOSCH",الجدول14[[#This Row],[نوع الجلسة]]=$BZ$6),الجدول14[[#This Row],[عدد الذكور]],0)</f>
        <v>0</v>
      </c>
      <c r="BG4" s="122">
        <f>IF(AND(الجدول14[[#This Row],[البرنامج]]="OOSCH",الجدول14[[#This Row],[نوع الجلسة]]=$BZ$6),الجدول14[[#This Row],[عدد الأناث]],0)</f>
        <v>0</v>
      </c>
      <c r="BH4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4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  <c r="BZ4" s="145" t="s">
        <v>233</v>
      </c>
      <c r="CA4" s="145" t="s">
        <v>233</v>
      </c>
      <c r="CB4" s="145"/>
    </row>
    <row r="5" spans="1:80" ht="31.5" customHeight="1" thickBot="1" x14ac:dyDescent="0.3">
      <c r="A5" s="463"/>
      <c r="B5" s="464"/>
      <c r="D5" s="9"/>
      <c r="E5" s="9"/>
      <c r="F5" s="9"/>
      <c r="G5" s="9"/>
      <c r="H5" s="9"/>
      <c r="I5" s="9"/>
      <c r="J5" s="9"/>
      <c r="K5" s="9">
        <f>SUM(الجدول14[[#This Row],[عدد الذكور]:[عدد الأناث]])</f>
        <v>0</v>
      </c>
      <c r="L5" s="120">
        <f>IF(AND(الجدول14[[#This Row],[البرنامج]]="PLW",الجدول14[[#This Row],[نوع الجلسة]]=$BZ$2),1,0)</f>
        <v>0</v>
      </c>
      <c r="M5" s="120">
        <f>IF(AND(الجدول14[[#This Row],[نوع الجلسة]]=$BZ$2,الجدول14[[#This Row],[البرنامج]]="PLW"),الجدول14[[#This Row],[عدد الذكور]],0)</f>
        <v>0</v>
      </c>
      <c r="N5" s="120">
        <f>IF(AND(الجدول14[[#This Row],[نوع الجلسة]]=$BZ$2,الجدول14[[#This Row],[البرنامج]]="PLW"),الجدول14[[#This Row],[عدد الأناث]],0)</f>
        <v>0</v>
      </c>
      <c r="O5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5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5" s="123">
        <f>IF(AND(الجدول14[[#This Row],[البرنامج]]="OOSCH",الجدول14[[#This Row],[نوع الجلسة]]=$BZ$2),1,0)</f>
        <v>0</v>
      </c>
      <c r="R5" s="123">
        <f>IF(AND(الجدول14[[#This Row],[البرنامج]]="OOSCH",الجدول14[[#This Row],[نوع الجلسة]]=$BZ$2),الجدول14[[#This Row],[عدد الذكور]],0)</f>
        <v>0</v>
      </c>
      <c r="S5" s="123">
        <f>IF(AND(الجدول14[[#This Row],[البرنامج]]="OOSCH",الجدول14[[#This Row],[نوع الجلسة]]=$BZ$2),الجدول14[[#This Row],[عدد الأناث]],0)</f>
        <v>0</v>
      </c>
      <c r="T5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5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5" s="124">
        <f>IF(AND(الجدول14[[#This Row],[البرنامج]]="PLW",الجدول14[[#This Row],[نوع الجلسة]]="معلومات صحة تغذوية للسيدة الحامل"),1,0)</f>
        <v>0</v>
      </c>
      <c r="W5" s="124">
        <f>IF(AND(الجدول14[[#This Row],[نوع الجلسة]]=$BZ$3,الجدول14[[#This Row],[البرنامج]]="PLW"),الجدول14[[#This Row],[عدد الذكور]],0)</f>
        <v>0</v>
      </c>
      <c r="X5" s="124">
        <f>IF(AND(الجدول14[[#This Row],[نوع الجلسة]]=$BZ$3,الجدول14[[#This Row],[البرنامج]]="PLW"),الجدول14[[#This Row],[عدد الأناث]],0)</f>
        <v>0</v>
      </c>
      <c r="Y5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5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5" s="113">
        <f>IF(AND(الجدول14[[#This Row],[البرنامج]]="PLW",الجدول14[[#This Row],[نوع الجلسة]]=$BZ$4),1,0)</f>
        <v>0</v>
      </c>
      <c r="AB5" s="113">
        <f>IF(AND(الجدول14[[#This Row],[البرنامج]]="PLW",الجدول14[[#This Row],[نوع الجلسة]]=$BZ$4),الجدول14[[#This Row],[عدد الذكور]],0)</f>
        <v>0</v>
      </c>
      <c r="AC5" s="113">
        <f>IF(AND(الجدول14[[#This Row],[البرنامج]]="PLW",الجدول14[[#This Row],[نوع الجلسة]]=$BZ$4),الجدول14[[#This Row],[عدد الأناث]],0)</f>
        <v>0</v>
      </c>
      <c r="AD5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5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5" s="125">
        <f>IF(AND(الجدول14[[#This Row],[البرنامج]]="OOSCH",الجدول14[[#This Row],[نوع الجلسة]]=$BZ$7),1,0)</f>
        <v>0</v>
      </c>
      <c r="AG5" s="125">
        <f>IF(AND(الجدول14[[#This Row],[البرنامج]]="OOSCH",الجدول14[[#This Row],[نوع الجلسة]]=$BZ$7),الجدول14[[#This Row],[عدد الذكور]],0)</f>
        <v>0</v>
      </c>
      <c r="AH5" s="125">
        <f>IF(AND(الجدول14[[#This Row],[البرنامج]]="OOSCH",الجدول14[[#This Row],[نوع الجلسة]]=$BZ$7),الجدول14[[#This Row],[عدد الأناث]],0)</f>
        <v>0</v>
      </c>
      <c r="AI5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5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5" s="126">
        <f>IF(AND(الجدول14[[#This Row],[البرنامج]]="OOSCH",الجدول14[[#This Row],[نوع الجلسة]]=$BZ$4),1,0)</f>
        <v>0</v>
      </c>
      <c r="AL5" s="126">
        <f>IF(AND(الجدول14[[#This Row],[البرنامج]]="OOSCH",الجدول14[[#This Row],[نوع الجلسة]]=$BZ$4),الجدول14[[#This Row],[عدد الذكور]],0)</f>
        <v>0</v>
      </c>
      <c r="AM5" s="126">
        <f>IF(AND(الجدول14[[#This Row],[البرنامج]]="OOSCH",الجدول14[[#This Row],[نوع الجلسة]]=$BZ$4),الجدول14[[#This Row],[عدد الأناث]],0)</f>
        <v>0</v>
      </c>
      <c r="AN5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5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5" s="123">
        <f>IF(AND(الجدول14[[#This Row],[نوع الجلسة]]=$BZ$5,الجدول14[[#This Row],[البرنامج]]=$BX$3),1,0)</f>
        <v>0</v>
      </c>
      <c r="AQ5" s="123">
        <f>IF(AND(الجدول14[[#This Row],[البرنامج]]="PLW",الجدول14[[#This Row],[نوع الجلسة]]=$BZ$5),الجدول14[[#This Row],[عدد الذكور]],0)</f>
        <v>0</v>
      </c>
      <c r="AR5" s="123">
        <f>IF(AND(الجدول14[[#This Row],[البرنامج]]="PLW",الجدول14[[#This Row],[نوع الجلسة]]=$BZ$5),الجدول14[[#This Row],[عدد الأناث]],0)</f>
        <v>0</v>
      </c>
      <c r="AS5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5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5" s="127">
        <f>IF(AND(الجدول14[[#This Row],[نوع الجلسة]]=$BZ$5,الجدول14[[#This Row],[البرنامج]]=$BX$2),1,0)</f>
        <v>0</v>
      </c>
      <c r="AV5" s="127">
        <f>IF(AND(الجدول14[[#This Row],[البرنامج]]="OOSCH",الجدول14[[#This Row],[نوع الجلسة]]=$BZ$5),الجدول14[[#This Row],[عدد الذكور]],0)</f>
        <v>0</v>
      </c>
      <c r="AW5" s="127">
        <f>IF(AND(الجدول14[[#This Row],[البرنامج]]="OOSCH",الجدول14[[#This Row],[نوع الجلسة]]=$BZ$5),الجدول14[[#This Row],[عدد الأناث]],0)</f>
        <v>0</v>
      </c>
      <c r="AX5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5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5" s="121">
        <f>IF(AND(الجدول14[[#This Row],[نوع الجلسة]]=$BZ$6,الجدول14[[#This Row],[البرنامج]]=$BX$3),1,0)</f>
        <v>0</v>
      </c>
      <c r="BA5" s="121">
        <f>IF(AND(الجدول14[[#This Row],[البرنامج]]="PLW",الجدول14[[#This Row],[نوع الجلسة]]=$BZ$6),الجدول14[[#This Row],[عدد الذكور]],0)</f>
        <v>0</v>
      </c>
      <c r="BB5" s="121">
        <f>IF(AND(الجدول14[[#This Row],[البرنامج]]="PLW",الجدول14[[#This Row],[نوع الجلسة]]=$BZ$6),الجدول14[[#This Row],[عدد الأناث]],0)</f>
        <v>0</v>
      </c>
      <c r="BC5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5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5" s="122">
        <f>IF(AND(الجدول14[[#This Row],[نوع الجلسة]]=$BZ$6,الجدول14[[#This Row],[البرنامج]]=$BX$2),1,0)</f>
        <v>0</v>
      </c>
      <c r="BF5" s="122">
        <f>IF(AND(الجدول14[[#This Row],[البرنامج]]="OOSCH",الجدول14[[#This Row],[نوع الجلسة]]=$BZ$6),الجدول14[[#This Row],[عدد الذكور]],0)</f>
        <v>0</v>
      </c>
      <c r="BG5" s="122">
        <f>IF(AND(الجدول14[[#This Row],[البرنامج]]="OOSCH",الجدول14[[#This Row],[نوع الجلسة]]=$BZ$6),الجدول14[[#This Row],[عدد الأناث]],0)</f>
        <v>0</v>
      </c>
      <c r="BH5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5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  <c r="BZ5" s="145" t="s">
        <v>32</v>
      </c>
      <c r="CA5" s="145" t="s">
        <v>32</v>
      </c>
      <c r="CB5" s="145"/>
    </row>
    <row r="6" spans="1:80" ht="31.5" customHeight="1" x14ac:dyDescent="0.25">
      <c r="B6" s="156"/>
      <c r="D6" s="9"/>
      <c r="E6" s="9"/>
      <c r="F6" s="9"/>
      <c r="G6" s="9"/>
      <c r="H6" s="9"/>
      <c r="I6" s="9"/>
      <c r="J6" s="9"/>
      <c r="K6" s="9">
        <f>SUM(الجدول14[[#This Row],[عدد الذكور]:[عدد الأناث]])</f>
        <v>0</v>
      </c>
      <c r="L6" s="120">
        <f>IF(AND(الجدول14[[#This Row],[البرنامج]]="PLW",الجدول14[[#This Row],[نوع الجلسة]]=$BZ$2),1,0)</f>
        <v>0</v>
      </c>
      <c r="M6" s="120">
        <f>IF(AND(الجدول14[[#This Row],[نوع الجلسة]]=$BZ$2,الجدول14[[#This Row],[البرنامج]]="PLW"),الجدول14[[#This Row],[عدد الذكور]],0)</f>
        <v>0</v>
      </c>
      <c r="N6" s="120">
        <f>IF(AND(الجدول14[[#This Row],[نوع الجلسة]]=$BZ$2,الجدول14[[#This Row],[البرنامج]]="PLW"),الجدول14[[#This Row],[عدد الأناث]],0)</f>
        <v>0</v>
      </c>
      <c r="O6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6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6" s="123">
        <f>IF(AND(الجدول14[[#This Row],[البرنامج]]="OOSCH",الجدول14[[#This Row],[نوع الجلسة]]=$BZ$2),1,0)</f>
        <v>0</v>
      </c>
      <c r="R6" s="123">
        <f>IF(AND(الجدول14[[#This Row],[البرنامج]]="OOSCH",الجدول14[[#This Row],[نوع الجلسة]]=$BZ$2),الجدول14[[#This Row],[عدد الذكور]],0)</f>
        <v>0</v>
      </c>
      <c r="S6" s="123">
        <f>IF(AND(الجدول14[[#This Row],[البرنامج]]="OOSCH",الجدول14[[#This Row],[نوع الجلسة]]=$BZ$2),الجدول14[[#This Row],[عدد الأناث]],0)</f>
        <v>0</v>
      </c>
      <c r="T6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6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6" s="124">
        <f>IF(AND(الجدول14[[#This Row],[البرنامج]]="PLW",الجدول14[[#This Row],[نوع الجلسة]]="معلومات صحة تغذوية للسيدة الحامل"),1,0)</f>
        <v>0</v>
      </c>
      <c r="W6" s="124">
        <f>IF(AND(الجدول14[[#This Row],[نوع الجلسة]]=$BZ$3,الجدول14[[#This Row],[البرنامج]]="PLW"),الجدول14[[#This Row],[عدد الذكور]],0)</f>
        <v>0</v>
      </c>
      <c r="X6" s="124">
        <f>IF(AND(الجدول14[[#This Row],[نوع الجلسة]]=$BZ$3,الجدول14[[#This Row],[البرنامج]]="PLW"),الجدول14[[#This Row],[عدد الأناث]],0)</f>
        <v>0</v>
      </c>
      <c r="Y6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6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6" s="113">
        <f>IF(AND(الجدول14[[#This Row],[البرنامج]]="PLW",الجدول14[[#This Row],[نوع الجلسة]]=$BZ$4),1,0)</f>
        <v>0</v>
      </c>
      <c r="AB6" s="113">
        <f>IF(AND(الجدول14[[#This Row],[البرنامج]]="PLW",الجدول14[[#This Row],[نوع الجلسة]]=$BZ$4),الجدول14[[#This Row],[عدد الذكور]],0)</f>
        <v>0</v>
      </c>
      <c r="AC6" s="113">
        <f>IF(AND(الجدول14[[#This Row],[البرنامج]]="PLW",الجدول14[[#This Row],[نوع الجلسة]]=$BZ$4),الجدول14[[#This Row],[عدد الأناث]],0)</f>
        <v>0</v>
      </c>
      <c r="AD6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6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6" s="125">
        <f>IF(AND(الجدول14[[#This Row],[البرنامج]]="OOSCH",الجدول14[[#This Row],[نوع الجلسة]]=$BZ$7),1,0)</f>
        <v>0</v>
      </c>
      <c r="AG6" s="125">
        <f>IF(AND(الجدول14[[#This Row],[البرنامج]]="OOSCH",الجدول14[[#This Row],[نوع الجلسة]]=$BZ$7),الجدول14[[#This Row],[عدد الذكور]],0)</f>
        <v>0</v>
      </c>
      <c r="AH6" s="125">
        <f>IF(AND(الجدول14[[#This Row],[البرنامج]]="OOSCH",الجدول14[[#This Row],[نوع الجلسة]]=$BZ$7),الجدول14[[#This Row],[عدد الأناث]],0)</f>
        <v>0</v>
      </c>
      <c r="AI6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6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6" s="126">
        <f>IF(AND(الجدول14[[#This Row],[البرنامج]]="OOSCH",الجدول14[[#This Row],[نوع الجلسة]]=$BZ$4),1,0)</f>
        <v>0</v>
      </c>
      <c r="AL6" s="126">
        <f>IF(AND(الجدول14[[#This Row],[البرنامج]]="OOSCH",الجدول14[[#This Row],[نوع الجلسة]]=$BZ$4),الجدول14[[#This Row],[عدد الذكور]],0)</f>
        <v>0</v>
      </c>
      <c r="AM6" s="126">
        <f>IF(AND(الجدول14[[#This Row],[البرنامج]]="OOSCH",الجدول14[[#This Row],[نوع الجلسة]]=$BZ$4),الجدول14[[#This Row],[عدد الأناث]],0)</f>
        <v>0</v>
      </c>
      <c r="AN6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6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6" s="123">
        <f>IF(AND(الجدول14[[#This Row],[نوع الجلسة]]=$BZ$5,الجدول14[[#This Row],[البرنامج]]=$BX$3),1,0)</f>
        <v>0</v>
      </c>
      <c r="AQ6" s="123">
        <f>IF(AND(الجدول14[[#This Row],[البرنامج]]="PLW",الجدول14[[#This Row],[نوع الجلسة]]=$BZ$5),الجدول14[[#This Row],[عدد الذكور]],0)</f>
        <v>0</v>
      </c>
      <c r="AR6" s="123">
        <f>IF(AND(الجدول14[[#This Row],[البرنامج]]="PLW",الجدول14[[#This Row],[نوع الجلسة]]=$BZ$5),الجدول14[[#This Row],[عدد الأناث]],0)</f>
        <v>0</v>
      </c>
      <c r="AS6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6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6" s="127">
        <f>IF(AND(الجدول14[[#This Row],[نوع الجلسة]]=$BZ$5,الجدول14[[#This Row],[البرنامج]]=$BX$2),1,0)</f>
        <v>0</v>
      </c>
      <c r="AV6" s="127">
        <f>IF(AND(الجدول14[[#This Row],[البرنامج]]="OOSCH",الجدول14[[#This Row],[نوع الجلسة]]=$BZ$5),الجدول14[[#This Row],[عدد الذكور]],0)</f>
        <v>0</v>
      </c>
      <c r="AW6" s="127">
        <f>IF(AND(الجدول14[[#This Row],[البرنامج]]="OOSCH",الجدول14[[#This Row],[نوع الجلسة]]=$BZ$5),الجدول14[[#This Row],[عدد الأناث]],0)</f>
        <v>0</v>
      </c>
      <c r="AX6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6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6" s="121">
        <f>IF(AND(الجدول14[[#This Row],[نوع الجلسة]]=$BZ$6,الجدول14[[#This Row],[البرنامج]]=$BX$3),1,0)</f>
        <v>0</v>
      </c>
      <c r="BA6" s="121">
        <f>IF(AND(الجدول14[[#This Row],[البرنامج]]="PLW",الجدول14[[#This Row],[نوع الجلسة]]=$BZ$6),الجدول14[[#This Row],[عدد الذكور]],0)</f>
        <v>0</v>
      </c>
      <c r="BB6" s="121">
        <f>IF(AND(الجدول14[[#This Row],[البرنامج]]="PLW",الجدول14[[#This Row],[نوع الجلسة]]=$BZ$6),الجدول14[[#This Row],[عدد الأناث]],0)</f>
        <v>0</v>
      </c>
      <c r="BC6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6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6" s="122">
        <f>IF(AND(الجدول14[[#This Row],[نوع الجلسة]]=$BZ$6,الجدول14[[#This Row],[البرنامج]]=$BX$2),1,0)</f>
        <v>0</v>
      </c>
      <c r="BF6" s="122">
        <f>IF(AND(الجدول14[[#This Row],[البرنامج]]="OOSCH",الجدول14[[#This Row],[نوع الجلسة]]=$BZ$6),الجدول14[[#This Row],[عدد الذكور]],0)</f>
        <v>0</v>
      </c>
      <c r="BG6" s="122">
        <f>IF(AND(الجدول14[[#This Row],[البرنامج]]="OOSCH",الجدول14[[#This Row],[نوع الجلسة]]=$BZ$6),الجدول14[[#This Row],[عدد الأناث]],0)</f>
        <v>0</v>
      </c>
      <c r="BH6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6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  <c r="BZ6" s="145" t="s">
        <v>234</v>
      </c>
      <c r="CA6" s="145" t="s">
        <v>234</v>
      </c>
      <c r="CB6" s="145"/>
    </row>
    <row r="7" spans="1:80" ht="31.5" customHeight="1" x14ac:dyDescent="0.25">
      <c r="B7" s="114"/>
      <c r="D7" s="9"/>
      <c r="E7" s="9"/>
      <c r="F7" s="9"/>
      <c r="G7" s="9"/>
      <c r="H7" s="9"/>
      <c r="I7" s="9"/>
      <c r="J7" s="9"/>
      <c r="K7" s="9">
        <f>SUM(الجدول14[[#This Row],[عدد الذكور]:[عدد الأناث]])</f>
        <v>0</v>
      </c>
      <c r="L7" s="120">
        <f>IF(AND(الجدول14[[#This Row],[البرنامج]]="PLW",الجدول14[[#This Row],[نوع الجلسة]]=$BZ$2),1,0)</f>
        <v>0</v>
      </c>
      <c r="M7" s="120">
        <f>IF(AND(الجدول14[[#This Row],[نوع الجلسة]]=$BZ$2,الجدول14[[#This Row],[البرنامج]]="PLW"),الجدول14[[#This Row],[عدد الذكور]],0)</f>
        <v>0</v>
      </c>
      <c r="N7" s="120">
        <f>IF(AND(الجدول14[[#This Row],[نوع الجلسة]]=$BZ$2,الجدول14[[#This Row],[البرنامج]]="PLW"),الجدول14[[#This Row],[عدد الأناث]],0)</f>
        <v>0</v>
      </c>
      <c r="O7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7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7" s="123">
        <f>IF(AND(الجدول14[[#This Row],[البرنامج]]="OOSCH",الجدول14[[#This Row],[نوع الجلسة]]=$BZ$2),1,0)</f>
        <v>0</v>
      </c>
      <c r="R7" s="123">
        <f>IF(AND(الجدول14[[#This Row],[البرنامج]]="OOSCH",الجدول14[[#This Row],[نوع الجلسة]]=$BZ$2),الجدول14[[#This Row],[عدد الذكور]],0)</f>
        <v>0</v>
      </c>
      <c r="S7" s="123">
        <f>IF(AND(الجدول14[[#This Row],[البرنامج]]="OOSCH",الجدول14[[#This Row],[نوع الجلسة]]=$BZ$2),الجدول14[[#This Row],[عدد الأناث]],0)</f>
        <v>0</v>
      </c>
      <c r="T7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7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7" s="124">
        <f>IF(AND(الجدول14[[#This Row],[البرنامج]]="PLW",الجدول14[[#This Row],[نوع الجلسة]]="معلومات صحة تغذوية للسيدة الحامل"),1,0)</f>
        <v>0</v>
      </c>
      <c r="W7" s="124">
        <f>IF(AND(الجدول14[[#This Row],[نوع الجلسة]]=$BZ$3,الجدول14[[#This Row],[البرنامج]]="PLW"),الجدول14[[#This Row],[عدد الذكور]],0)</f>
        <v>0</v>
      </c>
      <c r="X7" s="124">
        <f>IF(AND(الجدول14[[#This Row],[نوع الجلسة]]=$BZ$3,الجدول14[[#This Row],[البرنامج]]="PLW"),الجدول14[[#This Row],[عدد الأناث]],0)</f>
        <v>0</v>
      </c>
      <c r="Y7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7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7" s="113">
        <f>IF(AND(الجدول14[[#This Row],[البرنامج]]="PLW",الجدول14[[#This Row],[نوع الجلسة]]=$BZ$4),1,0)</f>
        <v>0</v>
      </c>
      <c r="AB7" s="113">
        <f>IF(AND(الجدول14[[#This Row],[البرنامج]]="PLW",الجدول14[[#This Row],[نوع الجلسة]]=$BZ$4),الجدول14[[#This Row],[عدد الذكور]],0)</f>
        <v>0</v>
      </c>
      <c r="AC7" s="113">
        <f>IF(AND(الجدول14[[#This Row],[البرنامج]]="PLW",الجدول14[[#This Row],[نوع الجلسة]]=$BZ$4),الجدول14[[#This Row],[عدد الأناث]],0)</f>
        <v>0</v>
      </c>
      <c r="AD7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7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7" s="125">
        <f>IF(AND(الجدول14[[#This Row],[البرنامج]]="OOSCH",الجدول14[[#This Row],[نوع الجلسة]]=$BZ$7),1,0)</f>
        <v>0</v>
      </c>
      <c r="AG7" s="125">
        <f>IF(AND(الجدول14[[#This Row],[البرنامج]]="OOSCH",الجدول14[[#This Row],[نوع الجلسة]]=$BZ$7),الجدول14[[#This Row],[عدد الذكور]],0)</f>
        <v>0</v>
      </c>
      <c r="AH7" s="125">
        <f>IF(AND(الجدول14[[#This Row],[البرنامج]]="OOSCH",الجدول14[[#This Row],[نوع الجلسة]]=$BZ$7),الجدول14[[#This Row],[عدد الأناث]],0)</f>
        <v>0</v>
      </c>
      <c r="AI7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7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7" s="126">
        <f>IF(AND(الجدول14[[#This Row],[البرنامج]]="OOSCH",الجدول14[[#This Row],[نوع الجلسة]]=$BZ$4),1,0)</f>
        <v>0</v>
      </c>
      <c r="AL7" s="126">
        <f>IF(AND(الجدول14[[#This Row],[البرنامج]]="OOSCH",الجدول14[[#This Row],[نوع الجلسة]]=$BZ$4),الجدول14[[#This Row],[عدد الذكور]],0)</f>
        <v>0</v>
      </c>
      <c r="AM7" s="126">
        <f>IF(AND(الجدول14[[#This Row],[البرنامج]]="OOSCH",الجدول14[[#This Row],[نوع الجلسة]]=$BZ$4),الجدول14[[#This Row],[عدد الأناث]],0)</f>
        <v>0</v>
      </c>
      <c r="AN7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7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7" s="123">
        <f>IF(AND(الجدول14[[#This Row],[نوع الجلسة]]=$BZ$5,الجدول14[[#This Row],[البرنامج]]=$BX$3),1,0)</f>
        <v>0</v>
      </c>
      <c r="AQ7" s="123">
        <f>IF(AND(الجدول14[[#This Row],[البرنامج]]="PLW",الجدول14[[#This Row],[نوع الجلسة]]=$BZ$5),الجدول14[[#This Row],[عدد الذكور]],0)</f>
        <v>0</v>
      </c>
      <c r="AR7" s="123">
        <f>IF(AND(الجدول14[[#This Row],[البرنامج]]="PLW",الجدول14[[#This Row],[نوع الجلسة]]=$BZ$5),الجدول14[[#This Row],[عدد الأناث]],0)</f>
        <v>0</v>
      </c>
      <c r="AS7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7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7" s="127">
        <f>IF(AND(الجدول14[[#This Row],[نوع الجلسة]]=$BZ$5,الجدول14[[#This Row],[البرنامج]]=$BX$2),1,0)</f>
        <v>0</v>
      </c>
      <c r="AV7" s="127">
        <f>IF(AND(الجدول14[[#This Row],[البرنامج]]="OOSCH",الجدول14[[#This Row],[نوع الجلسة]]=$BZ$5),الجدول14[[#This Row],[عدد الذكور]],0)</f>
        <v>0</v>
      </c>
      <c r="AW7" s="127">
        <f>IF(AND(الجدول14[[#This Row],[البرنامج]]="OOSCH",الجدول14[[#This Row],[نوع الجلسة]]=$BZ$5),الجدول14[[#This Row],[عدد الأناث]],0)</f>
        <v>0</v>
      </c>
      <c r="AX7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7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7" s="121">
        <f>IF(AND(الجدول14[[#This Row],[نوع الجلسة]]=$BZ$6,الجدول14[[#This Row],[البرنامج]]=$BX$3),1,0)</f>
        <v>0</v>
      </c>
      <c r="BA7" s="121">
        <f>IF(AND(الجدول14[[#This Row],[البرنامج]]="PLW",الجدول14[[#This Row],[نوع الجلسة]]=$BZ$6),الجدول14[[#This Row],[عدد الذكور]],0)</f>
        <v>0</v>
      </c>
      <c r="BB7" s="121">
        <f>IF(AND(الجدول14[[#This Row],[البرنامج]]="PLW",الجدول14[[#This Row],[نوع الجلسة]]=$BZ$6),الجدول14[[#This Row],[عدد الأناث]],0)</f>
        <v>0</v>
      </c>
      <c r="BC7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7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7" s="122">
        <f>IF(AND(الجدول14[[#This Row],[نوع الجلسة]]=$BZ$6,الجدول14[[#This Row],[البرنامج]]=$BX$2),1,0)</f>
        <v>0</v>
      </c>
      <c r="BF7" s="122">
        <f>IF(AND(الجدول14[[#This Row],[البرنامج]]="OOSCH",الجدول14[[#This Row],[نوع الجلسة]]=$BZ$6),الجدول14[[#This Row],[عدد الذكور]],0)</f>
        <v>0</v>
      </c>
      <c r="BG7" s="122">
        <f>IF(AND(الجدول14[[#This Row],[البرنامج]]="OOSCH",الجدول14[[#This Row],[نوع الجلسة]]=$BZ$6),الجدول14[[#This Row],[عدد الأناث]],0)</f>
        <v>0</v>
      </c>
      <c r="BH7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7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  <c r="BZ7" s="145" t="s">
        <v>201</v>
      </c>
      <c r="CA7" s="145" t="s">
        <v>201</v>
      </c>
      <c r="CB7" s="145"/>
    </row>
    <row r="8" spans="1:80" ht="31.5" customHeight="1" x14ac:dyDescent="0.25">
      <c r="D8" s="9"/>
      <c r="E8" s="9"/>
      <c r="F8" s="9"/>
      <c r="G8" s="9"/>
      <c r="H8" s="9"/>
      <c r="I8" s="9"/>
      <c r="J8" s="9"/>
      <c r="K8" s="9">
        <f>SUM(الجدول14[[#This Row],[عدد الذكور]:[عدد الأناث]])</f>
        <v>0</v>
      </c>
      <c r="L8" s="120">
        <f>IF(AND(الجدول14[[#This Row],[البرنامج]]="PLW",الجدول14[[#This Row],[نوع الجلسة]]=$BZ$2),1,0)</f>
        <v>0</v>
      </c>
      <c r="M8" s="120">
        <f>IF(AND(الجدول14[[#This Row],[نوع الجلسة]]=$BZ$2,الجدول14[[#This Row],[البرنامج]]="PLW"),الجدول14[[#This Row],[عدد الذكور]],0)</f>
        <v>0</v>
      </c>
      <c r="N8" s="120">
        <f>IF(AND(الجدول14[[#This Row],[نوع الجلسة]]=$BZ$2,الجدول14[[#This Row],[البرنامج]]="PLW"),الجدول14[[#This Row],[عدد الأناث]],0)</f>
        <v>0</v>
      </c>
      <c r="O8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8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8" s="123">
        <f>IF(AND(الجدول14[[#This Row],[البرنامج]]="OOSCH",الجدول14[[#This Row],[نوع الجلسة]]=$BZ$2),1,0)</f>
        <v>0</v>
      </c>
      <c r="R8" s="123">
        <f>IF(AND(الجدول14[[#This Row],[البرنامج]]="OOSCH",الجدول14[[#This Row],[نوع الجلسة]]=$BZ$2),الجدول14[[#This Row],[عدد الذكور]],0)</f>
        <v>0</v>
      </c>
      <c r="S8" s="123">
        <f>IF(AND(الجدول14[[#This Row],[البرنامج]]="OOSCH",الجدول14[[#This Row],[نوع الجلسة]]=$BZ$2),الجدول14[[#This Row],[عدد الأناث]],0)</f>
        <v>0</v>
      </c>
      <c r="T8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8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8" s="124">
        <f>IF(AND(الجدول14[[#This Row],[البرنامج]]="PLW",الجدول14[[#This Row],[نوع الجلسة]]="معلومات صحة تغذوية للسيدة الحامل"),1,0)</f>
        <v>0</v>
      </c>
      <c r="W8" s="124">
        <f>IF(AND(الجدول14[[#This Row],[نوع الجلسة]]=$BZ$3,الجدول14[[#This Row],[البرنامج]]="PLW"),الجدول14[[#This Row],[عدد الذكور]],0)</f>
        <v>0</v>
      </c>
      <c r="X8" s="124">
        <f>IF(AND(الجدول14[[#This Row],[نوع الجلسة]]=$BZ$3,الجدول14[[#This Row],[البرنامج]]="PLW"),الجدول14[[#This Row],[عدد الأناث]],0)</f>
        <v>0</v>
      </c>
      <c r="Y8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8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8" s="113">
        <f>IF(AND(الجدول14[[#This Row],[البرنامج]]="PLW",الجدول14[[#This Row],[نوع الجلسة]]=$BZ$4),1,0)</f>
        <v>0</v>
      </c>
      <c r="AB8" s="113">
        <f>IF(AND(الجدول14[[#This Row],[البرنامج]]="PLW",الجدول14[[#This Row],[نوع الجلسة]]=$BZ$4),الجدول14[[#This Row],[عدد الذكور]],0)</f>
        <v>0</v>
      </c>
      <c r="AC8" s="113">
        <f>IF(AND(الجدول14[[#This Row],[البرنامج]]="PLW",الجدول14[[#This Row],[نوع الجلسة]]=$BZ$4),الجدول14[[#This Row],[عدد الأناث]],0)</f>
        <v>0</v>
      </c>
      <c r="AD8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8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8" s="125">
        <f>IF(AND(الجدول14[[#This Row],[البرنامج]]="OOSCH",الجدول14[[#This Row],[نوع الجلسة]]=$BZ$7),1,0)</f>
        <v>0</v>
      </c>
      <c r="AG8" s="125">
        <f>IF(AND(الجدول14[[#This Row],[البرنامج]]="OOSCH",الجدول14[[#This Row],[نوع الجلسة]]=$BZ$7),الجدول14[[#This Row],[عدد الذكور]],0)</f>
        <v>0</v>
      </c>
      <c r="AH8" s="125">
        <f>IF(AND(الجدول14[[#This Row],[البرنامج]]="OOSCH",الجدول14[[#This Row],[نوع الجلسة]]=$BZ$7),الجدول14[[#This Row],[عدد الأناث]],0)</f>
        <v>0</v>
      </c>
      <c r="AI8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8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8" s="126">
        <f>IF(AND(الجدول14[[#This Row],[البرنامج]]="OOSCH",الجدول14[[#This Row],[نوع الجلسة]]=$BZ$4),1,0)</f>
        <v>0</v>
      </c>
      <c r="AL8" s="126">
        <f>IF(AND(الجدول14[[#This Row],[البرنامج]]="OOSCH",الجدول14[[#This Row],[نوع الجلسة]]=$BZ$4),الجدول14[[#This Row],[عدد الذكور]],0)</f>
        <v>0</v>
      </c>
      <c r="AM8" s="126">
        <f>IF(AND(الجدول14[[#This Row],[البرنامج]]="OOSCH",الجدول14[[#This Row],[نوع الجلسة]]=$BZ$4),الجدول14[[#This Row],[عدد الأناث]],0)</f>
        <v>0</v>
      </c>
      <c r="AN8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8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8" s="123">
        <f>IF(AND(الجدول14[[#This Row],[نوع الجلسة]]=$BZ$5,الجدول14[[#This Row],[البرنامج]]=$BX$3),1,0)</f>
        <v>0</v>
      </c>
      <c r="AQ8" s="123">
        <f>IF(AND(الجدول14[[#This Row],[البرنامج]]="PLW",الجدول14[[#This Row],[نوع الجلسة]]=$BZ$5),الجدول14[[#This Row],[عدد الذكور]],0)</f>
        <v>0</v>
      </c>
      <c r="AR8" s="123">
        <f>IF(AND(الجدول14[[#This Row],[البرنامج]]="PLW",الجدول14[[#This Row],[نوع الجلسة]]=$BZ$5),الجدول14[[#This Row],[عدد الأناث]],0)</f>
        <v>0</v>
      </c>
      <c r="AS8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8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8" s="127">
        <f>IF(AND(الجدول14[[#This Row],[نوع الجلسة]]=$BZ$5,الجدول14[[#This Row],[البرنامج]]=$BX$2),1,0)</f>
        <v>0</v>
      </c>
      <c r="AV8" s="127">
        <f>IF(AND(الجدول14[[#This Row],[البرنامج]]="OOSCH",الجدول14[[#This Row],[نوع الجلسة]]=$BZ$5),الجدول14[[#This Row],[عدد الذكور]],0)</f>
        <v>0</v>
      </c>
      <c r="AW8" s="127">
        <f>IF(AND(الجدول14[[#This Row],[البرنامج]]="OOSCH",الجدول14[[#This Row],[نوع الجلسة]]=$BZ$5),الجدول14[[#This Row],[عدد الأناث]],0)</f>
        <v>0</v>
      </c>
      <c r="AX8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8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8" s="121">
        <f>IF(AND(الجدول14[[#This Row],[نوع الجلسة]]=$BZ$6,الجدول14[[#This Row],[البرنامج]]=$BX$3),1,0)</f>
        <v>0</v>
      </c>
      <c r="BA8" s="121">
        <f>IF(AND(الجدول14[[#This Row],[البرنامج]]="PLW",الجدول14[[#This Row],[نوع الجلسة]]=$BZ$6),الجدول14[[#This Row],[عدد الذكور]],0)</f>
        <v>0</v>
      </c>
      <c r="BB8" s="121">
        <f>IF(AND(الجدول14[[#This Row],[البرنامج]]="PLW",الجدول14[[#This Row],[نوع الجلسة]]=$BZ$6),الجدول14[[#This Row],[عدد الأناث]],0)</f>
        <v>0</v>
      </c>
      <c r="BC8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8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8" s="122">
        <f>IF(AND(الجدول14[[#This Row],[نوع الجلسة]]=$BZ$6,الجدول14[[#This Row],[البرنامج]]=$BX$2),1,0)</f>
        <v>0</v>
      </c>
      <c r="BF8" s="122">
        <f>IF(AND(الجدول14[[#This Row],[البرنامج]]="OOSCH",الجدول14[[#This Row],[نوع الجلسة]]=$BZ$6),الجدول14[[#This Row],[عدد الذكور]],0)</f>
        <v>0</v>
      </c>
      <c r="BG8" s="122">
        <f>IF(AND(الجدول14[[#This Row],[البرنامج]]="OOSCH",الجدول14[[#This Row],[نوع الجلسة]]=$BZ$6),الجدول14[[#This Row],[عدد الأناث]],0)</f>
        <v>0</v>
      </c>
      <c r="BH8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8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9" spans="1:80" ht="31.5" customHeight="1" x14ac:dyDescent="0.25">
      <c r="D9" s="9"/>
      <c r="E9" s="9"/>
      <c r="F9" s="9"/>
      <c r="G9" s="9"/>
      <c r="H9" s="9"/>
      <c r="I9" s="9"/>
      <c r="J9" s="9"/>
      <c r="K9" s="9">
        <f>SUM(الجدول14[[#This Row],[عدد الذكور]:[عدد الأناث]])</f>
        <v>0</v>
      </c>
      <c r="L9" s="120">
        <f>IF(AND(الجدول14[[#This Row],[البرنامج]]="PLW",الجدول14[[#This Row],[نوع الجلسة]]=$BZ$2),1,0)</f>
        <v>0</v>
      </c>
      <c r="M9" s="120">
        <f>IF(AND(الجدول14[[#This Row],[نوع الجلسة]]=$BZ$2,الجدول14[[#This Row],[البرنامج]]="PLW"),الجدول14[[#This Row],[عدد الذكور]],0)</f>
        <v>0</v>
      </c>
      <c r="N9" s="120">
        <f>IF(AND(الجدول14[[#This Row],[نوع الجلسة]]=$BZ$2,الجدول14[[#This Row],[البرنامج]]="PLW"),الجدول14[[#This Row],[عدد الأناث]],0)</f>
        <v>0</v>
      </c>
      <c r="O9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9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9" s="123">
        <f>IF(AND(الجدول14[[#This Row],[البرنامج]]="OOSCH",الجدول14[[#This Row],[نوع الجلسة]]=$BZ$2),1,0)</f>
        <v>0</v>
      </c>
      <c r="R9" s="123">
        <f>IF(AND(الجدول14[[#This Row],[البرنامج]]="OOSCH",الجدول14[[#This Row],[نوع الجلسة]]=$BZ$2),الجدول14[[#This Row],[عدد الذكور]],0)</f>
        <v>0</v>
      </c>
      <c r="S9" s="123">
        <f>IF(AND(الجدول14[[#This Row],[البرنامج]]="OOSCH",الجدول14[[#This Row],[نوع الجلسة]]=$BZ$2),الجدول14[[#This Row],[عدد الأناث]],0)</f>
        <v>0</v>
      </c>
      <c r="T9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9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9" s="124">
        <f>IF(AND(الجدول14[[#This Row],[البرنامج]]="PLW",الجدول14[[#This Row],[نوع الجلسة]]="معلومات صحة تغذوية للسيدة الحامل"),1,0)</f>
        <v>0</v>
      </c>
      <c r="W9" s="124">
        <f>IF(AND(الجدول14[[#This Row],[نوع الجلسة]]=$BZ$3,الجدول14[[#This Row],[البرنامج]]="PLW"),الجدول14[[#This Row],[عدد الذكور]],0)</f>
        <v>0</v>
      </c>
      <c r="X9" s="124">
        <f>IF(AND(الجدول14[[#This Row],[نوع الجلسة]]=$BZ$3,الجدول14[[#This Row],[البرنامج]]="PLW"),الجدول14[[#This Row],[عدد الأناث]],0)</f>
        <v>0</v>
      </c>
      <c r="Y9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9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9" s="113">
        <f>IF(AND(الجدول14[[#This Row],[البرنامج]]="PLW",الجدول14[[#This Row],[نوع الجلسة]]=$BZ$4),1,0)</f>
        <v>0</v>
      </c>
      <c r="AB9" s="113">
        <f>IF(AND(الجدول14[[#This Row],[البرنامج]]="PLW",الجدول14[[#This Row],[نوع الجلسة]]=$BZ$4),الجدول14[[#This Row],[عدد الذكور]],0)</f>
        <v>0</v>
      </c>
      <c r="AC9" s="113">
        <f>IF(AND(الجدول14[[#This Row],[البرنامج]]="PLW",الجدول14[[#This Row],[نوع الجلسة]]=$BZ$4),الجدول14[[#This Row],[عدد الأناث]],0)</f>
        <v>0</v>
      </c>
      <c r="AD9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9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9" s="125">
        <f>IF(AND(الجدول14[[#This Row],[البرنامج]]="OOSCH",الجدول14[[#This Row],[نوع الجلسة]]=$BZ$7),1,0)</f>
        <v>0</v>
      </c>
      <c r="AG9" s="125">
        <f>IF(AND(الجدول14[[#This Row],[البرنامج]]="OOSCH",الجدول14[[#This Row],[نوع الجلسة]]=$BZ$7),الجدول14[[#This Row],[عدد الذكور]],0)</f>
        <v>0</v>
      </c>
      <c r="AH9" s="125">
        <f>IF(AND(الجدول14[[#This Row],[البرنامج]]="OOSCH",الجدول14[[#This Row],[نوع الجلسة]]=$BZ$7),الجدول14[[#This Row],[عدد الأناث]],0)</f>
        <v>0</v>
      </c>
      <c r="AI9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9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9" s="126">
        <f>IF(AND(الجدول14[[#This Row],[البرنامج]]="OOSCH",الجدول14[[#This Row],[نوع الجلسة]]=$BZ$4),1,0)</f>
        <v>0</v>
      </c>
      <c r="AL9" s="126">
        <f>IF(AND(الجدول14[[#This Row],[البرنامج]]="OOSCH",الجدول14[[#This Row],[نوع الجلسة]]=$BZ$4),الجدول14[[#This Row],[عدد الذكور]],0)</f>
        <v>0</v>
      </c>
      <c r="AM9" s="126">
        <f>IF(AND(الجدول14[[#This Row],[البرنامج]]="OOSCH",الجدول14[[#This Row],[نوع الجلسة]]=$BZ$4),الجدول14[[#This Row],[عدد الأناث]],0)</f>
        <v>0</v>
      </c>
      <c r="AN9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9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9" s="123">
        <f>IF(AND(الجدول14[[#This Row],[نوع الجلسة]]=$BZ$5,الجدول14[[#This Row],[البرنامج]]=$BX$3),1,0)</f>
        <v>0</v>
      </c>
      <c r="AQ9" s="123">
        <f>IF(AND(الجدول14[[#This Row],[البرنامج]]="PLW",الجدول14[[#This Row],[نوع الجلسة]]=$BZ$5),الجدول14[[#This Row],[عدد الذكور]],0)</f>
        <v>0</v>
      </c>
      <c r="AR9" s="123">
        <f>IF(AND(الجدول14[[#This Row],[البرنامج]]="PLW",الجدول14[[#This Row],[نوع الجلسة]]=$BZ$5),الجدول14[[#This Row],[عدد الأناث]],0)</f>
        <v>0</v>
      </c>
      <c r="AS9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9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9" s="127">
        <f>IF(AND(الجدول14[[#This Row],[نوع الجلسة]]=$BZ$5,الجدول14[[#This Row],[البرنامج]]=$BX$2),1,0)</f>
        <v>0</v>
      </c>
      <c r="AV9" s="127">
        <f>IF(AND(الجدول14[[#This Row],[البرنامج]]="OOSCH",الجدول14[[#This Row],[نوع الجلسة]]=$BZ$5),الجدول14[[#This Row],[عدد الذكور]],0)</f>
        <v>0</v>
      </c>
      <c r="AW9" s="127">
        <f>IF(AND(الجدول14[[#This Row],[البرنامج]]="OOSCH",الجدول14[[#This Row],[نوع الجلسة]]=$BZ$5),الجدول14[[#This Row],[عدد الأناث]],0)</f>
        <v>0</v>
      </c>
      <c r="AX9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9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9" s="121">
        <f>IF(AND(الجدول14[[#This Row],[نوع الجلسة]]=$BZ$6,الجدول14[[#This Row],[البرنامج]]=$BX$3),1,0)</f>
        <v>0</v>
      </c>
      <c r="BA9" s="121">
        <f>IF(AND(الجدول14[[#This Row],[البرنامج]]="PLW",الجدول14[[#This Row],[نوع الجلسة]]=$BZ$6),الجدول14[[#This Row],[عدد الذكور]],0)</f>
        <v>0</v>
      </c>
      <c r="BB9" s="121">
        <f>IF(AND(الجدول14[[#This Row],[البرنامج]]="PLW",الجدول14[[#This Row],[نوع الجلسة]]=$BZ$6),الجدول14[[#This Row],[عدد الأناث]],0)</f>
        <v>0</v>
      </c>
      <c r="BC9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9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9" s="122">
        <f>IF(AND(الجدول14[[#This Row],[نوع الجلسة]]=$BZ$6,الجدول14[[#This Row],[البرنامج]]=$BX$2),1,0)</f>
        <v>0</v>
      </c>
      <c r="BF9" s="122">
        <f>IF(AND(الجدول14[[#This Row],[البرنامج]]="OOSCH",الجدول14[[#This Row],[نوع الجلسة]]=$BZ$6),الجدول14[[#This Row],[عدد الذكور]],0)</f>
        <v>0</v>
      </c>
      <c r="BG9" s="122">
        <f>IF(AND(الجدول14[[#This Row],[البرنامج]]="OOSCH",الجدول14[[#This Row],[نوع الجلسة]]=$BZ$6),الجدول14[[#This Row],[عدد الأناث]],0)</f>
        <v>0</v>
      </c>
      <c r="BH9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9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10" spans="1:80" ht="31.5" customHeight="1" x14ac:dyDescent="0.25">
      <c r="D10" s="9"/>
      <c r="E10" s="9"/>
      <c r="F10" s="9"/>
      <c r="G10" s="9"/>
      <c r="H10" s="9"/>
      <c r="I10" s="9"/>
      <c r="J10" s="9"/>
      <c r="K10" s="9">
        <f>SUM(الجدول14[[#This Row],[عدد الذكور]:[عدد الأناث]])</f>
        <v>0</v>
      </c>
      <c r="L10" s="120">
        <f>IF(AND(الجدول14[[#This Row],[البرنامج]]="PLW",الجدول14[[#This Row],[نوع الجلسة]]=$BZ$2),1,0)</f>
        <v>0</v>
      </c>
      <c r="M10" s="120">
        <f>IF(AND(الجدول14[[#This Row],[نوع الجلسة]]=$BZ$2,الجدول14[[#This Row],[البرنامج]]="PLW"),الجدول14[[#This Row],[عدد الذكور]],0)</f>
        <v>0</v>
      </c>
      <c r="N10" s="120">
        <f>IF(AND(الجدول14[[#This Row],[نوع الجلسة]]=$BZ$2,الجدول14[[#This Row],[البرنامج]]="PLW"),الجدول14[[#This Row],[عدد الأناث]],0)</f>
        <v>0</v>
      </c>
      <c r="O10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10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10" s="123">
        <f>IF(AND(الجدول14[[#This Row],[البرنامج]]="OOSCH",الجدول14[[#This Row],[نوع الجلسة]]=$BZ$2),1,0)</f>
        <v>0</v>
      </c>
      <c r="R10" s="123">
        <f>IF(AND(الجدول14[[#This Row],[البرنامج]]="OOSCH",الجدول14[[#This Row],[نوع الجلسة]]=$BZ$2),الجدول14[[#This Row],[عدد الذكور]],0)</f>
        <v>0</v>
      </c>
      <c r="S10" s="123">
        <f>IF(AND(الجدول14[[#This Row],[البرنامج]]="OOSCH",الجدول14[[#This Row],[نوع الجلسة]]=$BZ$2),الجدول14[[#This Row],[عدد الأناث]],0)</f>
        <v>0</v>
      </c>
      <c r="T10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10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10" s="124">
        <f>IF(AND(الجدول14[[#This Row],[البرنامج]]="PLW",الجدول14[[#This Row],[نوع الجلسة]]="معلومات صحة تغذوية للسيدة الحامل"),1,0)</f>
        <v>0</v>
      </c>
      <c r="W10" s="124">
        <f>IF(AND(الجدول14[[#This Row],[نوع الجلسة]]=$BZ$3,الجدول14[[#This Row],[البرنامج]]="PLW"),الجدول14[[#This Row],[عدد الذكور]],0)</f>
        <v>0</v>
      </c>
      <c r="X10" s="124">
        <f>IF(AND(الجدول14[[#This Row],[نوع الجلسة]]=$BZ$3,الجدول14[[#This Row],[البرنامج]]="PLW"),الجدول14[[#This Row],[عدد الأناث]],0)</f>
        <v>0</v>
      </c>
      <c r="Y10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10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10" s="113">
        <f>IF(AND(الجدول14[[#This Row],[البرنامج]]="PLW",الجدول14[[#This Row],[نوع الجلسة]]=$BZ$4),1,0)</f>
        <v>0</v>
      </c>
      <c r="AB10" s="113">
        <f>IF(AND(الجدول14[[#This Row],[البرنامج]]="PLW",الجدول14[[#This Row],[نوع الجلسة]]=$BZ$4),الجدول14[[#This Row],[عدد الذكور]],0)</f>
        <v>0</v>
      </c>
      <c r="AC10" s="113">
        <f>IF(AND(الجدول14[[#This Row],[البرنامج]]="PLW",الجدول14[[#This Row],[نوع الجلسة]]=$BZ$4),الجدول14[[#This Row],[عدد الأناث]],0)</f>
        <v>0</v>
      </c>
      <c r="AD10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10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10" s="125">
        <f>IF(AND(الجدول14[[#This Row],[البرنامج]]="OOSCH",الجدول14[[#This Row],[نوع الجلسة]]=$BZ$7),1,0)</f>
        <v>0</v>
      </c>
      <c r="AG10" s="125">
        <f>IF(AND(الجدول14[[#This Row],[البرنامج]]="OOSCH",الجدول14[[#This Row],[نوع الجلسة]]=$BZ$7),الجدول14[[#This Row],[عدد الذكور]],0)</f>
        <v>0</v>
      </c>
      <c r="AH10" s="125">
        <f>IF(AND(الجدول14[[#This Row],[البرنامج]]="OOSCH",الجدول14[[#This Row],[نوع الجلسة]]=$BZ$7),الجدول14[[#This Row],[عدد الأناث]],0)</f>
        <v>0</v>
      </c>
      <c r="AI10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10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10" s="126">
        <f>IF(AND(الجدول14[[#This Row],[البرنامج]]="OOSCH",الجدول14[[#This Row],[نوع الجلسة]]=$BZ$4),1,0)</f>
        <v>0</v>
      </c>
      <c r="AL10" s="126">
        <f>IF(AND(الجدول14[[#This Row],[البرنامج]]="OOSCH",الجدول14[[#This Row],[نوع الجلسة]]=$BZ$4),الجدول14[[#This Row],[عدد الذكور]],0)</f>
        <v>0</v>
      </c>
      <c r="AM10" s="126">
        <f>IF(AND(الجدول14[[#This Row],[البرنامج]]="OOSCH",الجدول14[[#This Row],[نوع الجلسة]]=$BZ$4),الجدول14[[#This Row],[عدد الأناث]],0)</f>
        <v>0</v>
      </c>
      <c r="AN10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10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10" s="123">
        <f>IF(AND(الجدول14[[#This Row],[نوع الجلسة]]=$BZ$5,الجدول14[[#This Row],[البرنامج]]=$BX$3),1,0)</f>
        <v>0</v>
      </c>
      <c r="AQ10" s="123">
        <f>IF(AND(الجدول14[[#This Row],[البرنامج]]="PLW",الجدول14[[#This Row],[نوع الجلسة]]=$BZ$5),الجدول14[[#This Row],[عدد الذكور]],0)</f>
        <v>0</v>
      </c>
      <c r="AR10" s="123">
        <f>IF(AND(الجدول14[[#This Row],[البرنامج]]="PLW",الجدول14[[#This Row],[نوع الجلسة]]=$BZ$5),الجدول14[[#This Row],[عدد الأناث]],0)</f>
        <v>0</v>
      </c>
      <c r="AS10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10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10" s="127">
        <f>IF(AND(الجدول14[[#This Row],[نوع الجلسة]]=$BZ$5,الجدول14[[#This Row],[البرنامج]]=$BX$2),1,0)</f>
        <v>0</v>
      </c>
      <c r="AV10" s="127">
        <f>IF(AND(الجدول14[[#This Row],[البرنامج]]="OOSCH",الجدول14[[#This Row],[نوع الجلسة]]=$BZ$5),الجدول14[[#This Row],[عدد الذكور]],0)</f>
        <v>0</v>
      </c>
      <c r="AW10" s="127">
        <f>IF(AND(الجدول14[[#This Row],[البرنامج]]="OOSCH",الجدول14[[#This Row],[نوع الجلسة]]=$BZ$5),الجدول14[[#This Row],[عدد الأناث]],0)</f>
        <v>0</v>
      </c>
      <c r="AX10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10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10" s="121">
        <f>IF(AND(الجدول14[[#This Row],[نوع الجلسة]]=$BZ$6,الجدول14[[#This Row],[البرنامج]]=$BX$3),1,0)</f>
        <v>0</v>
      </c>
      <c r="BA10" s="121">
        <f>IF(AND(الجدول14[[#This Row],[البرنامج]]="PLW",الجدول14[[#This Row],[نوع الجلسة]]=$BZ$6),الجدول14[[#This Row],[عدد الذكور]],0)</f>
        <v>0</v>
      </c>
      <c r="BB10" s="121">
        <f>IF(AND(الجدول14[[#This Row],[البرنامج]]="PLW",الجدول14[[#This Row],[نوع الجلسة]]=$BZ$6),الجدول14[[#This Row],[عدد الأناث]],0)</f>
        <v>0</v>
      </c>
      <c r="BC10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10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10" s="122">
        <f>IF(AND(الجدول14[[#This Row],[نوع الجلسة]]=$BZ$6,الجدول14[[#This Row],[البرنامج]]=$BX$2),1,0)</f>
        <v>0</v>
      </c>
      <c r="BF10" s="122">
        <f>IF(AND(الجدول14[[#This Row],[البرنامج]]="OOSCH",الجدول14[[#This Row],[نوع الجلسة]]=$BZ$6),الجدول14[[#This Row],[عدد الذكور]],0)</f>
        <v>0</v>
      </c>
      <c r="BG10" s="122">
        <f>IF(AND(الجدول14[[#This Row],[البرنامج]]="OOSCH",الجدول14[[#This Row],[نوع الجلسة]]=$BZ$6),الجدول14[[#This Row],[عدد الأناث]],0)</f>
        <v>0</v>
      </c>
      <c r="BH10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10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11" spans="1:80" ht="31.5" customHeight="1" x14ac:dyDescent="0.25">
      <c r="D11" s="9"/>
      <c r="E11" s="9"/>
      <c r="F11" s="9"/>
      <c r="G11" s="9"/>
      <c r="H11" s="9"/>
      <c r="I11" s="9"/>
      <c r="J11" s="9"/>
      <c r="K11" s="9">
        <f>SUM(الجدول14[[#This Row],[عدد الذكور]:[عدد الأناث]])</f>
        <v>0</v>
      </c>
      <c r="L11" s="120">
        <f>IF(AND(الجدول14[[#This Row],[البرنامج]]="PLW",الجدول14[[#This Row],[نوع الجلسة]]=$BZ$2),1,0)</f>
        <v>0</v>
      </c>
      <c r="M11" s="120">
        <f>IF(AND(الجدول14[[#This Row],[نوع الجلسة]]=$BZ$2,الجدول14[[#This Row],[البرنامج]]="PLW"),الجدول14[[#This Row],[عدد الذكور]],0)</f>
        <v>0</v>
      </c>
      <c r="N11" s="120">
        <f>IF(AND(الجدول14[[#This Row],[نوع الجلسة]]=$BZ$2,الجدول14[[#This Row],[البرنامج]]="PLW"),الجدول14[[#This Row],[عدد الأناث]],0)</f>
        <v>0</v>
      </c>
      <c r="O11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11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11" s="123">
        <f>IF(AND(الجدول14[[#This Row],[البرنامج]]="OOSCH",الجدول14[[#This Row],[نوع الجلسة]]=$BZ$2),1,0)</f>
        <v>0</v>
      </c>
      <c r="R11" s="123">
        <f>IF(AND(الجدول14[[#This Row],[البرنامج]]="OOSCH",الجدول14[[#This Row],[نوع الجلسة]]=$BZ$2),الجدول14[[#This Row],[عدد الذكور]],0)</f>
        <v>0</v>
      </c>
      <c r="S11" s="123">
        <f>IF(AND(الجدول14[[#This Row],[البرنامج]]="OOSCH",الجدول14[[#This Row],[نوع الجلسة]]=$BZ$2),الجدول14[[#This Row],[عدد الأناث]],0)</f>
        <v>0</v>
      </c>
      <c r="T11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11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11" s="124">
        <f>IF(AND(الجدول14[[#This Row],[البرنامج]]="PLW",الجدول14[[#This Row],[نوع الجلسة]]="معلومات صحة تغذوية للسيدة الحامل"),1,0)</f>
        <v>0</v>
      </c>
      <c r="W11" s="124">
        <f>IF(AND(الجدول14[[#This Row],[نوع الجلسة]]=$BZ$3,الجدول14[[#This Row],[البرنامج]]="PLW"),الجدول14[[#This Row],[عدد الذكور]],0)</f>
        <v>0</v>
      </c>
      <c r="X11" s="124">
        <f>IF(AND(الجدول14[[#This Row],[نوع الجلسة]]=$BZ$3,الجدول14[[#This Row],[البرنامج]]="PLW"),الجدول14[[#This Row],[عدد الأناث]],0)</f>
        <v>0</v>
      </c>
      <c r="Y11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11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11" s="113">
        <f>IF(AND(الجدول14[[#This Row],[البرنامج]]="PLW",الجدول14[[#This Row],[نوع الجلسة]]=$BZ$4),1,0)</f>
        <v>0</v>
      </c>
      <c r="AB11" s="113">
        <f>IF(AND(الجدول14[[#This Row],[البرنامج]]="PLW",الجدول14[[#This Row],[نوع الجلسة]]=$BZ$4),الجدول14[[#This Row],[عدد الذكور]],0)</f>
        <v>0</v>
      </c>
      <c r="AC11" s="113">
        <f>IF(AND(الجدول14[[#This Row],[البرنامج]]="PLW",الجدول14[[#This Row],[نوع الجلسة]]=$BZ$4),الجدول14[[#This Row],[عدد الأناث]],0)</f>
        <v>0</v>
      </c>
      <c r="AD11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11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11" s="125">
        <f>IF(AND(الجدول14[[#This Row],[البرنامج]]="OOSCH",الجدول14[[#This Row],[نوع الجلسة]]=$BZ$7),1,0)</f>
        <v>0</v>
      </c>
      <c r="AG11" s="125">
        <f>IF(AND(الجدول14[[#This Row],[البرنامج]]="OOSCH",الجدول14[[#This Row],[نوع الجلسة]]=$BZ$7),الجدول14[[#This Row],[عدد الذكور]],0)</f>
        <v>0</v>
      </c>
      <c r="AH11" s="125">
        <f>IF(AND(الجدول14[[#This Row],[البرنامج]]="OOSCH",الجدول14[[#This Row],[نوع الجلسة]]=$BZ$7),الجدول14[[#This Row],[عدد الأناث]],0)</f>
        <v>0</v>
      </c>
      <c r="AI11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11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11" s="126">
        <f>IF(AND(الجدول14[[#This Row],[البرنامج]]="OOSCH",الجدول14[[#This Row],[نوع الجلسة]]=$BZ$4),1,0)</f>
        <v>0</v>
      </c>
      <c r="AL11" s="126">
        <f>IF(AND(الجدول14[[#This Row],[البرنامج]]="OOSCH",الجدول14[[#This Row],[نوع الجلسة]]=$BZ$4),الجدول14[[#This Row],[عدد الذكور]],0)</f>
        <v>0</v>
      </c>
      <c r="AM11" s="126">
        <f>IF(AND(الجدول14[[#This Row],[البرنامج]]="OOSCH",الجدول14[[#This Row],[نوع الجلسة]]=$BZ$4),الجدول14[[#This Row],[عدد الأناث]],0)</f>
        <v>0</v>
      </c>
      <c r="AN11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11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11" s="123">
        <f>IF(AND(الجدول14[[#This Row],[نوع الجلسة]]=$BZ$5,الجدول14[[#This Row],[البرنامج]]=$BX$3),1,0)</f>
        <v>0</v>
      </c>
      <c r="AQ11" s="123">
        <f>IF(AND(الجدول14[[#This Row],[البرنامج]]="PLW",الجدول14[[#This Row],[نوع الجلسة]]=$BZ$5),الجدول14[[#This Row],[عدد الذكور]],0)</f>
        <v>0</v>
      </c>
      <c r="AR11" s="123">
        <f>IF(AND(الجدول14[[#This Row],[البرنامج]]="PLW",الجدول14[[#This Row],[نوع الجلسة]]=$BZ$5),الجدول14[[#This Row],[عدد الأناث]],0)</f>
        <v>0</v>
      </c>
      <c r="AS11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11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11" s="127">
        <f>IF(AND(الجدول14[[#This Row],[نوع الجلسة]]=$BZ$5,الجدول14[[#This Row],[البرنامج]]=$BX$2),1,0)</f>
        <v>0</v>
      </c>
      <c r="AV11" s="127">
        <f>IF(AND(الجدول14[[#This Row],[البرنامج]]="OOSCH",الجدول14[[#This Row],[نوع الجلسة]]=$BZ$5),الجدول14[[#This Row],[عدد الذكور]],0)</f>
        <v>0</v>
      </c>
      <c r="AW11" s="127">
        <f>IF(AND(الجدول14[[#This Row],[البرنامج]]="OOSCH",الجدول14[[#This Row],[نوع الجلسة]]=$BZ$5),الجدول14[[#This Row],[عدد الأناث]],0)</f>
        <v>0</v>
      </c>
      <c r="AX11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11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11" s="121">
        <f>IF(AND(الجدول14[[#This Row],[نوع الجلسة]]=$BZ$6,الجدول14[[#This Row],[البرنامج]]=$BX$3),1,0)</f>
        <v>0</v>
      </c>
      <c r="BA11" s="121">
        <f>IF(AND(الجدول14[[#This Row],[البرنامج]]="PLW",الجدول14[[#This Row],[نوع الجلسة]]=$BZ$6),الجدول14[[#This Row],[عدد الذكور]],0)</f>
        <v>0</v>
      </c>
      <c r="BB11" s="121">
        <f>IF(AND(الجدول14[[#This Row],[البرنامج]]="PLW",الجدول14[[#This Row],[نوع الجلسة]]=$BZ$6),الجدول14[[#This Row],[عدد الأناث]],0)</f>
        <v>0</v>
      </c>
      <c r="BC11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11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11" s="122">
        <f>IF(AND(الجدول14[[#This Row],[نوع الجلسة]]=$BZ$6,الجدول14[[#This Row],[البرنامج]]=$BX$2),1,0)</f>
        <v>0</v>
      </c>
      <c r="BF11" s="122">
        <f>IF(AND(الجدول14[[#This Row],[البرنامج]]="OOSCH",الجدول14[[#This Row],[نوع الجلسة]]=$BZ$6),الجدول14[[#This Row],[عدد الذكور]],0)</f>
        <v>0</v>
      </c>
      <c r="BG11" s="122">
        <f>IF(AND(الجدول14[[#This Row],[البرنامج]]="OOSCH",الجدول14[[#This Row],[نوع الجلسة]]=$BZ$6),الجدول14[[#This Row],[عدد الأناث]],0)</f>
        <v>0</v>
      </c>
      <c r="BH11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11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12" spans="1:80" ht="31.5" customHeight="1" x14ac:dyDescent="0.25">
      <c r="B12" s="114"/>
      <c r="C12" s="114"/>
      <c r="D12" s="9"/>
      <c r="E12" s="9"/>
      <c r="F12" s="9"/>
      <c r="G12" s="9"/>
      <c r="H12" s="9"/>
      <c r="I12" s="9"/>
      <c r="J12" s="9"/>
      <c r="K12" s="9">
        <f>SUM(الجدول14[[#This Row],[عدد الذكور]:[عدد الأناث]])</f>
        <v>0</v>
      </c>
      <c r="L12" s="120">
        <f>IF(AND(الجدول14[[#This Row],[البرنامج]]="PLW",الجدول14[[#This Row],[نوع الجلسة]]=$BZ$2),1,0)</f>
        <v>0</v>
      </c>
      <c r="M12" s="120">
        <f>IF(AND(الجدول14[[#This Row],[نوع الجلسة]]=$BZ$2,الجدول14[[#This Row],[البرنامج]]="PLW"),الجدول14[[#This Row],[عدد الذكور]],0)</f>
        <v>0</v>
      </c>
      <c r="N12" s="120">
        <f>IF(AND(الجدول14[[#This Row],[نوع الجلسة]]=$BZ$2,الجدول14[[#This Row],[البرنامج]]="PLW"),الجدول14[[#This Row],[عدد الأناث]],0)</f>
        <v>0</v>
      </c>
      <c r="O12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12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12" s="123">
        <f>IF(AND(الجدول14[[#This Row],[البرنامج]]="OOSCH",الجدول14[[#This Row],[نوع الجلسة]]=$BZ$2),1,0)</f>
        <v>0</v>
      </c>
      <c r="R12" s="123">
        <f>IF(AND(الجدول14[[#This Row],[البرنامج]]="OOSCH",الجدول14[[#This Row],[نوع الجلسة]]=$BZ$2),الجدول14[[#This Row],[عدد الذكور]],0)</f>
        <v>0</v>
      </c>
      <c r="S12" s="123">
        <f>IF(AND(الجدول14[[#This Row],[البرنامج]]="OOSCH",الجدول14[[#This Row],[نوع الجلسة]]=$BZ$2),الجدول14[[#This Row],[عدد الأناث]],0)</f>
        <v>0</v>
      </c>
      <c r="T12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12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12" s="124">
        <f>IF(AND(الجدول14[[#This Row],[البرنامج]]="PLW",الجدول14[[#This Row],[نوع الجلسة]]="معلومات صحة تغذوية للسيدة الحامل"),1,0)</f>
        <v>0</v>
      </c>
      <c r="W12" s="124">
        <f>IF(AND(الجدول14[[#This Row],[نوع الجلسة]]=$BZ$3,الجدول14[[#This Row],[البرنامج]]="PLW"),الجدول14[[#This Row],[عدد الذكور]],0)</f>
        <v>0</v>
      </c>
      <c r="X12" s="124">
        <f>IF(AND(الجدول14[[#This Row],[نوع الجلسة]]=$BZ$3,الجدول14[[#This Row],[البرنامج]]="PLW"),الجدول14[[#This Row],[عدد الأناث]],0)</f>
        <v>0</v>
      </c>
      <c r="Y12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12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12" s="113">
        <f>IF(AND(الجدول14[[#This Row],[البرنامج]]="PLW",الجدول14[[#This Row],[نوع الجلسة]]=$BZ$4),1,0)</f>
        <v>0</v>
      </c>
      <c r="AB12" s="113">
        <f>IF(AND(الجدول14[[#This Row],[البرنامج]]="PLW",الجدول14[[#This Row],[نوع الجلسة]]=$BZ$4),الجدول14[[#This Row],[عدد الذكور]],0)</f>
        <v>0</v>
      </c>
      <c r="AC12" s="113">
        <f>IF(AND(الجدول14[[#This Row],[البرنامج]]="PLW",الجدول14[[#This Row],[نوع الجلسة]]=$BZ$4),الجدول14[[#This Row],[عدد الأناث]],0)</f>
        <v>0</v>
      </c>
      <c r="AD12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12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12" s="125">
        <f>IF(AND(الجدول14[[#This Row],[البرنامج]]="OOSCH",الجدول14[[#This Row],[نوع الجلسة]]=$BZ$7),1,0)</f>
        <v>0</v>
      </c>
      <c r="AG12" s="125">
        <f>IF(AND(الجدول14[[#This Row],[البرنامج]]="OOSCH",الجدول14[[#This Row],[نوع الجلسة]]=$BZ$7),الجدول14[[#This Row],[عدد الذكور]],0)</f>
        <v>0</v>
      </c>
      <c r="AH12" s="125">
        <f>IF(AND(الجدول14[[#This Row],[البرنامج]]="OOSCH",الجدول14[[#This Row],[نوع الجلسة]]=$BZ$7),الجدول14[[#This Row],[عدد الأناث]],0)</f>
        <v>0</v>
      </c>
      <c r="AI12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12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12" s="126">
        <f>IF(AND(الجدول14[[#This Row],[البرنامج]]="OOSCH",الجدول14[[#This Row],[نوع الجلسة]]=$BZ$4),1,0)</f>
        <v>0</v>
      </c>
      <c r="AL12" s="126">
        <f>IF(AND(الجدول14[[#This Row],[البرنامج]]="OOSCH",الجدول14[[#This Row],[نوع الجلسة]]=$BZ$4),الجدول14[[#This Row],[عدد الذكور]],0)</f>
        <v>0</v>
      </c>
      <c r="AM12" s="126">
        <f>IF(AND(الجدول14[[#This Row],[البرنامج]]="OOSCH",الجدول14[[#This Row],[نوع الجلسة]]=$BZ$4),الجدول14[[#This Row],[عدد الأناث]],0)</f>
        <v>0</v>
      </c>
      <c r="AN12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12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12" s="123">
        <f>IF(AND(الجدول14[[#This Row],[نوع الجلسة]]=$BZ$5,الجدول14[[#This Row],[البرنامج]]=$BX$3),1,0)</f>
        <v>0</v>
      </c>
      <c r="AQ12" s="123">
        <f>IF(AND(الجدول14[[#This Row],[البرنامج]]="PLW",الجدول14[[#This Row],[نوع الجلسة]]=$BZ$5),الجدول14[[#This Row],[عدد الذكور]],0)</f>
        <v>0</v>
      </c>
      <c r="AR12" s="123">
        <f>IF(AND(الجدول14[[#This Row],[البرنامج]]="PLW",الجدول14[[#This Row],[نوع الجلسة]]=$BZ$5),الجدول14[[#This Row],[عدد الأناث]],0)</f>
        <v>0</v>
      </c>
      <c r="AS12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12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12" s="127">
        <f>IF(AND(الجدول14[[#This Row],[نوع الجلسة]]=$BZ$5,الجدول14[[#This Row],[البرنامج]]=$BX$2),1,0)</f>
        <v>0</v>
      </c>
      <c r="AV12" s="127">
        <f>IF(AND(الجدول14[[#This Row],[البرنامج]]="OOSCH",الجدول14[[#This Row],[نوع الجلسة]]=$BZ$5),الجدول14[[#This Row],[عدد الذكور]],0)</f>
        <v>0</v>
      </c>
      <c r="AW12" s="127">
        <f>IF(AND(الجدول14[[#This Row],[البرنامج]]="OOSCH",الجدول14[[#This Row],[نوع الجلسة]]=$BZ$5),الجدول14[[#This Row],[عدد الأناث]],0)</f>
        <v>0</v>
      </c>
      <c r="AX12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12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12" s="121">
        <f>IF(AND(الجدول14[[#This Row],[نوع الجلسة]]=$BZ$6,الجدول14[[#This Row],[البرنامج]]=$BX$3),1,0)</f>
        <v>0</v>
      </c>
      <c r="BA12" s="121">
        <f>IF(AND(الجدول14[[#This Row],[البرنامج]]="PLW",الجدول14[[#This Row],[نوع الجلسة]]=$BZ$6),الجدول14[[#This Row],[عدد الذكور]],0)</f>
        <v>0</v>
      </c>
      <c r="BB12" s="121">
        <f>IF(AND(الجدول14[[#This Row],[البرنامج]]="PLW",الجدول14[[#This Row],[نوع الجلسة]]=$BZ$6),الجدول14[[#This Row],[عدد الأناث]],0)</f>
        <v>0</v>
      </c>
      <c r="BC12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12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12" s="122">
        <f>IF(AND(الجدول14[[#This Row],[نوع الجلسة]]=$BZ$6,الجدول14[[#This Row],[البرنامج]]=$BX$2),1,0)</f>
        <v>0</v>
      </c>
      <c r="BF12" s="122">
        <f>IF(AND(الجدول14[[#This Row],[البرنامج]]="OOSCH",الجدول14[[#This Row],[نوع الجلسة]]=$BZ$6),الجدول14[[#This Row],[عدد الذكور]],0)</f>
        <v>0</v>
      </c>
      <c r="BG12" s="122">
        <f>IF(AND(الجدول14[[#This Row],[البرنامج]]="OOSCH",الجدول14[[#This Row],[نوع الجلسة]]=$BZ$6),الجدول14[[#This Row],[عدد الأناث]],0)</f>
        <v>0</v>
      </c>
      <c r="BH12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12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13" spans="1:80" ht="31.5" customHeight="1" x14ac:dyDescent="0.25">
      <c r="D13" s="9"/>
      <c r="E13" s="9"/>
      <c r="F13" s="9"/>
      <c r="G13" s="9"/>
      <c r="H13" s="9"/>
      <c r="I13" s="9"/>
      <c r="J13" s="9"/>
      <c r="K13" s="9">
        <f>SUM(الجدول14[[#This Row],[عدد الذكور]:[عدد الأناث]])</f>
        <v>0</v>
      </c>
      <c r="L13" s="120">
        <f>IF(AND(الجدول14[[#This Row],[البرنامج]]="PLW",الجدول14[[#This Row],[نوع الجلسة]]=$BZ$2),1,0)</f>
        <v>0</v>
      </c>
      <c r="M13" s="120">
        <f>IF(AND(الجدول14[[#This Row],[نوع الجلسة]]=$BZ$2,الجدول14[[#This Row],[البرنامج]]="PLW"),الجدول14[[#This Row],[عدد الذكور]],0)</f>
        <v>0</v>
      </c>
      <c r="N13" s="120">
        <f>IF(AND(الجدول14[[#This Row],[نوع الجلسة]]=$BZ$2,الجدول14[[#This Row],[البرنامج]]="PLW"),الجدول14[[#This Row],[عدد الأناث]],0)</f>
        <v>0</v>
      </c>
      <c r="O13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13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13" s="123">
        <f>IF(AND(الجدول14[[#This Row],[البرنامج]]="OOSCH",الجدول14[[#This Row],[نوع الجلسة]]=$BZ$2),1,0)</f>
        <v>0</v>
      </c>
      <c r="R13" s="123">
        <f>IF(AND(الجدول14[[#This Row],[البرنامج]]="OOSCH",الجدول14[[#This Row],[نوع الجلسة]]=$BZ$2),الجدول14[[#This Row],[عدد الذكور]],0)</f>
        <v>0</v>
      </c>
      <c r="S13" s="123">
        <f>IF(AND(الجدول14[[#This Row],[البرنامج]]="OOSCH",الجدول14[[#This Row],[نوع الجلسة]]=$BZ$2),الجدول14[[#This Row],[عدد الأناث]],0)</f>
        <v>0</v>
      </c>
      <c r="T13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13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13" s="124">
        <f>IF(AND(الجدول14[[#This Row],[البرنامج]]="PLW",الجدول14[[#This Row],[نوع الجلسة]]="معلومات صحة تغذوية للسيدة الحامل"),1,0)</f>
        <v>0</v>
      </c>
      <c r="W13" s="124">
        <f>IF(AND(الجدول14[[#This Row],[نوع الجلسة]]=$BZ$3,الجدول14[[#This Row],[البرنامج]]="PLW"),الجدول14[[#This Row],[عدد الذكور]],0)</f>
        <v>0</v>
      </c>
      <c r="X13" s="124">
        <f>IF(AND(الجدول14[[#This Row],[نوع الجلسة]]=$BZ$3,الجدول14[[#This Row],[البرنامج]]="PLW"),الجدول14[[#This Row],[عدد الأناث]],0)</f>
        <v>0</v>
      </c>
      <c r="Y13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13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13" s="113">
        <f>IF(AND(الجدول14[[#This Row],[البرنامج]]="PLW",الجدول14[[#This Row],[نوع الجلسة]]=$BZ$4),1,0)</f>
        <v>0</v>
      </c>
      <c r="AB13" s="113">
        <f>IF(AND(الجدول14[[#This Row],[البرنامج]]="PLW",الجدول14[[#This Row],[نوع الجلسة]]=$BZ$4),الجدول14[[#This Row],[عدد الذكور]],0)</f>
        <v>0</v>
      </c>
      <c r="AC13" s="113">
        <f>IF(AND(الجدول14[[#This Row],[البرنامج]]="PLW",الجدول14[[#This Row],[نوع الجلسة]]=$BZ$4),الجدول14[[#This Row],[عدد الأناث]],0)</f>
        <v>0</v>
      </c>
      <c r="AD13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13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13" s="125">
        <f>IF(AND(الجدول14[[#This Row],[البرنامج]]="OOSCH",الجدول14[[#This Row],[نوع الجلسة]]=$BZ$7),1,0)</f>
        <v>0</v>
      </c>
      <c r="AG13" s="125">
        <f>IF(AND(الجدول14[[#This Row],[البرنامج]]="OOSCH",الجدول14[[#This Row],[نوع الجلسة]]=$BZ$7),الجدول14[[#This Row],[عدد الذكور]],0)</f>
        <v>0</v>
      </c>
      <c r="AH13" s="125">
        <f>IF(AND(الجدول14[[#This Row],[البرنامج]]="OOSCH",الجدول14[[#This Row],[نوع الجلسة]]=$BZ$7),الجدول14[[#This Row],[عدد الأناث]],0)</f>
        <v>0</v>
      </c>
      <c r="AI13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13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13" s="126">
        <f>IF(AND(الجدول14[[#This Row],[البرنامج]]="OOSCH",الجدول14[[#This Row],[نوع الجلسة]]=$BZ$4),1,0)</f>
        <v>0</v>
      </c>
      <c r="AL13" s="126">
        <f>IF(AND(الجدول14[[#This Row],[البرنامج]]="OOSCH",الجدول14[[#This Row],[نوع الجلسة]]=$BZ$4),الجدول14[[#This Row],[عدد الذكور]],0)</f>
        <v>0</v>
      </c>
      <c r="AM13" s="126">
        <f>IF(AND(الجدول14[[#This Row],[البرنامج]]="OOSCH",الجدول14[[#This Row],[نوع الجلسة]]=$BZ$4),الجدول14[[#This Row],[عدد الأناث]],0)</f>
        <v>0</v>
      </c>
      <c r="AN13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13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13" s="123">
        <f>IF(AND(الجدول14[[#This Row],[نوع الجلسة]]=$BZ$5,الجدول14[[#This Row],[البرنامج]]=$BX$3),1,0)</f>
        <v>0</v>
      </c>
      <c r="AQ13" s="123">
        <f>IF(AND(الجدول14[[#This Row],[البرنامج]]="PLW",الجدول14[[#This Row],[نوع الجلسة]]=$BZ$5),الجدول14[[#This Row],[عدد الذكور]],0)</f>
        <v>0</v>
      </c>
      <c r="AR13" s="123">
        <f>IF(AND(الجدول14[[#This Row],[البرنامج]]="PLW",الجدول14[[#This Row],[نوع الجلسة]]=$BZ$5),الجدول14[[#This Row],[عدد الأناث]],0)</f>
        <v>0</v>
      </c>
      <c r="AS13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13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13" s="127">
        <f>IF(AND(الجدول14[[#This Row],[نوع الجلسة]]=$BZ$5,الجدول14[[#This Row],[البرنامج]]=$BX$2),1,0)</f>
        <v>0</v>
      </c>
      <c r="AV13" s="127">
        <f>IF(AND(الجدول14[[#This Row],[البرنامج]]="OOSCH",الجدول14[[#This Row],[نوع الجلسة]]=$BZ$5),الجدول14[[#This Row],[عدد الذكور]],0)</f>
        <v>0</v>
      </c>
      <c r="AW13" s="127">
        <f>IF(AND(الجدول14[[#This Row],[البرنامج]]="OOSCH",الجدول14[[#This Row],[نوع الجلسة]]=$BZ$5),الجدول14[[#This Row],[عدد الأناث]],0)</f>
        <v>0</v>
      </c>
      <c r="AX13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13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13" s="121">
        <f>IF(AND(الجدول14[[#This Row],[نوع الجلسة]]=$BZ$6,الجدول14[[#This Row],[البرنامج]]=$BX$3),1,0)</f>
        <v>0</v>
      </c>
      <c r="BA13" s="121">
        <f>IF(AND(الجدول14[[#This Row],[البرنامج]]="PLW",الجدول14[[#This Row],[نوع الجلسة]]=$BZ$6),الجدول14[[#This Row],[عدد الذكور]],0)</f>
        <v>0</v>
      </c>
      <c r="BB13" s="121">
        <f>IF(AND(الجدول14[[#This Row],[البرنامج]]="PLW",الجدول14[[#This Row],[نوع الجلسة]]=$BZ$6),الجدول14[[#This Row],[عدد الأناث]],0)</f>
        <v>0</v>
      </c>
      <c r="BC13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13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13" s="122">
        <f>IF(AND(الجدول14[[#This Row],[نوع الجلسة]]=$BZ$6,الجدول14[[#This Row],[البرنامج]]=$BX$2),1,0)</f>
        <v>0</v>
      </c>
      <c r="BF13" s="122">
        <f>IF(AND(الجدول14[[#This Row],[البرنامج]]="OOSCH",الجدول14[[#This Row],[نوع الجلسة]]=$BZ$6),الجدول14[[#This Row],[عدد الذكور]],0)</f>
        <v>0</v>
      </c>
      <c r="BG13" s="122">
        <f>IF(AND(الجدول14[[#This Row],[البرنامج]]="OOSCH",الجدول14[[#This Row],[نوع الجلسة]]=$BZ$6),الجدول14[[#This Row],[عدد الأناث]],0)</f>
        <v>0</v>
      </c>
      <c r="BH13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13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14" spans="1:80" ht="31.5" customHeight="1" x14ac:dyDescent="0.25">
      <c r="D14" s="9"/>
      <c r="E14" s="9"/>
      <c r="F14" s="9"/>
      <c r="G14" s="9"/>
      <c r="H14" s="9"/>
      <c r="I14" s="9"/>
      <c r="J14" s="9"/>
      <c r="K14" s="9">
        <f>SUM(الجدول14[[#This Row],[عدد الذكور]:[عدد الأناث]])</f>
        <v>0</v>
      </c>
      <c r="L14" s="120">
        <f>IF(AND(الجدول14[[#This Row],[البرنامج]]="PLW",الجدول14[[#This Row],[نوع الجلسة]]=$BZ$2),1,0)</f>
        <v>0</v>
      </c>
      <c r="M14" s="120">
        <f>IF(AND(الجدول14[[#This Row],[نوع الجلسة]]=$BZ$2,الجدول14[[#This Row],[البرنامج]]="PLW"),الجدول14[[#This Row],[عدد الذكور]],0)</f>
        <v>0</v>
      </c>
      <c r="N14" s="120">
        <f>IF(AND(الجدول14[[#This Row],[نوع الجلسة]]=$BZ$2,الجدول14[[#This Row],[البرنامج]]="PLW"),الجدول14[[#This Row],[عدد الأناث]],0)</f>
        <v>0</v>
      </c>
      <c r="O14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14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14" s="123">
        <f>IF(AND(الجدول14[[#This Row],[البرنامج]]="OOSCH",الجدول14[[#This Row],[نوع الجلسة]]=$BZ$2),1,0)</f>
        <v>0</v>
      </c>
      <c r="R14" s="123">
        <f>IF(AND(الجدول14[[#This Row],[البرنامج]]="OOSCH",الجدول14[[#This Row],[نوع الجلسة]]=$BZ$2),الجدول14[[#This Row],[عدد الذكور]],0)</f>
        <v>0</v>
      </c>
      <c r="S14" s="123">
        <f>IF(AND(الجدول14[[#This Row],[البرنامج]]="OOSCH",الجدول14[[#This Row],[نوع الجلسة]]=$BZ$2),الجدول14[[#This Row],[عدد الأناث]],0)</f>
        <v>0</v>
      </c>
      <c r="T14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14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14" s="124">
        <f>IF(AND(الجدول14[[#This Row],[البرنامج]]="PLW",الجدول14[[#This Row],[نوع الجلسة]]="معلومات صحة تغذوية للسيدة الحامل"),1,0)</f>
        <v>0</v>
      </c>
      <c r="W14" s="124">
        <f>IF(AND(الجدول14[[#This Row],[نوع الجلسة]]=$BZ$3,الجدول14[[#This Row],[البرنامج]]="PLW"),الجدول14[[#This Row],[عدد الذكور]],0)</f>
        <v>0</v>
      </c>
      <c r="X14" s="124">
        <f>IF(AND(الجدول14[[#This Row],[نوع الجلسة]]=$BZ$3,الجدول14[[#This Row],[البرنامج]]="PLW"),الجدول14[[#This Row],[عدد الأناث]],0)</f>
        <v>0</v>
      </c>
      <c r="Y14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14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14" s="113">
        <f>IF(AND(الجدول14[[#This Row],[البرنامج]]="PLW",الجدول14[[#This Row],[نوع الجلسة]]=$BZ$4),1,0)</f>
        <v>0</v>
      </c>
      <c r="AB14" s="113">
        <f>IF(AND(الجدول14[[#This Row],[البرنامج]]="PLW",الجدول14[[#This Row],[نوع الجلسة]]=$BZ$4),الجدول14[[#This Row],[عدد الذكور]],0)</f>
        <v>0</v>
      </c>
      <c r="AC14" s="113">
        <f>IF(AND(الجدول14[[#This Row],[البرنامج]]="PLW",الجدول14[[#This Row],[نوع الجلسة]]=$BZ$4),الجدول14[[#This Row],[عدد الأناث]],0)</f>
        <v>0</v>
      </c>
      <c r="AD14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14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14" s="125">
        <f>IF(AND(الجدول14[[#This Row],[البرنامج]]="OOSCH",الجدول14[[#This Row],[نوع الجلسة]]=$BZ$7),1,0)</f>
        <v>0</v>
      </c>
      <c r="AG14" s="125">
        <f>IF(AND(الجدول14[[#This Row],[البرنامج]]="OOSCH",الجدول14[[#This Row],[نوع الجلسة]]=$BZ$7),الجدول14[[#This Row],[عدد الذكور]],0)</f>
        <v>0</v>
      </c>
      <c r="AH14" s="125">
        <f>IF(AND(الجدول14[[#This Row],[البرنامج]]="OOSCH",الجدول14[[#This Row],[نوع الجلسة]]=$BZ$7),الجدول14[[#This Row],[عدد الأناث]],0)</f>
        <v>0</v>
      </c>
      <c r="AI14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14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14" s="126">
        <f>IF(AND(الجدول14[[#This Row],[البرنامج]]="OOSCH",الجدول14[[#This Row],[نوع الجلسة]]=$BZ$4),1,0)</f>
        <v>0</v>
      </c>
      <c r="AL14" s="126">
        <f>IF(AND(الجدول14[[#This Row],[البرنامج]]="OOSCH",الجدول14[[#This Row],[نوع الجلسة]]=$BZ$4),الجدول14[[#This Row],[عدد الذكور]],0)</f>
        <v>0</v>
      </c>
      <c r="AM14" s="126">
        <f>IF(AND(الجدول14[[#This Row],[البرنامج]]="OOSCH",الجدول14[[#This Row],[نوع الجلسة]]=$BZ$4),الجدول14[[#This Row],[عدد الأناث]],0)</f>
        <v>0</v>
      </c>
      <c r="AN14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14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14" s="123">
        <f>IF(AND(الجدول14[[#This Row],[نوع الجلسة]]=$BZ$5,الجدول14[[#This Row],[البرنامج]]=$BX$3),1,0)</f>
        <v>0</v>
      </c>
      <c r="AQ14" s="123">
        <f>IF(AND(الجدول14[[#This Row],[البرنامج]]="PLW",الجدول14[[#This Row],[نوع الجلسة]]=$BZ$5),الجدول14[[#This Row],[عدد الذكور]],0)</f>
        <v>0</v>
      </c>
      <c r="AR14" s="123">
        <f>IF(AND(الجدول14[[#This Row],[البرنامج]]="PLW",الجدول14[[#This Row],[نوع الجلسة]]=$BZ$5),الجدول14[[#This Row],[عدد الأناث]],0)</f>
        <v>0</v>
      </c>
      <c r="AS14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14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14" s="127">
        <f>IF(AND(الجدول14[[#This Row],[نوع الجلسة]]=$BZ$5,الجدول14[[#This Row],[البرنامج]]=$BX$2),1,0)</f>
        <v>0</v>
      </c>
      <c r="AV14" s="127">
        <f>IF(AND(الجدول14[[#This Row],[البرنامج]]="OOSCH",الجدول14[[#This Row],[نوع الجلسة]]=$BZ$5),الجدول14[[#This Row],[عدد الذكور]],0)</f>
        <v>0</v>
      </c>
      <c r="AW14" s="127">
        <f>IF(AND(الجدول14[[#This Row],[البرنامج]]="OOSCH",الجدول14[[#This Row],[نوع الجلسة]]=$BZ$5),الجدول14[[#This Row],[عدد الأناث]],0)</f>
        <v>0</v>
      </c>
      <c r="AX14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14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14" s="121">
        <f>IF(AND(الجدول14[[#This Row],[نوع الجلسة]]=$BZ$6,الجدول14[[#This Row],[البرنامج]]=$BX$3),1,0)</f>
        <v>0</v>
      </c>
      <c r="BA14" s="121">
        <f>IF(AND(الجدول14[[#This Row],[البرنامج]]="PLW",الجدول14[[#This Row],[نوع الجلسة]]=$BZ$6),الجدول14[[#This Row],[عدد الذكور]],0)</f>
        <v>0</v>
      </c>
      <c r="BB14" s="121">
        <f>IF(AND(الجدول14[[#This Row],[البرنامج]]="PLW",الجدول14[[#This Row],[نوع الجلسة]]=$BZ$6),الجدول14[[#This Row],[عدد الأناث]],0)</f>
        <v>0</v>
      </c>
      <c r="BC14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14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14" s="122">
        <f>IF(AND(الجدول14[[#This Row],[نوع الجلسة]]=$BZ$6,الجدول14[[#This Row],[البرنامج]]=$BX$2),1,0)</f>
        <v>0</v>
      </c>
      <c r="BF14" s="122">
        <f>IF(AND(الجدول14[[#This Row],[البرنامج]]="OOSCH",الجدول14[[#This Row],[نوع الجلسة]]=$BZ$6),الجدول14[[#This Row],[عدد الذكور]],0)</f>
        <v>0</v>
      </c>
      <c r="BG14" s="122">
        <f>IF(AND(الجدول14[[#This Row],[البرنامج]]="OOSCH",الجدول14[[#This Row],[نوع الجلسة]]=$BZ$6),الجدول14[[#This Row],[عدد الأناث]],0)</f>
        <v>0</v>
      </c>
      <c r="BH14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14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15" spans="1:80" ht="31.5" customHeight="1" x14ac:dyDescent="0.25">
      <c r="D15" s="9"/>
      <c r="E15" s="9"/>
      <c r="F15" s="9"/>
      <c r="G15" s="9"/>
      <c r="H15" s="9"/>
      <c r="I15" s="9"/>
      <c r="J15" s="9"/>
      <c r="K15" s="9">
        <f>SUM(الجدول14[[#This Row],[عدد الذكور]:[عدد الأناث]])</f>
        <v>0</v>
      </c>
      <c r="L15" s="120">
        <f>IF(AND(الجدول14[[#This Row],[البرنامج]]="PLW",الجدول14[[#This Row],[نوع الجلسة]]=$BZ$2),1,0)</f>
        <v>0</v>
      </c>
      <c r="M15" s="120">
        <f>IF(AND(الجدول14[[#This Row],[نوع الجلسة]]=$BZ$2,الجدول14[[#This Row],[البرنامج]]="PLW"),الجدول14[[#This Row],[عدد الذكور]],0)</f>
        <v>0</v>
      </c>
      <c r="N15" s="120">
        <f>IF(AND(الجدول14[[#This Row],[نوع الجلسة]]=$BZ$2,الجدول14[[#This Row],[البرنامج]]="PLW"),الجدول14[[#This Row],[عدد الأناث]],0)</f>
        <v>0</v>
      </c>
      <c r="O15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15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15" s="123">
        <f>IF(AND(الجدول14[[#This Row],[البرنامج]]="OOSCH",الجدول14[[#This Row],[نوع الجلسة]]=$BZ$2),1,0)</f>
        <v>0</v>
      </c>
      <c r="R15" s="123">
        <f>IF(AND(الجدول14[[#This Row],[البرنامج]]="OOSCH",الجدول14[[#This Row],[نوع الجلسة]]=$BZ$2),الجدول14[[#This Row],[عدد الذكور]],0)</f>
        <v>0</v>
      </c>
      <c r="S15" s="123">
        <f>IF(AND(الجدول14[[#This Row],[البرنامج]]="OOSCH",الجدول14[[#This Row],[نوع الجلسة]]=$BZ$2),الجدول14[[#This Row],[عدد الأناث]],0)</f>
        <v>0</v>
      </c>
      <c r="T15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15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15" s="124">
        <f>IF(AND(الجدول14[[#This Row],[البرنامج]]="PLW",الجدول14[[#This Row],[نوع الجلسة]]="معلومات صحة تغذوية للسيدة الحامل"),1,0)</f>
        <v>0</v>
      </c>
      <c r="W15" s="124">
        <f>IF(AND(الجدول14[[#This Row],[نوع الجلسة]]=$BZ$3,الجدول14[[#This Row],[البرنامج]]="PLW"),الجدول14[[#This Row],[عدد الذكور]],0)</f>
        <v>0</v>
      </c>
      <c r="X15" s="124">
        <f>IF(AND(الجدول14[[#This Row],[نوع الجلسة]]=$BZ$3,الجدول14[[#This Row],[البرنامج]]="PLW"),الجدول14[[#This Row],[عدد الأناث]],0)</f>
        <v>0</v>
      </c>
      <c r="Y15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15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15" s="113">
        <f>IF(AND(الجدول14[[#This Row],[البرنامج]]="PLW",الجدول14[[#This Row],[نوع الجلسة]]=$BZ$4),1,0)</f>
        <v>0</v>
      </c>
      <c r="AB15" s="113">
        <f>IF(AND(الجدول14[[#This Row],[البرنامج]]="PLW",الجدول14[[#This Row],[نوع الجلسة]]=$BZ$4),الجدول14[[#This Row],[عدد الذكور]],0)</f>
        <v>0</v>
      </c>
      <c r="AC15" s="113">
        <f>IF(AND(الجدول14[[#This Row],[البرنامج]]="PLW",الجدول14[[#This Row],[نوع الجلسة]]=$BZ$4),الجدول14[[#This Row],[عدد الأناث]],0)</f>
        <v>0</v>
      </c>
      <c r="AD15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15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15" s="125">
        <f>IF(AND(الجدول14[[#This Row],[البرنامج]]="OOSCH",الجدول14[[#This Row],[نوع الجلسة]]=$BZ$7),1,0)</f>
        <v>0</v>
      </c>
      <c r="AG15" s="125">
        <f>IF(AND(الجدول14[[#This Row],[البرنامج]]="OOSCH",الجدول14[[#This Row],[نوع الجلسة]]=$BZ$7),الجدول14[[#This Row],[عدد الذكور]],0)</f>
        <v>0</v>
      </c>
      <c r="AH15" s="125">
        <f>IF(AND(الجدول14[[#This Row],[البرنامج]]="OOSCH",الجدول14[[#This Row],[نوع الجلسة]]=$BZ$7),الجدول14[[#This Row],[عدد الأناث]],0)</f>
        <v>0</v>
      </c>
      <c r="AI15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15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15" s="126">
        <f>IF(AND(الجدول14[[#This Row],[البرنامج]]="OOSCH",الجدول14[[#This Row],[نوع الجلسة]]=$BZ$4),1,0)</f>
        <v>0</v>
      </c>
      <c r="AL15" s="126">
        <f>IF(AND(الجدول14[[#This Row],[البرنامج]]="OOSCH",الجدول14[[#This Row],[نوع الجلسة]]=$BZ$4),الجدول14[[#This Row],[عدد الذكور]],0)</f>
        <v>0</v>
      </c>
      <c r="AM15" s="126">
        <f>IF(AND(الجدول14[[#This Row],[البرنامج]]="OOSCH",الجدول14[[#This Row],[نوع الجلسة]]=$BZ$4),الجدول14[[#This Row],[عدد الأناث]],0)</f>
        <v>0</v>
      </c>
      <c r="AN15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15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15" s="123">
        <f>IF(AND(الجدول14[[#This Row],[نوع الجلسة]]=$BZ$5,الجدول14[[#This Row],[البرنامج]]=$BX$3),1,0)</f>
        <v>0</v>
      </c>
      <c r="AQ15" s="123">
        <f>IF(AND(الجدول14[[#This Row],[البرنامج]]="PLW",الجدول14[[#This Row],[نوع الجلسة]]=$BZ$5),الجدول14[[#This Row],[عدد الذكور]],0)</f>
        <v>0</v>
      </c>
      <c r="AR15" s="123">
        <f>IF(AND(الجدول14[[#This Row],[البرنامج]]="PLW",الجدول14[[#This Row],[نوع الجلسة]]=$BZ$5),الجدول14[[#This Row],[عدد الأناث]],0)</f>
        <v>0</v>
      </c>
      <c r="AS15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15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15" s="127">
        <f>IF(AND(الجدول14[[#This Row],[نوع الجلسة]]=$BZ$5,الجدول14[[#This Row],[البرنامج]]=$BX$2),1,0)</f>
        <v>0</v>
      </c>
      <c r="AV15" s="127">
        <f>IF(AND(الجدول14[[#This Row],[البرنامج]]="OOSCH",الجدول14[[#This Row],[نوع الجلسة]]=$BZ$5),الجدول14[[#This Row],[عدد الذكور]],0)</f>
        <v>0</v>
      </c>
      <c r="AW15" s="127">
        <f>IF(AND(الجدول14[[#This Row],[البرنامج]]="OOSCH",الجدول14[[#This Row],[نوع الجلسة]]=$BZ$5),الجدول14[[#This Row],[عدد الأناث]],0)</f>
        <v>0</v>
      </c>
      <c r="AX15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15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15" s="121">
        <f>IF(AND(الجدول14[[#This Row],[نوع الجلسة]]=$BZ$6,الجدول14[[#This Row],[البرنامج]]=$BX$3),1,0)</f>
        <v>0</v>
      </c>
      <c r="BA15" s="121">
        <f>IF(AND(الجدول14[[#This Row],[البرنامج]]="PLW",الجدول14[[#This Row],[نوع الجلسة]]=$BZ$6),الجدول14[[#This Row],[عدد الذكور]],0)</f>
        <v>0</v>
      </c>
      <c r="BB15" s="121">
        <f>IF(AND(الجدول14[[#This Row],[البرنامج]]="PLW",الجدول14[[#This Row],[نوع الجلسة]]=$BZ$6),الجدول14[[#This Row],[عدد الأناث]],0)</f>
        <v>0</v>
      </c>
      <c r="BC15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15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15" s="122">
        <f>IF(AND(الجدول14[[#This Row],[نوع الجلسة]]=$BZ$6,الجدول14[[#This Row],[البرنامج]]=$BX$2),1,0)</f>
        <v>0</v>
      </c>
      <c r="BF15" s="122">
        <f>IF(AND(الجدول14[[#This Row],[البرنامج]]="OOSCH",الجدول14[[#This Row],[نوع الجلسة]]=$BZ$6),الجدول14[[#This Row],[عدد الذكور]],0)</f>
        <v>0</v>
      </c>
      <c r="BG15" s="122">
        <f>IF(AND(الجدول14[[#This Row],[البرنامج]]="OOSCH",الجدول14[[#This Row],[نوع الجلسة]]=$BZ$6),الجدول14[[#This Row],[عدد الأناث]],0)</f>
        <v>0</v>
      </c>
      <c r="BH15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15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16" spans="1:80" ht="31.5" customHeight="1" x14ac:dyDescent="0.25">
      <c r="D16" s="9"/>
      <c r="E16" s="9"/>
      <c r="F16" s="9"/>
      <c r="G16" s="9"/>
      <c r="H16" s="9"/>
      <c r="I16" s="9"/>
      <c r="J16" s="9"/>
      <c r="K16" s="9">
        <f>SUM(الجدول14[[#This Row],[عدد الذكور]:[عدد الأناث]])</f>
        <v>0</v>
      </c>
      <c r="L16" s="120">
        <f>IF(AND(الجدول14[[#This Row],[البرنامج]]="PLW",الجدول14[[#This Row],[نوع الجلسة]]=$BZ$2),1,0)</f>
        <v>0</v>
      </c>
      <c r="M16" s="120">
        <f>IF(AND(الجدول14[[#This Row],[نوع الجلسة]]=$BZ$2,الجدول14[[#This Row],[البرنامج]]="PLW"),الجدول14[[#This Row],[عدد الذكور]],0)</f>
        <v>0</v>
      </c>
      <c r="N16" s="120">
        <f>IF(AND(الجدول14[[#This Row],[نوع الجلسة]]=$BZ$2,الجدول14[[#This Row],[البرنامج]]="PLW"),الجدول14[[#This Row],[عدد الأناث]],0)</f>
        <v>0</v>
      </c>
      <c r="O16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16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16" s="123">
        <f>IF(AND(الجدول14[[#This Row],[البرنامج]]="OOSCH",الجدول14[[#This Row],[نوع الجلسة]]=$BZ$2),1,0)</f>
        <v>0</v>
      </c>
      <c r="R16" s="123">
        <f>IF(AND(الجدول14[[#This Row],[البرنامج]]="OOSCH",الجدول14[[#This Row],[نوع الجلسة]]=$BZ$2),الجدول14[[#This Row],[عدد الذكور]],0)</f>
        <v>0</v>
      </c>
      <c r="S16" s="123">
        <f>IF(AND(الجدول14[[#This Row],[البرنامج]]="OOSCH",الجدول14[[#This Row],[نوع الجلسة]]=$BZ$2),الجدول14[[#This Row],[عدد الأناث]],0)</f>
        <v>0</v>
      </c>
      <c r="T16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16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16" s="124">
        <f>IF(AND(الجدول14[[#This Row],[البرنامج]]="PLW",الجدول14[[#This Row],[نوع الجلسة]]="معلومات صحة تغذوية للسيدة الحامل"),1,0)</f>
        <v>0</v>
      </c>
      <c r="W16" s="124">
        <f>IF(AND(الجدول14[[#This Row],[نوع الجلسة]]=$BZ$3,الجدول14[[#This Row],[البرنامج]]="PLW"),الجدول14[[#This Row],[عدد الذكور]],0)</f>
        <v>0</v>
      </c>
      <c r="X16" s="124">
        <f>IF(AND(الجدول14[[#This Row],[نوع الجلسة]]=$BZ$3,الجدول14[[#This Row],[البرنامج]]="PLW"),الجدول14[[#This Row],[عدد الأناث]],0)</f>
        <v>0</v>
      </c>
      <c r="Y16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16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16" s="113">
        <f>IF(AND(الجدول14[[#This Row],[البرنامج]]="PLW",الجدول14[[#This Row],[نوع الجلسة]]=$BZ$4),1,0)</f>
        <v>0</v>
      </c>
      <c r="AB16" s="113">
        <f>IF(AND(الجدول14[[#This Row],[البرنامج]]="PLW",الجدول14[[#This Row],[نوع الجلسة]]=$BZ$4),الجدول14[[#This Row],[عدد الذكور]],0)</f>
        <v>0</v>
      </c>
      <c r="AC16" s="113">
        <f>IF(AND(الجدول14[[#This Row],[البرنامج]]="PLW",الجدول14[[#This Row],[نوع الجلسة]]=$BZ$4),الجدول14[[#This Row],[عدد الأناث]],0)</f>
        <v>0</v>
      </c>
      <c r="AD16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16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16" s="125">
        <f>IF(AND(الجدول14[[#This Row],[البرنامج]]="OOSCH",الجدول14[[#This Row],[نوع الجلسة]]=$BZ$7),1,0)</f>
        <v>0</v>
      </c>
      <c r="AG16" s="125">
        <f>IF(AND(الجدول14[[#This Row],[البرنامج]]="OOSCH",الجدول14[[#This Row],[نوع الجلسة]]=$BZ$7),الجدول14[[#This Row],[عدد الذكور]],0)</f>
        <v>0</v>
      </c>
      <c r="AH16" s="125">
        <f>IF(AND(الجدول14[[#This Row],[البرنامج]]="OOSCH",الجدول14[[#This Row],[نوع الجلسة]]=$BZ$7),الجدول14[[#This Row],[عدد الأناث]],0)</f>
        <v>0</v>
      </c>
      <c r="AI16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16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16" s="126">
        <f>IF(AND(الجدول14[[#This Row],[البرنامج]]="OOSCH",الجدول14[[#This Row],[نوع الجلسة]]=$BZ$4),1,0)</f>
        <v>0</v>
      </c>
      <c r="AL16" s="126">
        <f>IF(AND(الجدول14[[#This Row],[البرنامج]]="OOSCH",الجدول14[[#This Row],[نوع الجلسة]]=$BZ$4),الجدول14[[#This Row],[عدد الذكور]],0)</f>
        <v>0</v>
      </c>
      <c r="AM16" s="126">
        <f>IF(AND(الجدول14[[#This Row],[البرنامج]]="OOSCH",الجدول14[[#This Row],[نوع الجلسة]]=$BZ$4),الجدول14[[#This Row],[عدد الأناث]],0)</f>
        <v>0</v>
      </c>
      <c r="AN16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16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16" s="123">
        <f>IF(AND(الجدول14[[#This Row],[نوع الجلسة]]=$BZ$5,الجدول14[[#This Row],[البرنامج]]=$BX$3),1,0)</f>
        <v>0</v>
      </c>
      <c r="AQ16" s="123">
        <f>IF(AND(الجدول14[[#This Row],[البرنامج]]="PLW",الجدول14[[#This Row],[نوع الجلسة]]=$BZ$5),الجدول14[[#This Row],[عدد الذكور]],0)</f>
        <v>0</v>
      </c>
      <c r="AR16" s="123">
        <f>IF(AND(الجدول14[[#This Row],[البرنامج]]="PLW",الجدول14[[#This Row],[نوع الجلسة]]=$BZ$5),الجدول14[[#This Row],[عدد الأناث]],0)</f>
        <v>0</v>
      </c>
      <c r="AS16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16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16" s="127">
        <f>IF(AND(الجدول14[[#This Row],[نوع الجلسة]]=$BZ$5,الجدول14[[#This Row],[البرنامج]]=$BX$2),1,0)</f>
        <v>0</v>
      </c>
      <c r="AV16" s="127">
        <f>IF(AND(الجدول14[[#This Row],[البرنامج]]="OOSCH",الجدول14[[#This Row],[نوع الجلسة]]=$BZ$5),الجدول14[[#This Row],[عدد الذكور]],0)</f>
        <v>0</v>
      </c>
      <c r="AW16" s="127">
        <f>IF(AND(الجدول14[[#This Row],[البرنامج]]="OOSCH",الجدول14[[#This Row],[نوع الجلسة]]=$BZ$5),الجدول14[[#This Row],[عدد الأناث]],0)</f>
        <v>0</v>
      </c>
      <c r="AX16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16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16" s="121">
        <f>IF(AND(الجدول14[[#This Row],[نوع الجلسة]]=$BZ$6,الجدول14[[#This Row],[البرنامج]]=$BX$3),1,0)</f>
        <v>0</v>
      </c>
      <c r="BA16" s="121">
        <f>IF(AND(الجدول14[[#This Row],[البرنامج]]="PLW",الجدول14[[#This Row],[نوع الجلسة]]=$BZ$6),الجدول14[[#This Row],[عدد الذكور]],0)</f>
        <v>0</v>
      </c>
      <c r="BB16" s="121">
        <f>IF(AND(الجدول14[[#This Row],[البرنامج]]="PLW",الجدول14[[#This Row],[نوع الجلسة]]=$BZ$6),الجدول14[[#This Row],[عدد الأناث]],0)</f>
        <v>0</v>
      </c>
      <c r="BC16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16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16" s="122">
        <f>IF(AND(الجدول14[[#This Row],[نوع الجلسة]]=$BZ$6,الجدول14[[#This Row],[البرنامج]]=$BX$2),1,0)</f>
        <v>0</v>
      </c>
      <c r="BF16" s="122">
        <f>IF(AND(الجدول14[[#This Row],[البرنامج]]="OOSCH",الجدول14[[#This Row],[نوع الجلسة]]=$BZ$6),الجدول14[[#This Row],[عدد الذكور]],0)</f>
        <v>0</v>
      </c>
      <c r="BG16" s="122">
        <f>IF(AND(الجدول14[[#This Row],[البرنامج]]="OOSCH",الجدول14[[#This Row],[نوع الجلسة]]=$BZ$6),الجدول14[[#This Row],[عدد الأناث]],0)</f>
        <v>0</v>
      </c>
      <c r="BH16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16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17" spans="4:61" ht="31.5" customHeight="1" x14ac:dyDescent="0.25">
      <c r="D17" s="9"/>
      <c r="E17" s="9"/>
      <c r="F17" s="9"/>
      <c r="G17" s="9"/>
      <c r="H17" s="9"/>
      <c r="I17" s="9"/>
      <c r="J17" s="9"/>
      <c r="K17" s="9">
        <f>SUM(الجدول14[[#This Row],[عدد الذكور]:[عدد الأناث]])</f>
        <v>0</v>
      </c>
      <c r="L17" s="120">
        <f>IF(AND(الجدول14[[#This Row],[البرنامج]]="PLW",الجدول14[[#This Row],[نوع الجلسة]]=$BZ$2),1,0)</f>
        <v>0</v>
      </c>
      <c r="M17" s="120">
        <f>IF(AND(الجدول14[[#This Row],[نوع الجلسة]]=$BZ$2,الجدول14[[#This Row],[البرنامج]]="PLW"),الجدول14[[#This Row],[عدد الذكور]],0)</f>
        <v>0</v>
      </c>
      <c r="N17" s="120">
        <f>IF(AND(الجدول14[[#This Row],[نوع الجلسة]]=$BZ$2,الجدول14[[#This Row],[البرنامج]]="PLW"),الجدول14[[#This Row],[عدد الأناث]],0)</f>
        <v>0</v>
      </c>
      <c r="O17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17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17" s="123">
        <f>IF(AND(الجدول14[[#This Row],[البرنامج]]="OOSCH",الجدول14[[#This Row],[نوع الجلسة]]=$BZ$2),1,0)</f>
        <v>0</v>
      </c>
      <c r="R17" s="123">
        <f>IF(AND(الجدول14[[#This Row],[البرنامج]]="OOSCH",الجدول14[[#This Row],[نوع الجلسة]]=$BZ$2),الجدول14[[#This Row],[عدد الذكور]],0)</f>
        <v>0</v>
      </c>
      <c r="S17" s="123">
        <f>IF(AND(الجدول14[[#This Row],[البرنامج]]="OOSCH",الجدول14[[#This Row],[نوع الجلسة]]=$BZ$2),الجدول14[[#This Row],[عدد الأناث]],0)</f>
        <v>0</v>
      </c>
      <c r="T17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17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17" s="124">
        <f>IF(AND(الجدول14[[#This Row],[البرنامج]]="PLW",الجدول14[[#This Row],[نوع الجلسة]]="معلومات صحة تغذوية للسيدة الحامل"),1,0)</f>
        <v>0</v>
      </c>
      <c r="W17" s="124">
        <f>IF(AND(الجدول14[[#This Row],[نوع الجلسة]]=$BZ$3,الجدول14[[#This Row],[البرنامج]]="PLW"),الجدول14[[#This Row],[عدد الذكور]],0)</f>
        <v>0</v>
      </c>
      <c r="X17" s="124">
        <f>IF(AND(الجدول14[[#This Row],[نوع الجلسة]]=$BZ$3,الجدول14[[#This Row],[البرنامج]]="PLW"),الجدول14[[#This Row],[عدد الأناث]],0)</f>
        <v>0</v>
      </c>
      <c r="Y17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17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17" s="113">
        <f>IF(AND(الجدول14[[#This Row],[البرنامج]]="PLW",الجدول14[[#This Row],[نوع الجلسة]]=$BZ$4),1,0)</f>
        <v>0</v>
      </c>
      <c r="AB17" s="113">
        <f>IF(AND(الجدول14[[#This Row],[البرنامج]]="PLW",الجدول14[[#This Row],[نوع الجلسة]]=$BZ$4),الجدول14[[#This Row],[عدد الذكور]],0)</f>
        <v>0</v>
      </c>
      <c r="AC17" s="113">
        <f>IF(AND(الجدول14[[#This Row],[البرنامج]]="PLW",الجدول14[[#This Row],[نوع الجلسة]]=$BZ$4),الجدول14[[#This Row],[عدد الأناث]],0)</f>
        <v>0</v>
      </c>
      <c r="AD17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17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17" s="125">
        <f>IF(AND(الجدول14[[#This Row],[البرنامج]]="OOSCH",الجدول14[[#This Row],[نوع الجلسة]]=$BZ$7),1,0)</f>
        <v>0</v>
      </c>
      <c r="AG17" s="125">
        <f>IF(AND(الجدول14[[#This Row],[البرنامج]]="OOSCH",الجدول14[[#This Row],[نوع الجلسة]]=$BZ$7),الجدول14[[#This Row],[عدد الذكور]],0)</f>
        <v>0</v>
      </c>
      <c r="AH17" s="125">
        <f>IF(AND(الجدول14[[#This Row],[البرنامج]]="OOSCH",الجدول14[[#This Row],[نوع الجلسة]]=$BZ$7),الجدول14[[#This Row],[عدد الأناث]],0)</f>
        <v>0</v>
      </c>
      <c r="AI17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17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17" s="126">
        <f>IF(AND(الجدول14[[#This Row],[البرنامج]]="OOSCH",الجدول14[[#This Row],[نوع الجلسة]]=$BZ$4),1,0)</f>
        <v>0</v>
      </c>
      <c r="AL17" s="126">
        <f>IF(AND(الجدول14[[#This Row],[البرنامج]]="OOSCH",الجدول14[[#This Row],[نوع الجلسة]]=$BZ$4),الجدول14[[#This Row],[عدد الذكور]],0)</f>
        <v>0</v>
      </c>
      <c r="AM17" s="126">
        <f>IF(AND(الجدول14[[#This Row],[البرنامج]]="OOSCH",الجدول14[[#This Row],[نوع الجلسة]]=$BZ$4),الجدول14[[#This Row],[عدد الأناث]],0)</f>
        <v>0</v>
      </c>
      <c r="AN17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17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17" s="123">
        <f>IF(AND(الجدول14[[#This Row],[نوع الجلسة]]=$BZ$5,الجدول14[[#This Row],[البرنامج]]=$BX$3),1,0)</f>
        <v>0</v>
      </c>
      <c r="AQ17" s="123">
        <f>IF(AND(الجدول14[[#This Row],[البرنامج]]="PLW",الجدول14[[#This Row],[نوع الجلسة]]=$BZ$5),الجدول14[[#This Row],[عدد الذكور]],0)</f>
        <v>0</v>
      </c>
      <c r="AR17" s="123">
        <f>IF(AND(الجدول14[[#This Row],[البرنامج]]="PLW",الجدول14[[#This Row],[نوع الجلسة]]=$BZ$5),الجدول14[[#This Row],[عدد الأناث]],0)</f>
        <v>0</v>
      </c>
      <c r="AS17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17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17" s="127">
        <f>IF(AND(الجدول14[[#This Row],[نوع الجلسة]]=$BZ$5,الجدول14[[#This Row],[البرنامج]]=$BX$2),1,0)</f>
        <v>0</v>
      </c>
      <c r="AV17" s="127">
        <f>IF(AND(الجدول14[[#This Row],[البرنامج]]="OOSCH",الجدول14[[#This Row],[نوع الجلسة]]=$BZ$5),الجدول14[[#This Row],[عدد الذكور]],0)</f>
        <v>0</v>
      </c>
      <c r="AW17" s="127">
        <f>IF(AND(الجدول14[[#This Row],[البرنامج]]="OOSCH",الجدول14[[#This Row],[نوع الجلسة]]=$BZ$5),الجدول14[[#This Row],[عدد الأناث]],0)</f>
        <v>0</v>
      </c>
      <c r="AX17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17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17" s="121">
        <f>IF(AND(الجدول14[[#This Row],[نوع الجلسة]]=$BZ$6,الجدول14[[#This Row],[البرنامج]]=$BX$3),1,0)</f>
        <v>0</v>
      </c>
      <c r="BA17" s="121">
        <f>IF(AND(الجدول14[[#This Row],[البرنامج]]="PLW",الجدول14[[#This Row],[نوع الجلسة]]=$BZ$6),الجدول14[[#This Row],[عدد الذكور]],0)</f>
        <v>0</v>
      </c>
      <c r="BB17" s="121">
        <f>IF(AND(الجدول14[[#This Row],[البرنامج]]="PLW",الجدول14[[#This Row],[نوع الجلسة]]=$BZ$6),الجدول14[[#This Row],[عدد الأناث]],0)</f>
        <v>0</v>
      </c>
      <c r="BC17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17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17" s="122">
        <f>IF(AND(الجدول14[[#This Row],[نوع الجلسة]]=$BZ$6,الجدول14[[#This Row],[البرنامج]]=$BX$2),1,0)</f>
        <v>0</v>
      </c>
      <c r="BF17" s="122">
        <f>IF(AND(الجدول14[[#This Row],[البرنامج]]="OOSCH",الجدول14[[#This Row],[نوع الجلسة]]=$BZ$6),الجدول14[[#This Row],[عدد الذكور]],0)</f>
        <v>0</v>
      </c>
      <c r="BG17" s="122">
        <f>IF(AND(الجدول14[[#This Row],[البرنامج]]="OOSCH",الجدول14[[#This Row],[نوع الجلسة]]=$BZ$6),الجدول14[[#This Row],[عدد الأناث]],0)</f>
        <v>0</v>
      </c>
      <c r="BH17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17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18" spans="4:61" ht="31.5" customHeight="1" x14ac:dyDescent="0.25">
      <c r="D18" s="9"/>
      <c r="E18" s="9"/>
      <c r="F18" s="9"/>
      <c r="G18" s="9"/>
      <c r="H18" s="9"/>
      <c r="I18" s="9"/>
      <c r="J18" s="9"/>
      <c r="K18" s="9">
        <f>SUM(الجدول14[[#This Row],[عدد الذكور]:[عدد الأناث]])</f>
        <v>0</v>
      </c>
      <c r="L18" s="120">
        <f>IF(AND(الجدول14[[#This Row],[البرنامج]]="PLW",الجدول14[[#This Row],[نوع الجلسة]]=$BZ$2),1,0)</f>
        <v>0</v>
      </c>
      <c r="M18" s="120">
        <f>IF(AND(الجدول14[[#This Row],[نوع الجلسة]]=$BZ$2,الجدول14[[#This Row],[البرنامج]]="PLW"),الجدول14[[#This Row],[عدد الذكور]],0)</f>
        <v>0</v>
      </c>
      <c r="N18" s="120">
        <f>IF(AND(الجدول14[[#This Row],[نوع الجلسة]]=$BZ$2,الجدول14[[#This Row],[البرنامج]]="PLW"),الجدول14[[#This Row],[عدد الأناث]],0)</f>
        <v>0</v>
      </c>
      <c r="O18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18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18" s="123">
        <f>IF(AND(الجدول14[[#This Row],[البرنامج]]="OOSCH",الجدول14[[#This Row],[نوع الجلسة]]=$BZ$2),1,0)</f>
        <v>0</v>
      </c>
      <c r="R18" s="123">
        <f>IF(AND(الجدول14[[#This Row],[البرنامج]]="OOSCH",الجدول14[[#This Row],[نوع الجلسة]]=$BZ$2),الجدول14[[#This Row],[عدد الذكور]],0)</f>
        <v>0</v>
      </c>
      <c r="S18" s="123">
        <f>IF(AND(الجدول14[[#This Row],[البرنامج]]="OOSCH",الجدول14[[#This Row],[نوع الجلسة]]=$BZ$2),الجدول14[[#This Row],[عدد الأناث]],0)</f>
        <v>0</v>
      </c>
      <c r="T18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18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18" s="124">
        <f>IF(AND(الجدول14[[#This Row],[البرنامج]]="PLW",الجدول14[[#This Row],[نوع الجلسة]]="معلومات صحة تغذوية للسيدة الحامل"),1,0)</f>
        <v>0</v>
      </c>
      <c r="W18" s="124">
        <f>IF(AND(الجدول14[[#This Row],[نوع الجلسة]]=$BZ$3,الجدول14[[#This Row],[البرنامج]]="PLW"),الجدول14[[#This Row],[عدد الذكور]],0)</f>
        <v>0</v>
      </c>
      <c r="X18" s="124">
        <f>IF(AND(الجدول14[[#This Row],[نوع الجلسة]]=$BZ$3,الجدول14[[#This Row],[البرنامج]]="PLW"),الجدول14[[#This Row],[عدد الأناث]],0)</f>
        <v>0</v>
      </c>
      <c r="Y18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18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18" s="113">
        <f>IF(AND(الجدول14[[#This Row],[البرنامج]]="PLW",الجدول14[[#This Row],[نوع الجلسة]]=$BZ$4),1,0)</f>
        <v>0</v>
      </c>
      <c r="AB18" s="113">
        <f>IF(AND(الجدول14[[#This Row],[البرنامج]]="PLW",الجدول14[[#This Row],[نوع الجلسة]]=$BZ$4),الجدول14[[#This Row],[عدد الذكور]],0)</f>
        <v>0</v>
      </c>
      <c r="AC18" s="113">
        <f>IF(AND(الجدول14[[#This Row],[البرنامج]]="PLW",الجدول14[[#This Row],[نوع الجلسة]]=$BZ$4),الجدول14[[#This Row],[عدد الأناث]],0)</f>
        <v>0</v>
      </c>
      <c r="AD18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18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18" s="125">
        <f>IF(AND(الجدول14[[#This Row],[البرنامج]]="OOSCH",الجدول14[[#This Row],[نوع الجلسة]]=$BZ$7),1,0)</f>
        <v>0</v>
      </c>
      <c r="AG18" s="125">
        <f>IF(AND(الجدول14[[#This Row],[البرنامج]]="OOSCH",الجدول14[[#This Row],[نوع الجلسة]]=$BZ$7),الجدول14[[#This Row],[عدد الذكور]],0)</f>
        <v>0</v>
      </c>
      <c r="AH18" s="125">
        <f>IF(AND(الجدول14[[#This Row],[البرنامج]]="OOSCH",الجدول14[[#This Row],[نوع الجلسة]]=$BZ$7),الجدول14[[#This Row],[عدد الأناث]],0)</f>
        <v>0</v>
      </c>
      <c r="AI18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18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18" s="126">
        <f>IF(AND(الجدول14[[#This Row],[البرنامج]]="OOSCH",الجدول14[[#This Row],[نوع الجلسة]]=$BZ$4),1,0)</f>
        <v>0</v>
      </c>
      <c r="AL18" s="126">
        <f>IF(AND(الجدول14[[#This Row],[البرنامج]]="OOSCH",الجدول14[[#This Row],[نوع الجلسة]]=$BZ$4),الجدول14[[#This Row],[عدد الذكور]],0)</f>
        <v>0</v>
      </c>
      <c r="AM18" s="126">
        <f>IF(AND(الجدول14[[#This Row],[البرنامج]]="OOSCH",الجدول14[[#This Row],[نوع الجلسة]]=$BZ$4),الجدول14[[#This Row],[عدد الأناث]],0)</f>
        <v>0</v>
      </c>
      <c r="AN18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18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18" s="123">
        <f>IF(AND(الجدول14[[#This Row],[نوع الجلسة]]=$BZ$5,الجدول14[[#This Row],[البرنامج]]=$BX$3),1,0)</f>
        <v>0</v>
      </c>
      <c r="AQ18" s="123">
        <f>IF(AND(الجدول14[[#This Row],[البرنامج]]="PLW",الجدول14[[#This Row],[نوع الجلسة]]=$BZ$5),الجدول14[[#This Row],[عدد الذكور]],0)</f>
        <v>0</v>
      </c>
      <c r="AR18" s="123">
        <f>IF(AND(الجدول14[[#This Row],[البرنامج]]="PLW",الجدول14[[#This Row],[نوع الجلسة]]=$BZ$5),الجدول14[[#This Row],[عدد الأناث]],0)</f>
        <v>0</v>
      </c>
      <c r="AS18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18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18" s="127">
        <f>IF(AND(الجدول14[[#This Row],[نوع الجلسة]]=$BZ$5,الجدول14[[#This Row],[البرنامج]]=$BX$2),1,0)</f>
        <v>0</v>
      </c>
      <c r="AV18" s="127">
        <f>IF(AND(الجدول14[[#This Row],[البرنامج]]="OOSCH",الجدول14[[#This Row],[نوع الجلسة]]=$BZ$5),الجدول14[[#This Row],[عدد الذكور]],0)</f>
        <v>0</v>
      </c>
      <c r="AW18" s="127">
        <f>IF(AND(الجدول14[[#This Row],[البرنامج]]="OOSCH",الجدول14[[#This Row],[نوع الجلسة]]=$BZ$5),الجدول14[[#This Row],[عدد الأناث]],0)</f>
        <v>0</v>
      </c>
      <c r="AX18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18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18" s="121">
        <f>IF(AND(الجدول14[[#This Row],[نوع الجلسة]]=$BZ$6,الجدول14[[#This Row],[البرنامج]]=$BX$3),1,0)</f>
        <v>0</v>
      </c>
      <c r="BA18" s="121">
        <f>IF(AND(الجدول14[[#This Row],[البرنامج]]="PLW",الجدول14[[#This Row],[نوع الجلسة]]=$BZ$6),الجدول14[[#This Row],[عدد الذكور]],0)</f>
        <v>0</v>
      </c>
      <c r="BB18" s="121">
        <f>IF(AND(الجدول14[[#This Row],[البرنامج]]="PLW",الجدول14[[#This Row],[نوع الجلسة]]=$BZ$6),الجدول14[[#This Row],[عدد الأناث]],0)</f>
        <v>0</v>
      </c>
      <c r="BC18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18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18" s="122">
        <f>IF(AND(الجدول14[[#This Row],[نوع الجلسة]]=$BZ$6,الجدول14[[#This Row],[البرنامج]]=$BX$2),1,0)</f>
        <v>0</v>
      </c>
      <c r="BF18" s="122">
        <f>IF(AND(الجدول14[[#This Row],[البرنامج]]="OOSCH",الجدول14[[#This Row],[نوع الجلسة]]=$BZ$6),الجدول14[[#This Row],[عدد الذكور]],0)</f>
        <v>0</v>
      </c>
      <c r="BG18" s="122">
        <f>IF(AND(الجدول14[[#This Row],[البرنامج]]="OOSCH",الجدول14[[#This Row],[نوع الجلسة]]=$BZ$6),الجدول14[[#This Row],[عدد الأناث]],0)</f>
        <v>0</v>
      </c>
      <c r="BH18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18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19" spans="4:61" ht="31.5" customHeight="1" x14ac:dyDescent="0.25">
      <c r="D19" s="9"/>
      <c r="E19" s="9"/>
      <c r="F19" s="9"/>
      <c r="G19" s="9"/>
      <c r="H19" s="9"/>
      <c r="I19" s="9"/>
      <c r="J19" s="9"/>
      <c r="K19" s="9">
        <f>SUM(الجدول14[[#This Row],[عدد الذكور]:[عدد الأناث]])</f>
        <v>0</v>
      </c>
      <c r="L19" s="120">
        <f>IF(AND(الجدول14[[#This Row],[البرنامج]]="PLW",الجدول14[[#This Row],[نوع الجلسة]]=$BZ$2),1,0)</f>
        <v>0</v>
      </c>
      <c r="M19" s="120">
        <f>IF(AND(الجدول14[[#This Row],[نوع الجلسة]]=$BZ$2,الجدول14[[#This Row],[البرنامج]]="PLW"),الجدول14[[#This Row],[عدد الذكور]],0)</f>
        <v>0</v>
      </c>
      <c r="N19" s="120">
        <f>IF(AND(الجدول14[[#This Row],[نوع الجلسة]]=$BZ$2,الجدول14[[#This Row],[البرنامج]]="PLW"),الجدول14[[#This Row],[عدد الأناث]],0)</f>
        <v>0</v>
      </c>
      <c r="O19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19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19" s="123">
        <f>IF(AND(الجدول14[[#This Row],[البرنامج]]="OOSCH",الجدول14[[#This Row],[نوع الجلسة]]=$BZ$2),1,0)</f>
        <v>0</v>
      </c>
      <c r="R19" s="123">
        <f>IF(AND(الجدول14[[#This Row],[البرنامج]]="OOSCH",الجدول14[[#This Row],[نوع الجلسة]]=$BZ$2),الجدول14[[#This Row],[عدد الذكور]],0)</f>
        <v>0</v>
      </c>
      <c r="S19" s="123">
        <f>IF(AND(الجدول14[[#This Row],[البرنامج]]="OOSCH",الجدول14[[#This Row],[نوع الجلسة]]=$BZ$2),الجدول14[[#This Row],[عدد الأناث]],0)</f>
        <v>0</v>
      </c>
      <c r="T19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19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19" s="124">
        <f>IF(AND(الجدول14[[#This Row],[البرنامج]]="PLW",الجدول14[[#This Row],[نوع الجلسة]]="معلومات صحة تغذوية للسيدة الحامل"),1,0)</f>
        <v>0</v>
      </c>
      <c r="W19" s="124">
        <f>IF(AND(الجدول14[[#This Row],[نوع الجلسة]]=$BZ$3,الجدول14[[#This Row],[البرنامج]]="PLW"),الجدول14[[#This Row],[عدد الذكور]],0)</f>
        <v>0</v>
      </c>
      <c r="X19" s="124">
        <f>IF(AND(الجدول14[[#This Row],[نوع الجلسة]]=$BZ$3,الجدول14[[#This Row],[البرنامج]]="PLW"),الجدول14[[#This Row],[عدد الأناث]],0)</f>
        <v>0</v>
      </c>
      <c r="Y19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19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19" s="113">
        <f>IF(AND(الجدول14[[#This Row],[البرنامج]]="PLW",الجدول14[[#This Row],[نوع الجلسة]]=$BZ$4),1,0)</f>
        <v>0</v>
      </c>
      <c r="AB19" s="113">
        <f>IF(AND(الجدول14[[#This Row],[البرنامج]]="PLW",الجدول14[[#This Row],[نوع الجلسة]]=$BZ$4),الجدول14[[#This Row],[عدد الذكور]],0)</f>
        <v>0</v>
      </c>
      <c r="AC19" s="113">
        <f>IF(AND(الجدول14[[#This Row],[البرنامج]]="PLW",الجدول14[[#This Row],[نوع الجلسة]]=$BZ$4),الجدول14[[#This Row],[عدد الأناث]],0)</f>
        <v>0</v>
      </c>
      <c r="AD19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19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19" s="125">
        <f>IF(AND(الجدول14[[#This Row],[البرنامج]]="OOSCH",الجدول14[[#This Row],[نوع الجلسة]]=$BZ$7),1,0)</f>
        <v>0</v>
      </c>
      <c r="AG19" s="125">
        <f>IF(AND(الجدول14[[#This Row],[البرنامج]]="OOSCH",الجدول14[[#This Row],[نوع الجلسة]]=$BZ$7),الجدول14[[#This Row],[عدد الذكور]],0)</f>
        <v>0</v>
      </c>
      <c r="AH19" s="125">
        <f>IF(AND(الجدول14[[#This Row],[البرنامج]]="OOSCH",الجدول14[[#This Row],[نوع الجلسة]]=$BZ$7),الجدول14[[#This Row],[عدد الأناث]],0)</f>
        <v>0</v>
      </c>
      <c r="AI19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19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19" s="126">
        <f>IF(AND(الجدول14[[#This Row],[البرنامج]]="OOSCH",الجدول14[[#This Row],[نوع الجلسة]]=$BZ$4),1,0)</f>
        <v>0</v>
      </c>
      <c r="AL19" s="126">
        <f>IF(AND(الجدول14[[#This Row],[البرنامج]]="OOSCH",الجدول14[[#This Row],[نوع الجلسة]]=$BZ$4),الجدول14[[#This Row],[عدد الذكور]],0)</f>
        <v>0</v>
      </c>
      <c r="AM19" s="126">
        <f>IF(AND(الجدول14[[#This Row],[البرنامج]]="OOSCH",الجدول14[[#This Row],[نوع الجلسة]]=$BZ$4),الجدول14[[#This Row],[عدد الأناث]],0)</f>
        <v>0</v>
      </c>
      <c r="AN19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19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19" s="123">
        <f>IF(AND(الجدول14[[#This Row],[نوع الجلسة]]=$BZ$5,الجدول14[[#This Row],[البرنامج]]=$BX$3),1,0)</f>
        <v>0</v>
      </c>
      <c r="AQ19" s="123">
        <f>IF(AND(الجدول14[[#This Row],[البرنامج]]="PLW",الجدول14[[#This Row],[نوع الجلسة]]=$BZ$5),الجدول14[[#This Row],[عدد الذكور]],0)</f>
        <v>0</v>
      </c>
      <c r="AR19" s="123">
        <f>IF(AND(الجدول14[[#This Row],[البرنامج]]="PLW",الجدول14[[#This Row],[نوع الجلسة]]=$BZ$5),الجدول14[[#This Row],[عدد الأناث]],0)</f>
        <v>0</v>
      </c>
      <c r="AS19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19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19" s="127">
        <f>IF(AND(الجدول14[[#This Row],[نوع الجلسة]]=$BZ$5,الجدول14[[#This Row],[البرنامج]]=$BX$2),1,0)</f>
        <v>0</v>
      </c>
      <c r="AV19" s="127">
        <f>IF(AND(الجدول14[[#This Row],[البرنامج]]="OOSCH",الجدول14[[#This Row],[نوع الجلسة]]=$BZ$5),الجدول14[[#This Row],[عدد الذكور]],0)</f>
        <v>0</v>
      </c>
      <c r="AW19" s="127">
        <f>IF(AND(الجدول14[[#This Row],[البرنامج]]="OOSCH",الجدول14[[#This Row],[نوع الجلسة]]=$BZ$5),الجدول14[[#This Row],[عدد الأناث]],0)</f>
        <v>0</v>
      </c>
      <c r="AX19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19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19" s="121">
        <f>IF(AND(الجدول14[[#This Row],[نوع الجلسة]]=$BZ$6,الجدول14[[#This Row],[البرنامج]]=$BX$3),1,0)</f>
        <v>0</v>
      </c>
      <c r="BA19" s="121">
        <f>IF(AND(الجدول14[[#This Row],[البرنامج]]="PLW",الجدول14[[#This Row],[نوع الجلسة]]=$BZ$6),الجدول14[[#This Row],[عدد الذكور]],0)</f>
        <v>0</v>
      </c>
      <c r="BB19" s="121">
        <f>IF(AND(الجدول14[[#This Row],[البرنامج]]="PLW",الجدول14[[#This Row],[نوع الجلسة]]=$BZ$6),الجدول14[[#This Row],[عدد الأناث]],0)</f>
        <v>0</v>
      </c>
      <c r="BC19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19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19" s="122">
        <f>IF(AND(الجدول14[[#This Row],[نوع الجلسة]]=$BZ$6,الجدول14[[#This Row],[البرنامج]]=$BX$2),1,0)</f>
        <v>0</v>
      </c>
      <c r="BF19" s="122">
        <f>IF(AND(الجدول14[[#This Row],[البرنامج]]="OOSCH",الجدول14[[#This Row],[نوع الجلسة]]=$BZ$6),الجدول14[[#This Row],[عدد الذكور]],0)</f>
        <v>0</v>
      </c>
      <c r="BG19" s="122">
        <f>IF(AND(الجدول14[[#This Row],[البرنامج]]="OOSCH",الجدول14[[#This Row],[نوع الجلسة]]=$BZ$6),الجدول14[[#This Row],[عدد الأناث]],0)</f>
        <v>0</v>
      </c>
      <c r="BH19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19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20" spans="4:61" ht="31.5" customHeight="1" x14ac:dyDescent="0.25">
      <c r="D20" s="9"/>
      <c r="E20" s="9"/>
      <c r="F20" s="9"/>
      <c r="G20" s="9"/>
      <c r="H20" s="9"/>
      <c r="I20" s="9"/>
      <c r="J20" s="9"/>
      <c r="K20" s="9">
        <f>SUM(الجدول14[[#This Row],[عدد الذكور]:[عدد الأناث]])</f>
        <v>0</v>
      </c>
      <c r="L20" s="120">
        <f>IF(AND(الجدول14[[#This Row],[البرنامج]]="PLW",الجدول14[[#This Row],[نوع الجلسة]]=$BZ$2),1,0)</f>
        <v>0</v>
      </c>
      <c r="M20" s="120">
        <f>IF(AND(الجدول14[[#This Row],[نوع الجلسة]]=$BZ$2,الجدول14[[#This Row],[البرنامج]]="PLW"),الجدول14[[#This Row],[عدد الذكور]],0)</f>
        <v>0</v>
      </c>
      <c r="N20" s="120">
        <f>IF(AND(الجدول14[[#This Row],[نوع الجلسة]]=$BZ$2,الجدول14[[#This Row],[البرنامج]]="PLW"),الجدول14[[#This Row],[عدد الأناث]],0)</f>
        <v>0</v>
      </c>
      <c r="O20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20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20" s="123">
        <f>IF(AND(الجدول14[[#This Row],[البرنامج]]="OOSCH",الجدول14[[#This Row],[نوع الجلسة]]=$BZ$2),1,0)</f>
        <v>0</v>
      </c>
      <c r="R20" s="123">
        <f>IF(AND(الجدول14[[#This Row],[البرنامج]]="OOSCH",الجدول14[[#This Row],[نوع الجلسة]]=$BZ$2),الجدول14[[#This Row],[عدد الذكور]],0)</f>
        <v>0</v>
      </c>
      <c r="S20" s="123">
        <f>IF(AND(الجدول14[[#This Row],[البرنامج]]="OOSCH",الجدول14[[#This Row],[نوع الجلسة]]=$BZ$2),الجدول14[[#This Row],[عدد الأناث]],0)</f>
        <v>0</v>
      </c>
      <c r="T20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20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20" s="124">
        <f>IF(AND(الجدول14[[#This Row],[البرنامج]]="PLW",الجدول14[[#This Row],[نوع الجلسة]]="معلومات صحة تغذوية للسيدة الحامل"),1,0)</f>
        <v>0</v>
      </c>
      <c r="W20" s="124">
        <f>IF(AND(الجدول14[[#This Row],[نوع الجلسة]]=$BZ$3,الجدول14[[#This Row],[البرنامج]]="PLW"),الجدول14[[#This Row],[عدد الذكور]],0)</f>
        <v>0</v>
      </c>
      <c r="X20" s="124">
        <f>IF(AND(الجدول14[[#This Row],[نوع الجلسة]]=$BZ$3,الجدول14[[#This Row],[البرنامج]]="PLW"),الجدول14[[#This Row],[عدد الأناث]],0)</f>
        <v>0</v>
      </c>
      <c r="Y20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20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20" s="113">
        <f>IF(AND(الجدول14[[#This Row],[البرنامج]]="PLW",الجدول14[[#This Row],[نوع الجلسة]]=$BZ$4),1,0)</f>
        <v>0</v>
      </c>
      <c r="AB20" s="113">
        <f>IF(AND(الجدول14[[#This Row],[البرنامج]]="PLW",الجدول14[[#This Row],[نوع الجلسة]]=$BZ$4),الجدول14[[#This Row],[عدد الذكور]],0)</f>
        <v>0</v>
      </c>
      <c r="AC20" s="113">
        <f>IF(AND(الجدول14[[#This Row],[البرنامج]]="PLW",الجدول14[[#This Row],[نوع الجلسة]]=$BZ$4),الجدول14[[#This Row],[عدد الأناث]],0)</f>
        <v>0</v>
      </c>
      <c r="AD20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20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20" s="125">
        <f>IF(AND(الجدول14[[#This Row],[البرنامج]]="OOSCH",الجدول14[[#This Row],[نوع الجلسة]]=$BZ$7),1,0)</f>
        <v>0</v>
      </c>
      <c r="AG20" s="125">
        <f>IF(AND(الجدول14[[#This Row],[البرنامج]]="OOSCH",الجدول14[[#This Row],[نوع الجلسة]]=$BZ$7),الجدول14[[#This Row],[عدد الذكور]],0)</f>
        <v>0</v>
      </c>
      <c r="AH20" s="125">
        <f>IF(AND(الجدول14[[#This Row],[البرنامج]]="OOSCH",الجدول14[[#This Row],[نوع الجلسة]]=$BZ$7),الجدول14[[#This Row],[عدد الأناث]],0)</f>
        <v>0</v>
      </c>
      <c r="AI20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20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20" s="126">
        <f>IF(AND(الجدول14[[#This Row],[البرنامج]]="OOSCH",الجدول14[[#This Row],[نوع الجلسة]]=$BZ$4),1,0)</f>
        <v>0</v>
      </c>
      <c r="AL20" s="126">
        <f>IF(AND(الجدول14[[#This Row],[البرنامج]]="OOSCH",الجدول14[[#This Row],[نوع الجلسة]]=$BZ$4),الجدول14[[#This Row],[عدد الذكور]],0)</f>
        <v>0</v>
      </c>
      <c r="AM20" s="126">
        <f>IF(AND(الجدول14[[#This Row],[البرنامج]]="OOSCH",الجدول14[[#This Row],[نوع الجلسة]]=$BZ$4),الجدول14[[#This Row],[عدد الأناث]],0)</f>
        <v>0</v>
      </c>
      <c r="AN20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20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20" s="123">
        <f>IF(AND(الجدول14[[#This Row],[نوع الجلسة]]=$BZ$5,الجدول14[[#This Row],[البرنامج]]=$BX$3),1,0)</f>
        <v>0</v>
      </c>
      <c r="AQ20" s="123">
        <f>IF(AND(الجدول14[[#This Row],[البرنامج]]="PLW",الجدول14[[#This Row],[نوع الجلسة]]=$BZ$5),الجدول14[[#This Row],[عدد الذكور]],0)</f>
        <v>0</v>
      </c>
      <c r="AR20" s="123">
        <f>IF(AND(الجدول14[[#This Row],[البرنامج]]="PLW",الجدول14[[#This Row],[نوع الجلسة]]=$BZ$5),الجدول14[[#This Row],[عدد الأناث]],0)</f>
        <v>0</v>
      </c>
      <c r="AS20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20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20" s="127">
        <f>IF(AND(الجدول14[[#This Row],[نوع الجلسة]]=$BZ$5,الجدول14[[#This Row],[البرنامج]]=$BX$2),1,0)</f>
        <v>0</v>
      </c>
      <c r="AV20" s="127">
        <f>IF(AND(الجدول14[[#This Row],[البرنامج]]="OOSCH",الجدول14[[#This Row],[نوع الجلسة]]=$BZ$5),الجدول14[[#This Row],[عدد الذكور]],0)</f>
        <v>0</v>
      </c>
      <c r="AW20" s="127">
        <f>IF(AND(الجدول14[[#This Row],[البرنامج]]="OOSCH",الجدول14[[#This Row],[نوع الجلسة]]=$BZ$5),الجدول14[[#This Row],[عدد الأناث]],0)</f>
        <v>0</v>
      </c>
      <c r="AX20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20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20" s="121">
        <f>IF(AND(الجدول14[[#This Row],[نوع الجلسة]]=$BZ$6,الجدول14[[#This Row],[البرنامج]]=$BX$3),1,0)</f>
        <v>0</v>
      </c>
      <c r="BA20" s="121">
        <f>IF(AND(الجدول14[[#This Row],[البرنامج]]="PLW",الجدول14[[#This Row],[نوع الجلسة]]=$BZ$6),الجدول14[[#This Row],[عدد الذكور]],0)</f>
        <v>0</v>
      </c>
      <c r="BB20" s="121">
        <f>IF(AND(الجدول14[[#This Row],[البرنامج]]="PLW",الجدول14[[#This Row],[نوع الجلسة]]=$BZ$6),الجدول14[[#This Row],[عدد الأناث]],0)</f>
        <v>0</v>
      </c>
      <c r="BC20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20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20" s="122">
        <f>IF(AND(الجدول14[[#This Row],[نوع الجلسة]]=$BZ$6,الجدول14[[#This Row],[البرنامج]]=$BX$2),1,0)</f>
        <v>0</v>
      </c>
      <c r="BF20" s="122">
        <f>IF(AND(الجدول14[[#This Row],[البرنامج]]="OOSCH",الجدول14[[#This Row],[نوع الجلسة]]=$BZ$6),الجدول14[[#This Row],[عدد الذكور]],0)</f>
        <v>0</v>
      </c>
      <c r="BG20" s="122">
        <f>IF(AND(الجدول14[[#This Row],[البرنامج]]="OOSCH",الجدول14[[#This Row],[نوع الجلسة]]=$BZ$6),الجدول14[[#This Row],[عدد الأناث]],0)</f>
        <v>0</v>
      </c>
      <c r="BH20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20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21" spans="4:61" ht="31.5" customHeight="1" x14ac:dyDescent="0.25">
      <c r="D21" s="9"/>
      <c r="E21" s="9"/>
      <c r="F21" s="9"/>
      <c r="G21" s="9"/>
      <c r="H21" s="9"/>
      <c r="I21" s="9"/>
      <c r="J21" s="9"/>
      <c r="K21" s="9">
        <f>SUM(الجدول14[[#This Row],[عدد الذكور]:[عدد الأناث]])</f>
        <v>0</v>
      </c>
      <c r="L21" s="120">
        <f>IF(AND(الجدول14[[#This Row],[البرنامج]]="PLW",الجدول14[[#This Row],[نوع الجلسة]]=$BZ$2),1,0)</f>
        <v>0</v>
      </c>
      <c r="M21" s="120">
        <f>IF(AND(الجدول14[[#This Row],[نوع الجلسة]]=$BZ$2,الجدول14[[#This Row],[البرنامج]]="PLW"),الجدول14[[#This Row],[عدد الذكور]],0)</f>
        <v>0</v>
      </c>
      <c r="N21" s="120">
        <f>IF(AND(الجدول14[[#This Row],[نوع الجلسة]]=$BZ$2,الجدول14[[#This Row],[البرنامج]]="PLW"),الجدول14[[#This Row],[عدد الأناث]],0)</f>
        <v>0</v>
      </c>
      <c r="O21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21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21" s="123">
        <f>IF(AND(الجدول14[[#This Row],[البرنامج]]="OOSCH",الجدول14[[#This Row],[نوع الجلسة]]=$BZ$2),1,0)</f>
        <v>0</v>
      </c>
      <c r="R21" s="123">
        <f>IF(AND(الجدول14[[#This Row],[البرنامج]]="OOSCH",الجدول14[[#This Row],[نوع الجلسة]]=$BZ$2),الجدول14[[#This Row],[عدد الذكور]],0)</f>
        <v>0</v>
      </c>
      <c r="S21" s="123">
        <f>IF(AND(الجدول14[[#This Row],[البرنامج]]="OOSCH",الجدول14[[#This Row],[نوع الجلسة]]=$BZ$2),الجدول14[[#This Row],[عدد الأناث]],0)</f>
        <v>0</v>
      </c>
      <c r="T21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21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21" s="124">
        <f>IF(AND(الجدول14[[#This Row],[البرنامج]]="PLW",الجدول14[[#This Row],[نوع الجلسة]]="معلومات صحة تغذوية للسيدة الحامل"),1,0)</f>
        <v>0</v>
      </c>
      <c r="W21" s="124">
        <f>IF(AND(الجدول14[[#This Row],[نوع الجلسة]]=$BZ$3,الجدول14[[#This Row],[البرنامج]]="PLW"),الجدول14[[#This Row],[عدد الذكور]],0)</f>
        <v>0</v>
      </c>
      <c r="X21" s="124">
        <f>IF(AND(الجدول14[[#This Row],[نوع الجلسة]]=$BZ$3,الجدول14[[#This Row],[البرنامج]]="PLW"),الجدول14[[#This Row],[عدد الأناث]],0)</f>
        <v>0</v>
      </c>
      <c r="Y21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21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21" s="113">
        <f>IF(AND(الجدول14[[#This Row],[البرنامج]]="PLW",الجدول14[[#This Row],[نوع الجلسة]]=$BZ$4),1,0)</f>
        <v>0</v>
      </c>
      <c r="AB21" s="113">
        <f>IF(AND(الجدول14[[#This Row],[البرنامج]]="PLW",الجدول14[[#This Row],[نوع الجلسة]]=$BZ$4),الجدول14[[#This Row],[عدد الذكور]],0)</f>
        <v>0</v>
      </c>
      <c r="AC21" s="113">
        <f>IF(AND(الجدول14[[#This Row],[البرنامج]]="PLW",الجدول14[[#This Row],[نوع الجلسة]]=$BZ$4),الجدول14[[#This Row],[عدد الأناث]],0)</f>
        <v>0</v>
      </c>
      <c r="AD21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21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21" s="125">
        <f>IF(AND(الجدول14[[#This Row],[البرنامج]]="OOSCH",الجدول14[[#This Row],[نوع الجلسة]]=$BZ$7),1,0)</f>
        <v>0</v>
      </c>
      <c r="AG21" s="125">
        <f>IF(AND(الجدول14[[#This Row],[البرنامج]]="OOSCH",الجدول14[[#This Row],[نوع الجلسة]]=$BZ$7),الجدول14[[#This Row],[عدد الذكور]],0)</f>
        <v>0</v>
      </c>
      <c r="AH21" s="125">
        <f>IF(AND(الجدول14[[#This Row],[البرنامج]]="OOSCH",الجدول14[[#This Row],[نوع الجلسة]]=$BZ$7),الجدول14[[#This Row],[عدد الأناث]],0)</f>
        <v>0</v>
      </c>
      <c r="AI21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21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21" s="126">
        <f>IF(AND(الجدول14[[#This Row],[البرنامج]]="OOSCH",الجدول14[[#This Row],[نوع الجلسة]]=$BZ$4),1,0)</f>
        <v>0</v>
      </c>
      <c r="AL21" s="126">
        <f>IF(AND(الجدول14[[#This Row],[البرنامج]]="OOSCH",الجدول14[[#This Row],[نوع الجلسة]]=$BZ$4),الجدول14[[#This Row],[عدد الذكور]],0)</f>
        <v>0</v>
      </c>
      <c r="AM21" s="126">
        <f>IF(AND(الجدول14[[#This Row],[البرنامج]]="OOSCH",الجدول14[[#This Row],[نوع الجلسة]]=$BZ$4),الجدول14[[#This Row],[عدد الأناث]],0)</f>
        <v>0</v>
      </c>
      <c r="AN21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21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21" s="123">
        <f>IF(AND(الجدول14[[#This Row],[نوع الجلسة]]=$BZ$5,الجدول14[[#This Row],[البرنامج]]=$BX$3),1,0)</f>
        <v>0</v>
      </c>
      <c r="AQ21" s="123">
        <f>IF(AND(الجدول14[[#This Row],[البرنامج]]="PLW",الجدول14[[#This Row],[نوع الجلسة]]=$BZ$5),الجدول14[[#This Row],[عدد الذكور]],0)</f>
        <v>0</v>
      </c>
      <c r="AR21" s="123">
        <f>IF(AND(الجدول14[[#This Row],[البرنامج]]="PLW",الجدول14[[#This Row],[نوع الجلسة]]=$BZ$5),الجدول14[[#This Row],[عدد الأناث]],0)</f>
        <v>0</v>
      </c>
      <c r="AS21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21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21" s="127">
        <f>IF(AND(الجدول14[[#This Row],[نوع الجلسة]]=$BZ$5,الجدول14[[#This Row],[البرنامج]]=$BX$2),1,0)</f>
        <v>0</v>
      </c>
      <c r="AV21" s="127">
        <f>IF(AND(الجدول14[[#This Row],[البرنامج]]="OOSCH",الجدول14[[#This Row],[نوع الجلسة]]=$BZ$5),الجدول14[[#This Row],[عدد الذكور]],0)</f>
        <v>0</v>
      </c>
      <c r="AW21" s="127">
        <f>IF(AND(الجدول14[[#This Row],[البرنامج]]="OOSCH",الجدول14[[#This Row],[نوع الجلسة]]=$BZ$5),الجدول14[[#This Row],[عدد الأناث]],0)</f>
        <v>0</v>
      </c>
      <c r="AX21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21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21" s="121">
        <f>IF(AND(الجدول14[[#This Row],[نوع الجلسة]]=$BZ$6,الجدول14[[#This Row],[البرنامج]]=$BX$3),1,0)</f>
        <v>0</v>
      </c>
      <c r="BA21" s="121">
        <f>IF(AND(الجدول14[[#This Row],[البرنامج]]="PLW",الجدول14[[#This Row],[نوع الجلسة]]=$BZ$6),الجدول14[[#This Row],[عدد الذكور]],0)</f>
        <v>0</v>
      </c>
      <c r="BB21" s="121">
        <f>IF(AND(الجدول14[[#This Row],[البرنامج]]="PLW",الجدول14[[#This Row],[نوع الجلسة]]=$BZ$6),الجدول14[[#This Row],[عدد الأناث]],0)</f>
        <v>0</v>
      </c>
      <c r="BC21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21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21" s="122">
        <f>IF(AND(الجدول14[[#This Row],[نوع الجلسة]]=$BZ$6,الجدول14[[#This Row],[البرنامج]]=$BX$2),1,0)</f>
        <v>0</v>
      </c>
      <c r="BF21" s="122">
        <f>IF(AND(الجدول14[[#This Row],[البرنامج]]="OOSCH",الجدول14[[#This Row],[نوع الجلسة]]=$BZ$6),الجدول14[[#This Row],[عدد الذكور]],0)</f>
        <v>0</v>
      </c>
      <c r="BG21" s="122">
        <f>IF(AND(الجدول14[[#This Row],[البرنامج]]="OOSCH",الجدول14[[#This Row],[نوع الجلسة]]=$BZ$6),الجدول14[[#This Row],[عدد الأناث]],0)</f>
        <v>0</v>
      </c>
      <c r="BH21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21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22" spans="4:61" ht="31.5" customHeight="1" x14ac:dyDescent="0.25">
      <c r="D22" s="9"/>
      <c r="E22" s="9"/>
      <c r="F22" s="9"/>
      <c r="G22" s="9"/>
      <c r="H22" s="9"/>
      <c r="I22" s="9"/>
      <c r="J22" s="9"/>
      <c r="K22" s="9">
        <f>SUM(الجدول14[[#This Row],[عدد الذكور]:[عدد الأناث]])</f>
        <v>0</v>
      </c>
      <c r="L22" s="120">
        <f>IF(AND(الجدول14[[#This Row],[البرنامج]]="PLW",الجدول14[[#This Row],[نوع الجلسة]]=$BZ$2),1,0)</f>
        <v>0</v>
      </c>
      <c r="M22" s="120">
        <f>IF(AND(الجدول14[[#This Row],[نوع الجلسة]]=$BZ$2,الجدول14[[#This Row],[البرنامج]]="PLW"),الجدول14[[#This Row],[عدد الذكور]],0)</f>
        <v>0</v>
      </c>
      <c r="N22" s="120">
        <f>IF(AND(الجدول14[[#This Row],[نوع الجلسة]]=$BZ$2,الجدول14[[#This Row],[البرنامج]]="PLW"),الجدول14[[#This Row],[عدد الأناث]],0)</f>
        <v>0</v>
      </c>
      <c r="O22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22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22" s="123">
        <f>IF(AND(الجدول14[[#This Row],[البرنامج]]="OOSCH",الجدول14[[#This Row],[نوع الجلسة]]=$BZ$2),1,0)</f>
        <v>0</v>
      </c>
      <c r="R22" s="123">
        <f>IF(AND(الجدول14[[#This Row],[البرنامج]]="OOSCH",الجدول14[[#This Row],[نوع الجلسة]]=$BZ$2),الجدول14[[#This Row],[عدد الذكور]],0)</f>
        <v>0</v>
      </c>
      <c r="S22" s="123">
        <f>IF(AND(الجدول14[[#This Row],[البرنامج]]="OOSCH",الجدول14[[#This Row],[نوع الجلسة]]=$BZ$2),الجدول14[[#This Row],[عدد الأناث]],0)</f>
        <v>0</v>
      </c>
      <c r="T22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22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22" s="124">
        <f>IF(AND(الجدول14[[#This Row],[البرنامج]]="PLW",الجدول14[[#This Row],[نوع الجلسة]]="معلومات صحة تغذوية للسيدة الحامل"),1,0)</f>
        <v>0</v>
      </c>
      <c r="W22" s="124">
        <f>IF(AND(الجدول14[[#This Row],[نوع الجلسة]]=$BZ$3,الجدول14[[#This Row],[البرنامج]]="PLW"),الجدول14[[#This Row],[عدد الذكور]],0)</f>
        <v>0</v>
      </c>
      <c r="X22" s="124">
        <f>IF(AND(الجدول14[[#This Row],[نوع الجلسة]]=$BZ$3,الجدول14[[#This Row],[البرنامج]]="PLW"),الجدول14[[#This Row],[عدد الأناث]],0)</f>
        <v>0</v>
      </c>
      <c r="Y22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22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22" s="113">
        <f>IF(AND(الجدول14[[#This Row],[البرنامج]]="PLW",الجدول14[[#This Row],[نوع الجلسة]]=$BZ$4),1,0)</f>
        <v>0</v>
      </c>
      <c r="AB22" s="113">
        <f>IF(AND(الجدول14[[#This Row],[البرنامج]]="PLW",الجدول14[[#This Row],[نوع الجلسة]]=$BZ$4),الجدول14[[#This Row],[عدد الذكور]],0)</f>
        <v>0</v>
      </c>
      <c r="AC22" s="113">
        <f>IF(AND(الجدول14[[#This Row],[البرنامج]]="PLW",الجدول14[[#This Row],[نوع الجلسة]]=$BZ$4),الجدول14[[#This Row],[عدد الأناث]],0)</f>
        <v>0</v>
      </c>
      <c r="AD22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22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22" s="125">
        <f>IF(AND(الجدول14[[#This Row],[البرنامج]]="OOSCH",الجدول14[[#This Row],[نوع الجلسة]]=$BZ$7),1,0)</f>
        <v>0</v>
      </c>
      <c r="AG22" s="125">
        <f>IF(AND(الجدول14[[#This Row],[البرنامج]]="OOSCH",الجدول14[[#This Row],[نوع الجلسة]]=$BZ$7),الجدول14[[#This Row],[عدد الذكور]],0)</f>
        <v>0</v>
      </c>
      <c r="AH22" s="125">
        <f>IF(AND(الجدول14[[#This Row],[البرنامج]]="OOSCH",الجدول14[[#This Row],[نوع الجلسة]]=$BZ$7),الجدول14[[#This Row],[عدد الأناث]],0)</f>
        <v>0</v>
      </c>
      <c r="AI22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22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22" s="126">
        <f>IF(AND(الجدول14[[#This Row],[البرنامج]]="OOSCH",الجدول14[[#This Row],[نوع الجلسة]]=$BZ$4),1,0)</f>
        <v>0</v>
      </c>
      <c r="AL22" s="126">
        <f>IF(AND(الجدول14[[#This Row],[البرنامج]]="OOSCH",الجدول14[[#This Row],[نوع الجلسة]]=$BZ$4),الجدول14[[#This Row],[عدد الذكور]],0)</f>
        <v>0</v>
      </c>
      <c r="AM22" s="126">
        <f>IF(AND(الجدول14[[#This Row],[البرنامج]]="OOSCH",الجدول14[[#This Row],[نوع الجلسة]]=$BZ$4),الجدول14[[#This Row],[عدد الأناث]],0)</f>
        <v>0</v>
      </c>
      <c r="AN22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22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22" s="123">
        <f>IF(AND(الجدول14[[#This Row],[نوع الجلسة]]=$BZ$5,الجدول14[[#This Row],[البرنامج]]=$BX$3),1,0)</f>
        <v>0</v>
      </c>
      <c r="AQ22" s="123">
        <f>IF(AND(الجدول14[[#This Row],[البرنامج]]="PLW",الجدول14[[#This Row],[نوع الجلسة]]=$BZ$5),الجدول14[[#This Row],[عدد الذكور]],0)</f>
        <v>0</v>
      </c>
      <c r="AR22" s="123">
        <f>IF(AND(الجدول14[[#This Row],[البرنامج]]="PLW",الجدول14[[#This Row],[نوع الجلسة]]=$BZ$5),الجدول14[[#This Row],[عدد الأناث]],0)</f>
        <v>0</v>
      </c>
      <c r="AS22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22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22" s="127">
        <f>IF(AND(الجدول14[[#This Row],[نوع الجلسة]]=$BZ$5,الجدول14[[#This Row],[البرنامج]]=$BX$2),1,0)</f>
        <v>0</v>
      </c>
      <c r="AV22" s="127">
        <f>IF(AND(الجدول14[[#This Row],[البرنامج]]="OOSCH",الجدول14[[#This Row],[نوع الجلسة]]=$BZ$5),الجدول14[[#This Row],[عدد الذكور]],0)</f>
        <v>0</v>
      </c>
      <c r="AW22" s="127">
        <f>IF(AND(الجدول14[[#This Row],[البرنامج]]="OOSCH",الجدول14[[#This Row],[نوع الجلسة]]=$BZ$5),الجدول14[[#This Row],[عدد الأناث]],0)</f>
        <v>0</v>
      </c>
      <c r="AX22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22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22" s="121">
        <f>IF(AND(الجدول14[[#This Row],[نوع الجلسة]]=$BZ$6,الجدول14[[#This Row],[البرنامج]]=$BX$3),1,0)</f>
        <v>0</v>
      </c>
      <c r="BA22" s="121">
        <f>IF(AND(الجدول14[[#This Row],[البرنامج]]="PLW",الجدول14[[#This Row],[نوع الجلسة]]=$BZ$6),الجدول14[[#This Row],[عدد الذكور]],0)</f>
        <v>0</v>
      </c>
      <c r="BB22" s="121">
        <f>IF(AND(الجدول14[[#This Row],[البرنامج]]="PLW",الجدول14[[#This Row],[نوع الجلسة]]=$BZ$6),الجدول14[[#This Row],[عدد الأناث]],0)</f>
        <v>0</v>
      </c>
      <c r="BC22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22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22" s="122">
        <f>IF(AND(الجدول14[[#This Row],[نوع الجلسة]]=$BZ$6,الجدول14[[#This Row],[البرنامج]]=$BX$2),1,0)</f>
        <v>0</v>
      </c>
      <c r="BF22" s="122">
        <f>IF(AND(الجدول14[[#This Row],[البرنامج]]="OOSCH",الجدول14[[#This Row],[نوع الجلسة]]=$BZ$6),الجدول14[[#This Row],[عدد الذكور]],0)</f>
        <v>0</v>
      </c>
      <c r="BG22" s="122">
        <f>IF(AND(الجدول14[[#This Row],[البرنامج]]="OOSCH",الجدول14[[#This Row],[نوع الجلسة]]=$BZ$6),الجدول14[[#This Row],[عدد الأناث]],0)</f>
        <v>0</v>
      </c>
      <c r="BH22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22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23" spans="4:61" ht="31.5" customHeight="1" x14ac:dyDescent="0.25">
      <c r="D23" s="9"/>
      <c r="E23" s="9"/>
      <c r="F23" s="9"/>
      <c r="G23" s="9"/>
      <c r="H23" s="9"/>
      <c r="I23" s="9"/>
      <c r="J23" s="9"/>
      <c r="K23" s="9">
        <f>SUM(الجدول14[[#This Row],[عدد الذكور]:[عدد الأناث]])</f>
        <v>0</v>
      </c>
      <c r="L23" s="120">
        <f>IF(AND(الجدول14[[#This Row],[البرنامج]]="PLW",الجدول14[[#This Row],[نوع الجلسة]]=$BZ$2),1,0)</f>
        <v>0</v>
      </c>
      <c r="M23" s="120">
        <f>IF(AND(الجدول14[[#This Row],[نوع الجلسة]]=$BZ$2,الجدول14[[#This Row],[البرنامج]]="PLW"),الجدول14[[#This Row],[عدد الذكور]],0)</f>
        <v>0</v>
      </c>
      <c r="N23" s="120">
        <f>IF(AND(الجدول14[[#This Row],[نوع الجلسة]]=$BZ$2,الجدول14[[#This Row],[البرنامج]]="PLW"),الجدول14[[#This Row],[عدد الأناث]],0)</f>
        <v>0</v>
      </c>
      <c r="O23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23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23" s="123">
        <f>IF(AND(الجدول14[[#This Row],[البرنامج]]="OOSCH",الجدول14[[#This Row],[نوع الجلسة]]=$BZ$2),1,0)</f>
        <v>0</v>
      </c>
      <c r="R23" s="123">
        <f>IF(AND(الجدول14[[#This Row],[البرنامج]]="OOSCH",الجدول14[[#This Row],[نوع الجلسة]]=$BZ$2),الجدول14[[#This Row],[عدد الذكور]],0)</f>
        <v>0</v>
      </c>
      <c r="S23" s="123">
        <f>IF(AND(الجدول14[[#This Row],[البرنامج]]="OOSCH",الجدول14[[#This Row],[نوع الجلسة]]=$BZ$2),الجدول14[[#This Row],[عدد الأناث]],0)</f>
        <v>0</v>
      </c>
      <c r="T23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23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23" s="124">
        <f>IF(AND(الجدول14[[#This Row],[البرنامج]]="PLW",الجدول14[[#This Row],[نوع الجلسة]]="معلومات صحة تغذوية للسيدة الحامل"),1,0)</f>
        <v>0</v>
      </c>
      <c r="W23" s="124">
        <f>IF(AND(الجدول14[[#This Row],[نوع الجلسة]]=$BZ$3,الجدول14[[#This Row],[البرنامج]]="PLW"),الجدول14[[#This Row],[عدد الذكور]],0)</f>
        <v>0</v>
      </c>
      <c r="X23" s="124">
        <f>IF(AND(الجدول14[[#This Row],[نوع الجلسة]]=$BZ$3,الجدول14[[#This Row],[البرنامج]]="PLW"),الجدول14[[#This Row],[عدد الأناث]],0)</f>
        <v>0</v>
      </c>
      <c r="Y23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23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23" s="113">
        <f>IF(AND(الجدول14[[#This Row],[البرنامج]]="PLW",الجدول14[[#This Row],[نوع الجلسة]]=$BZ$4),1,0)</f>
        <v>0</v>
      </c>
      <c r="AB23" s="113">
        <f>IF(AND(الجدول14[[#This Row],[البرنامج]]="PLW",الجدول14[[#This Row],[نوع الجلسة]]=$BZ$4),الجدول14[[#This Row],[عدد الذكور]],0)</f>
        <v>0</v>
      </c>
      <c r="AC23" s="113">
        <f>IF(AND(الجدول14[[#This Row],[البرنامج]]="PLW",الجدول14[[#This Row],[نوع الجلسة]]=$BZ$4),الجدول14[[#This Row],[عدد الأناث]],0)</f>
        <v>0</v>
      </c>
      <c r="AD23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23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23" s="125">
        <f>IF(AND(الجدول14[[#This Row],[البرنامج]]="OOSCH",الجدول14[[#This Row],[نوع الجلسة]]=$BZ$7),1,0)</f>
        <v>0</v>
      </c>
      <c r="AG23" s="125">
        <f>IF(AND(الجدول14[[#This Row],[البرنامج]]="OOSCH",الجدول14[[#This Row],[نوع الجلسة]]=$BZ$7),الجدول14[[#This Row],[عدد الذكور]],0)</f>
        <v>0</v>
      </c>
      <c r="AH23" s="125">
        <f>IF(AND(الجدول14[[#This Row],[البرنامج]]="OOSCH",الجدول14[[#This Row],[نوع الجلسة]]=$BZ$7),الجدول14[[#This Row],[عدد الأناث]],0)</f>
        <v>0</v>
      </c>
      <c r="AI23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23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23" s="126">
        <f>IF(AND(الجدول14[[#This Row],[البرنامج]]="OOSCH",الجدول14[[#This Row],[نوع الجلسة]]=$BZ$4),1,0)</f>
        <v>0</v>
      </c>
      <c r="AL23" s="126">
        <f>IF(AND(الجدول14[[#This Row],[البرنامج]]="OOSCH",الجدول14[[#This Row],[نوع الجلسة]]=$BZ$4),الجدول14[[#This Row],[عدد الذكور]],0)</f>
        <v>0</v>
      </c>
      <c r="AM23" s="126">
        <f>IF(AND(الجدول14[[#This Row],[البرنامج]]="OOSCH",الجدول14[[#This Row],[نوع الجلسة]]=$BZ$4),الجدول14[[#This Row],[عدد الأناث]],0)</f>
        <v>0</v>
      </c>
      <c r="AN23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23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23" s="123">
        <f>IF(AND(الجدول14[[#This Row],[نوع الجلسة]]=$BZ$5,الجدول14[[#This Row],[البرنامج]]=$BX$3),1,0)</f>
        <v>0</v>
      </c>
      <c r="AQ23" s="123">
        <f>IF(AND(الجدول14[[#This Row],[البرنامج]]="PLW",الجدول14[[#This Row],[نوع الجلسة]]=$BZ$5),الجدول14[[#This Row],[عدد الذكور]],0)</f>
        <v>0</v>
      </c>
      <c r="AR23" s="123">
        <f>IF(AND(الجدول14[[#This Row],[البرنامج]]="PLW",الجدول14[[#This Row],[نوع الجلسة]]=$BZ$5),الجدول14[[#This Row],[عدد الأناث]],0)</f>
        <v>0</v>
      </c>
      <c r="AS23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23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23" s="127">
        <f>IF(AND(الجدول14[[#This Row],[نوع الجلسة]]=$BZ$5,الجدول14[[#This Row],[البرنامج]]=$BX$2),1,0)</f>
        <v>0</v>
      </c>
      <c r="AV23" s="127">
        <f>IF(AND(الجدول14[[#This Row],[البرنامج]]="OOSCH",الجدول14[[#This Row],[نوع الجلسة]]=$BZ$5),الجدول14[[#This Row],[عدد الذكور]],0)</f>
        <v>0</v>
      </c>
      <c r="AW23" s="127">
        <f>IF(AND(الجدول14[[#This Row],[البرنامج]]="OOSCH",الجدول14[[#This Row],[نوع الجلسة]]=$BZ$5),الجدول14[[#This Row],[عدد الأناث]],0)</f>
        <v>0</v>
      </c>
      <c r="AX23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23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23" s="121">
        <f>IF(AND(الجدول14[[#This Row],[نوع الجلسة]]=$BZ$6,الجدول14[[#This Row],[البرنامج]]=$BX$3),1,0)</f>
        <v>0</v>
      </c>
      <c r="BA23" s="121">
        <f>IF(AND(الجدول14[[#This Row],[البرنامج]]="PLW",الجدول14[[#This Row],[نوع الجلسة]]=$BZ$6),الجدول14[[#This Row],[عدد الذكور]],0)</f>
        <v>0</v>
      </c>
      <c r="BB23" s="121">
        <f>IF(AND(الجدول14[[#This Row],[البرنامج]]="PLW",الجدول14[[#This Row],[نوع الجلسة]]=$BZ$6),الجدول14[[#This Row],[عدد الأناث]],0)</f>
        <v>0</v>
      </c>
      <c r="BC23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23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23" s="122">
        <f>IF(AND(الجدول14[[#This Row],[نوع الجلسة]]=$BZ$6,الجدول14[[#This Row],[البرنامج]]=$BX$2),1,0)</f>
        <v>0</v>
      </c>
      <c r="BF23" s="122">
        <f>IF(AND(الجدول14[[#This Row],[البرنامج]]="OOSCH",الجدول14[[#This Row],[نوع الجلسة]]=$BZ$6),الجدول14[[#This Row],[عدد الذكور]],0)</f>
        <v>0</v>
      </c>
      <c r="BG23" s="122">
        <f>IF(AND(الجدول14[[#This Row],[البرنامج]]="OOSCH",الجدول14[[#This Row],[نوع الجلسة]]=$BZ$6),الجدول14[[#This Row],[عدد الأناث]],0)</f>
        <v>0</v>
      </c>
      <c r="BH23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23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24" spans="4:61" ht="31.5" customHeight="1" x14ac:dyDescent="0.25">
      <c r="D24" s="9"/>
      <c r="E24" s="9"/>
      <c r="F24" s="9"/>
      <c r="G24" s="9"/>
      <c r="H24" s="9"/>
      <c r="I24" s="9"/>
      <c r="J24" s="9"/>
      <c r="K24" s="9">
        <f>SUM(الجدول14[[#This Row],[عدد الذكور]:[عدد الأناث]])</f>
        <v>0</v>
      </c>
      <c r="L24" s="120">
        <f>IF(AND(الجدول14[[#This Row],[البرنامج]]="PLW",الجدول14[[#This Row],[نوع الجلسة]]=$BZ$2),1,0)</f>
        <v>0</v>
      </c>
      <c r="M24" s="120">
        <f>IF(AND(الجدول14[[#This Row],[نوع الجلسة]]=$BZ$2,الجدول14[[#This Row],[البرنامج]]="PLW"),الجدول14[[#This Row],[عدد الذكور]],0)</f>
        <v>0</v>
      </c>
      <c r="N24" s="120">
        <f>IF(AND(الجدول14[[#This Row],[نوع الجلسة]]=$BZ$2,الجدول14[[#This Row],[البرنامج]]="PLW"),الجدول14[[#This Row],[عدد الأناث]],0)</f>
        <v>0</v>
      </c>
      <c r="O24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24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24" s="123">
        <f>IF(AND(الجدول14[[#This Row],[البرنامج]]="OOSCH",الجدول14[[#This Row],[نوع الجلسة]]=$BZ$2),1,0)</f>
        <v>0</v>
      </c>
      <c r="R24" s="123">
        <f>IF(AND(الجدول14[[#This Row],[البرنامج]]="OOSCH",الجدول14[[#This Row],[نوع الجلسة]]=$BZ$2),الجدول14[[#This Row],[عدد الذكور]],0)</f>
        <v>0</v>
      </c>
      <c r="S24" s="123">
        <f>IF(AND(الجدول14[[#This Row],[البرنامج]]="OOSCH",الجدول14[[#This Row],[نوع الجلسة]]=$BZ$2),الجدول14[[#This Row],[عدد الأناث]],0)</f>
        <v>0</v>
      </c>
      <c r="T24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24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24" s="124">
        <f>IF(AND(الجدول14[[#This Row],[البرنامج]]="PLW",الجدول14[[#This Row],[نوع الجلسة]]="معلومات صحة تغذوية للسيدة الحامل"),1,0)</f>
        <v>0</v>
      </c>
      <c r="W24" s="124">
        <f>IF(AND(الجدول14[[#This Row],[نوع الجلسة]]=$BZ$3,الجدول14[[#This Row],[البرنامج]]="PLW"),الجدول14[[#This Row],[عدد الذكور]],0)</f>
        <v>0</v>
      </c>
      <c r="X24" s="124">
        <f>IF(AND(الجدول14[[#This Row],[نوع الجلسة]]=$BZ$3,الجدول14[[#This Row],[البرنامج]]="PLW"),الجدول14[[#This Row],[عدد الأناث]],0)</f>
        <v>0</v>
      </c>
      <c r="Y24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24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24" s="113">
        <f>IF(AND(الجدول14[[#This Row],[البرنامج]]="PLW",الجدول14[[#This Row],[نوع الجلسة]]=$BZ$4),1,0)</f>
        <v>0</v>
      </c>
      <c r="AB24" s="113">
        <f>IF(AND(الجدول14[[#This Row],[البرنامج]]="PLW",الجدول14[[#This Row],[نوع الجلسة]]=$BZ$4),الجدول14[[#This Row],[عدد الذكور]],0)</f>
        <v>0</v>
      </c>
      <c r="AC24" s="113">
        <f>IF(AND(الجدول14[[#This Row],[البرنامج]]="PLW",الجدول14[[#This Row],[نوع الجلسة]]=$BZ$4),الجدول14[[#This Row],[عدد الأناث]],0)</f>
        <v>0</v>
      </c>
      <c r="AD24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24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24" s="125">
        <f>IF(AND(الجدول14[[#This Row],[البرنامج]]="OOSCH",الجدول14[[#This Row],[نوع الجلسة]]=$BZ$7),1,0)</f>
        <v>0</v>
      </c>
      <c r="AG24" s="125">
        <f>IF(AND(الجدول14[[#This Row],[البرنامج]]="OOSCH",الجدول14[[#This Row],[نوع الجلسة]]=$BZ$7),الجدول14[[#This Row],[عدد الذكور]],0)</f>
        <v>0</v>
      </c>
      <c r="AH24" s="125">
        <f>IF(AND(الجدول14[[#This Row],[البرنامج]]="OOSCH",الجدول14[[#This Row],[نوع الجلسة]]=$BZ$7),الجدول14[[#This Row],[عدد الأناث]],0)</f>
        <v>0</v>
      </c>
      <c r="AI24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24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24" s="126">
        <f>IF(AND(الجدول14[[#This Row],[البرنامج]]="OOSCH",الجدول14[[#This Row],[نوع الجلسة]]=$BZ$4),1,0)</f>
        <v>0</v>
      </c>
      <c r="AL24" s="126">
        <f>IF(AND(الجدول14[[#This Row],[البرنامج]]="OOSCH",الجدول14[[#This Row],[نوع الجلسة]]=$BZ$4),الجدول14[[#This Row],[عدد الذكور]],0)</f>
        <v>0</v>
      </c>
      <c r="AM24" s="126">
        <f>IF(AND(الجدول14[[#This Row],[البرنامج]]="OOSCH",الجدول14[[#This Row],[نوع الجلسة]]=$BZ$4),الجدول14[[#This Row],[عدد الأناث]],0)</f>
        <v>0</v>
      </c>
      <c r="AN24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24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24" s="123">
        <f>IF(AND(الجدول14[[#This Row],[نوع الجلسة]]=$BZ$5,الجدول14[[#This Row],[البرنامج]]=$BX$3),1,0)</f>
        <v>0</v>
      </c>
      <c r="AQ24" s="123">
        <f>IF(AND(الجدول14[[#This Row],[البرنامج]]="PLW",الجدول14[[#This Row],[نوع الجلسة]]=$BZ$5),الجدول14[[#This Row],[عدد الذكور]],0)</f>
        <v>0</v>
      </c>
      <c r="AR24" s="123">
        <f>IF(AND(الجدول14[[#This Row],[البرنامج]]="PLW",الجدول14[[#This Row],[نوع الجلسة]]=$BZ$5),الجدول14[[#This Row],[عدد الأناث]],0)</f>
        <v>0</v>
      </c>
      <c r="AS24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24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24" s="127">
        <f>IF(AND(الجدول14[[#This Row],[نوع الجلسة]]=$BZ$5,الجدول14[[#This Row],[البرنامج]]=$BX$2),1,0)</f>
        <v>0</v>
      </c>
      <c r="AV24" s="127">
        <f>IF(AND(الجدول14[[#This Row],[البرنامج]]="OOSCH",الجدول14[[#This Row],[نوع الجلسة]]=$BZ$5),الجدول14[[#This Row],[عدد الذكور]],0)</f>
        <v>0</v>
      </c>
      <c r="AW24" s="127">
        <f>IF(AND(الجدول14[[#This Row],[البرنامج]]="OOSCH",الجدول14[[#This Row],[نوع الجلسة]]=$BZ$5),الجدول14[[#This Row],[عدد الأناث]],0)</f>
        <v>0</v>
      </c>
      <c r="AX24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24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24" s="121">
        <f>IF(AND(الجدول14[[#This Row],[نوع الجلسة]]=$BZ$6,الجدول14[[#This Row],[البرنامج]]=$BX$3),1,0)</f>
        <v>0</v>
      </c>
      <c r="BA24" s="121">
        <f>IF(AND(الجدول14[[#This Row],[البرنامج]]="PLW",الجدول14[[#This Row],[نوع الجلسة]]=$BZ$6),الجدول14[[#This Row],[عدد الذكور]],0)</f>
        <v>0</v>
      </c>
      <c r="BB24" s="121">
        <f>IF(AND(الجدول14[[#This Row],[البرنامج]]="PLW",الجدول14[[#This Row],[نوع الجلسة]]=$BZ$6),الجدول14[[#This Row],[عدد الأناث]],0)</f>
        <v>0</v>
      </c>
      <c r="BC24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24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24" s="122">
        <f>IF(AND(الجدول14[[#This Row],[نوع الجلسة]]=$BZ$6,الجدول14[[#This Row],[البرنامج]]=$BX$2),1,0)</f>
        <v>0</v>
      </c>
      <c r="BF24" s="122">
        <f>IF(AND(الجدول14[[#This Row],[البرنامج]]="OOSCH",الجدول14[[#This Row],[نوع الجلسة]]=$BZ$6),الجدول14[[#This Row],[عدد الذكور]],0)</f>
        <v>0</v>
      </c>
      <c r="BG24" s="122">
        <f>IF(AND(الجدول14[[#This Row],[البرنامج]]="OOSCH",الجدول14[[#This Row],[نوع الجلسة]]=$BZ$6),الجدول14[[#This Row],[عدد الأناث]],0)</f>
        <v>0</v>
      </c>
      <c r="BH24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24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25" spans="4:61" ht="31.5" customHeight="1" x14ac:dyDescent="0.25">
      <c r="D25" s="9"/>
      <c r="E25" s="9"/>
      <c r="F25" s="9"/>
      <c r="G25" s="9"/>
      <c r="H25" s="9"/>
      <c r="I25" s="9"/>
      <c r="J25" s="9"/>
      <c r="K25" s="9">
        <f>SUM(الجدول14[[#This Row],[عدد الذكور]:[عدد الأناث]])</f>
        <v>0</v>
      </c>
      <c r="L25" s="120">
        <f>IF(AND(الجدول14[[#This Row],[البرنامج]]="PLW",الجدول14[[#This Row],[نوع الجلسة]]=$BZ$2),1,0)</f>
        <v>0</v>
      </c>
      <c r="M25" s="120">
        <f>IF(AND(الجدول14[[#This Row],[نوع الجلسة]]=$BZ$2,الجدول14[[#This Row],[البرنامج]]="PLW"),الجدول14[[#This Row],[عدد الذكور]],0)</f>
        <v>0</v>
      </c>
      <c r="N25" s="120">
        <f>IF(AND(الجدول14[[#This Row],[نوع الجلسة]]=$BZ$2,الجدول14[[#This Row],[البرنامج]]="PLW"),الجدول14[[#This Row],[عدد الأناث]],0)</f>
        <v>0</v>
      </c>
      <c r="O25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25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25" s="123">
        <f>IF(AND(الجدول14[[#This Row],[البرنامج]]="OOSCH",الجدول14[[#This Row],[نوع الجلسة]]=$BZ$2),1,0)</f>
        <v>0</v>
      </c>
      <c r="R25" s="123">
        <f>IF(AND(الجدول14[[#This Row],[البرنامج]]="OOSCH",الجدول14[[#This Row],[نوع الجلسة]]=$BZ$2),الجدول14[[#This Row],[عدد الذكور]],0)</f>
        <v>0</v>
      </c>
      <c r="S25" s="123">
        <f>IF(AND(الجدول14[[#This Row],[البرنامج]]="OOSCH",الجدول14[[#This Row],[نوع الجلسة]]=$BZ$2),الجدول14[[#This Row],[عدد الأناث]],0)</f>
        <v>0</v>
      </c>
      <c r="T25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25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25" s="124">
        <f>IF(AND(الجدول14[[#This Row],[البرنامج]]="PLW",الجدول14[[#This Row],[نوع الجلسة]]="معلومات صحة تغذوية للسيدة الحامل"),1,0)</f>
        <v>0</v>
      </c>
      <c r="W25" s="124">
        <f>IF(AND(الجدول14[[#This Row],[نوع الجلسة]]=$BZ$3,الجدول14[[#This Row],[البرنامج]]="PLW"),الجدول14[[#This Row],[عدد الذكور]],0)</f>
        <v>0</v>
      </c>
      <c r="X25" s="124">
        <f>IF(AND(الجدول14[[#This Row],[نوع الجلسة]]=$BZ$3,الجدول14[[#This Row],[البرنامج]]="PLW"),الجدول14[[#This Row],[عدد الأناث]],0)</f>
        <v>0</v>
      </c>
      <c r="Y25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25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25" s="113">
        <f>IF(AND(الجدول14[[#This Row],[البرنامج]]="PLW",الجدول14[[#This Row],[نوع الجلسة]]=$BZ$4),1,0)</f>
        <v>0</v>
      </c>
      <c r="AB25" s="113">
        <f>IF(AND(الجدول14[[#This Row],[البرنامج]]="PLW",الجدول14[[#This Row],[نوع الجلسة]]=$BZ$4),الجدول14[[#This Row],[عدد الذكور]],0)</f>
        <v>0</v>
      </c>
      <c r="AC25" s="113">
        <f>IF(AND(الجدول14[[#This Row],[البرنامج]]="PLW",الجدول14[[#This Row],[نوع الجلسة]]=$BZ$4),الجدول14[[#This Row],[عدد الأناث]],0)</f>
        <v>0</v>
      </c>
      <c r="AD25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25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25" s="125">
        <f>IF(AND(الجدول14[[#This Row],[البرنامج]]="OOSCH",الجدول14[[#This Row],[نوع الجلسة]]=$BZ$7),1,0)</f>
        <v>0</v>
      </c>
      <c r="AG25" s="125">
        <f>IF(AND(الجدول14[[#This Row],[البرنامج]]="OOSCH",الجدول14[[#This Row],[نوع الجلسة]]=$BZ$7),الجدول14[[#This Row],[عدد الذكور]],0)</f>
        <v>0</v>
      </c>
      <c r="AH25" s="125">
        <f>IF(AND(الجدول14[[#This Row],[البرنامج]]="OOSCH",الجدول14[[#This Row],[نوع الجلسة]]=$BZ$7),الجدول14[[#This Row],[عدد الأناث]],0)</f>
        <v>0</v>
      </c>
      <c r="AI25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25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25" s="126">
        <f>IF(AND(الجدول14[[#This Row],[البرنامج]]="OOSCH",الجدول14[[#This Row],[نوع الجلسة]]=$BZ$4),1,0)</f>
        <v>0</v>
      </c>
      <c r="AL25" s="126">
        <f>IF(AND(الجدول14[[#This Row],[البرنامج]]="OOSCH",الجدول14[[#This Row],[نوع الجلسة]]=$BZ$4),الجدول14[[#This Row],[عدد الذكور]],0)</f>
        <v>0</v>
      </c>
      <c r="AM25" s="126">
        <f>IF(AND(الجدول14[[#This Row],[البرنامج]]="OOSCH",الجدول14[[#This Row],[نوع الجلسة]]=$BZ$4),الجدول14[[#This Row],[عدد الأناث]],0)</f>
        <v>0</v>
      </c>
      <c r="AN25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25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25" s="123">
        <f>IF(AND(الجدول14[[#This Row],[نوع الجلسة]]=$BZ$5,الجدول14[[#This Row],[البرنامج]]=$BX$3),1,0)</f>
        <v>0</v>
      </c>
      <c r="AQ25" s="123">
        <f>IF(AND(الجدول14[[#This Row],[البرنامج]]="PLW",الجدول14[[#This Row],[نوع الجلسة]]=$BZ$5),الجدول14[[#This Row],[عدد الذكور]],0)</f>
        <v>0</v>
      </c>
      <c r="AR25" s="123">
        <f>IF(AND(الجدول14[[#This Row],[البرنامج]]="PLW",الجدول14[[#This Row],[نوع الجلسة]]=$BZ$5),الجدول14[[#This Row],[عدد الأناث]],0)</f>
        <v>0</v>
      </c>
      <c r="AS25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25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25" s="127">
        <f>IF(AND(الجدول14[[#This Row],[نوع الجلسة]]=$BZ$5,الجدول14[[#This Row],[البرنامج]]=$BX$2),1,0)</f>
        <v>0</v>
      </c>
      <c r="AV25" s="127">
        <f>IF(AND(الجدول14[[#This Row],[البرنامج]]="OOSCH",الجدول14[[#This Row],[نوع الجلسة]]=$BZ$5),الجدول14[[#This Row],[عدد الذكور]],0)</f>
        <v>0</v>
      </c>
      <c r="AW25" s="127">
        <f>IF(AND(الجدول14[[#This Row],[البرنامج]]="OOSCH",الجدول14[[#This Row],[نوع الجلسة]]=$BZ$5),الجدول14[[#This Row],[عدد الأناث]],0)</f>
        <v>0</v>
      </c>
      <c r="AX25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25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25" s="121">
        <f>IF(AND(الجدول14[[#This Row],[نوع الجلسة]]=$BZ$6,الجدول14[[#This Row],[البرنامج]]=$BX$3),1,0)</f>
        <v>0</v>
      </c>
      <c r="BA25" s="121">
        <f>IF(AND(الجدول14[[#This Row],[البرنامج]]="PLW",الجدول14[[#This Row],[نوع الجلسة]]=$BZ$6),الجدول14[[#This Row],[عدد الذكور]],0)</f>
        <v>0</v>
      </c>
      <c r="BB25" s="121">
        <f>IF(AND(الجدول14[[#This Row],[البرنامج]]="PLW",الجدول14[[#This Row],[نوع الجلسة]]=$BZ$6),الجدول14[[#This Row],[عدد الأناث]],0)</f>
        <v>0</v>
      </c>
      <c r="BC25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25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25" s="122">
        <f>IF(AND(الجدول14[[#This Row],[نوع الجلسة]]=$BZ$6,الجدول14[[#This Row],[البرنامج]]=$BX$2),1,0)</f>
        <v>0</v>
      </c>
      <c r="BF25" s="122">
        <f>IF(AND(الجدول14[[#This Row],[البرنامج]]="OOSCH",الجدول14[[#This Row],[نوع الجلسة]]=$BZ$6),الجدول14[[#This Row],[عدد الذكور]],0)</f>
        <v>0</v>
      </c>
      <c r="BG25" s="122">
        <f>IF(AND(الجدول14[[#This Row],[البرنامج]]="OOSCH",الجدول14[[#This Row],[نوع الجلسة]]=$BZ$6),الجدول14[[#This Row],[عدد الأناث]],0)</f>
        <v>0</v>
      </c>
      <c r="BH25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25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26" spans="4:61" ht="31.5" customHeight="1" x14ac:dyDescent="0.25">
      <c r="D26" s="9"/>
      <c r="E26" s="9"/>
      <c r="F26" s="9"/>
      <c r="G26" s="9"/>
      <c r="H26" s="9"/>
      <c r="I26" s="9"/>
      <c r="J26" s="9"/>
      <c r="K26" s="9">
        <f>SUM(الجدول14[[#This Row],[عدد الذكور]:[عدد الأناث]])</f>
        <v>0</v>
      </c>
      <c r="L26" s="120">
        <f>IF(AND(الجدول14[[#This Row],[البرنامج]]="PLW",الجدول14[[#This Row],[نوع الجلسة]]=$BZ$2),1,0)</f>
        <v>0</v>
      </c>
      <c r="M26" s="120">
        <f>IF(AND(الجدول14[[#This Row],[نوع الجلسة]]=$BZ$2,الجدول14[[#This Row],[البرنامج]]="PLW"),الجدول14[[#This Row],[عدد الذكور]],0)</f>
        <v>0</v>
      </c>
      <c r="N26" s="120">
        <f>IF(AND(الجدول14[[#This Row],[نوع الجلسة]]=$BZ$2,الجدول14[[#This Row],[البرنامج]]="PLW"),الجدول14[[#This Row],[عدد الأناث]],0)</f>
        <v>0</v>
      </c>
      <c r="O26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26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26" s="123">
        <f>IF(AND(الجدول14[[#This Row],[البرنامج]]="OOSCH",الجدول14[[#This Row],[نوع الجلسة]]=$BZ$2),1,0)</f>
        <v>0</v>
      </c>
      <c r="R26" s="123">
        <f>IF(AND(الجدول14[[#This Row],[البرنامج]]="OOSCH",الجدول14[[#This Row],[نوع الجلسة]]=$BZ$2),الجدول14[[#This Row],[عدد الذكور]],0)</f>
        <v>0</v>
      </c>
      <c r="S26" s="123">
        <f>IF(AND(الجدول14[[#This Row],[البرنامج]]="OOSCH",الجدول14[[#This Row],[نوع الجلسة]]=$BZ$2),الجدول14[[#This Row],[عدد الأناث]],0)</f>
        <v>0</v>
      </c>
      <c r="T26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26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26" s="124">
        <f>IF(AND(الجدول14[[#This Row],[البرنامج]]="PLW",الجدول14[[#This Row],[نوع الجلسة]]="معلومات صحة تغذوية للسيدة الحامل"),1,0)</f>
        <v>0</v>
      </c>
      <c r="W26" s="124">
        <f>IF(AND(الجدول14[[#This Row],[نوع الجلسة]]=$BZ$3,الجدول14[[#This Row],[البرنامج]]="PLW"),الجدول14[[#This Row],[عدد الذكور]],0)</f>
        <v>0</v>
      </c>
      <c r="X26" s="124">
        <f>IF(AND(الجدول14[[#This Row],[نوع الجلسة]]=$BZ$3,الجدول14[[#This Row],[البرنامج]]="PLW"),الجدول14[[#This Row],[عدد الأناث]],0)</f>
        <v>0</v>
      </c>
      <c r="Y26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26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26" s="113">
        <f>IF(AND(الجدول14[[#This Row],[البرنامج]]="PLW",الجدول14[[#This Row],[نوع الجلسة]]=$BZ$4),1,0)</f>
        <v>0</v>
      </c>
      <c r="AB26" s="113">
        <f>IF(AND(الجدول14[[#This Row],[البرنامج]]="PLW",الجدول14[[#This Row],[نوع الجلسة]]=$BZ$4),الجدول14[[#This Row],[عدد الذكور]],0)</f>
        <v>0</v>
      </c>
      <c r="AC26" s="113">
        <f>IF(AND(الجدول14[[#This Row],[البرنامج]]="PLW",الجدول14[[#This Row],[نوع الجلسة]]=$BZ$4),الجدول14[[#This Row],[عدد الأناث]],0)</f>
        <v>0</v>
      </c>
      <c r="AD26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26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26" s="125">
        <f>IF(AND(الجدول14[[#This Row],[البرنامج]]="OOSCH",الجدول14[[#This Row],[نوع الجلسة]]=$BZ$7),1,0)</f>
        <v>0</v>
      </c>
      <c r="AG26" s="125">
        <f>IF(AND(الجدول14[[#This Row],[البرنامج]]="OOSCH",الجدول14[[#This Row],[نوع الجلسة]]=$BZ$7),الجدول14[[#This Row],[عدد الذكور]],0)</f>
        <v>0</v>
      </c>
      <c r="AH26" s="125">
        <f>IF(AND(الجدول14[[#This Row],[البرنامج]]="OOSCH",الجدول14[[#This Row],[نوع الجلسة]]=$BZ$7),الجدول14[[#This Row],[عدد الأناث]],0)</f>
        <v>0</v>
      </c>
      <c r="AI26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26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26" s="126">
        <f>IF(AND(الجدول14[[#This Row],[البرنامج]]="OOSCH",الجدول14[[#This Row],[نوع الجلسة]]=$BZ$4),1,0)</f>
        <v>0</v>
      </c>
      <c r="AL26" s="126">
        <f>IF(AND(الجدول14[[#This Row],[البرنامج]]="OOSCH",الجدول14[[#This Row],[نوع الجلسة]]=$BZ$4),الجدول14[[#This Row],[عدد الذكور]],0)</f>
        <v>0</v>
      </c>
      <c r="AM26" s="126">
        <f>IF(AND(الجدول14[[#This Row],[البرنامج]]="OOSCH",الجدول14[[#This Row],[نوع الجلسة]]=$BZ$4),الجدول14[[#This Row],[عدد الأناث]],0)</f>
        <v>0</v>
      </c>
      <c r="AN26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26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26" s="123">
        <f>IF(AND(الجدول14[[#This Row],[نوع الجلسة]]=$BZ$5,الجدول14[[#This Row],[البرنامج]]=$BX$3),1,0)</f>
        <v>0</v>
      </c>
      <c r="AQ26" s="123">
        <f>IF(AND(الجدول14[[#This Row],[البرنامج]]="PLW",الجدول14[[#This Row],[نوع الجلسة]]=$BZ$5),الجدول14[[#This Row],[عدد الذكور]],0)</f>
        <v>0</v>
      </c>
      <c r="AR26" s="123">
        <f>IF(AND(الجدول14[[#This Row],[البرنامج]]="PLW",الجدول14[[#This Row],[نوع الجلسة]]=$BZ$5),الجدول14[[#This Row],[عدد الأناث]],0)</f>
        <v>0</v>
      </c>
      <c r="AS26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26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26" s="127">
        <f>IF(AND(الجدول14[[#This Row],[نوع الجلسة]]=$BZ$5,الجدول14[[#This Row],[البرنامج]]=$BX$2),1,0)</f>
        <v>0</v>
      </c>
      <c r="AV26" s="127">
        <f>IF(AND(الجدول14[[#This Row],[البرنامج]]="OOSCH",الجدول14[[#This Row],[نوع الجلسة]]=$BZ$5),الجدول14[[#This Row],[عدد الذكور]],0)</f>
        <v>0</v>
      </c>
      <c r="AW26" s="127">
        <f>IF(AND(الجدول14[[#This Row],[البرنامج]]="OOSCH",الجدول14[[#This Row],[نوع الجلسة]]=$BZ$5),الجدول14[[#This Row],[عدد الأناث]],0)</f>
        <v>0</v>
      </c>
      <c r="AX26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26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26" s="121">
        <f>IF(AND(الجدول14[[#This Row],[نوع الجلسة]]=$BZ$6,الجدول14[[#This Row],[البرنامج]]=$BX$3),1,0)</f>
        <v>0</v>
      </c>
      <c r="BA26" s="121">
        <f>IF(AND(الجدول14[[#This Row],[البرنامج]]="PLW",الجدول14[[#This Row],[نوع الجلسة]]=$BZ$6),الجدول14[[#This Row],[عدد الذكور]],0)</f>
        <v>0</v>
      </c>
      <c r="BB26" s="121">
        <f>IF(AND(الجدول14[[#This Row],[البرنامج]]="PLW",الجدول14[[#This Row],[نوع الجلسة]]=$BZ$6),الجدول14[[#This Row],[عدد الأناث]],0)</f>
        <v>0</v>
      </c>
      <c r="BC26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26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26" s="122">
        <f>IF(AND(الجدول14[[#This Row],[نوع الجلسة]]=$BZ$6,الجدول14[[#This Row],[البرنامج]]=$BX$2),1,0)</f>
        <v>0</v>
      </c>
      <c r="BF26" s="122">
        <f>IF(AND(الجدول14[[#This Row],[البرنامج]]="OOSCH",الجدول14[[#This Row],[نوع الجلسة]]=$BZ$6),الجدول14[[#This Row],[عدد الذكور]],0)</f>
        <v>0</v>
      </c>
      <c r="BG26" s="122">
        <f>IF(AND(الجدول14[[#This Row],[البرنامج]]="OOSCH",الجدول14[[#This Row],[نوع الجلسة]]=$BZ$6),الجدول14[[#This Row],[عدد الأناث]],0)</f>
        <v>0</v>
      </c>
      <c r="BH26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26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27" spans="4:61" ht="31.5" customHeight="1" x14ac:dyDescent="0.25">
      <c r="D27" s="9"/>
      <c r="E27" s="9"/>
      <c r="F27" s="9"/>
      <c r="G27" s="9"/>
      <c r="H27" s="9"/>
      <c r="I27" s="9"/>
      <c r="J27" s="9"/>
      <c r="K27" s="9">
        <f>SUM(الجدول14[[#This Row],[عدد الذكور]:[عدد الأناث]])</f>
        <v>0</v>
      </c>
      <c r="L27" s="120">
        <f>IF(AND(الجدول14[[#This Row],[البرنامج]]="PLW",الجدول14[[#This Row],[نوع الجلسة]]=$BZ$2),1,0)</f>
        <v>0</v>
      </c>
      <c r="M27" s="120">
        <f>IF(AND(الجدول14[[#This Row],[نوع الجلسة]]=$BZ$2,الجدول14[[#This Row],[البرنامج]]="PLW"),الجدول14[[#This Row],[عدد الذكور]],0)</f>
        <v>0</v>
      </c>
      <c r="N27" s="120">
        <f>IF(AND(الجدول14[[#This Row],[نوع الجلسة]]=$BZ$2,الجدول14[[#This Row],[البرنامج]]="PLW"),الجدول14[[#This Row],[عدد الأناث]],0)</f>
        <v>0</v>
      </c>
      <c r="O27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27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27" s="123">
        <f>IF(AND(الجدول14[[#This Row],[البرنامج]]="OOSCH",الجدول14[[#This Row],[نوع الجلسة]]=$BZ$2),1,0)</f>
        <v>0</v>
      </c>
      <c r="R27" s="123">
        <f>IF(AND(الجدول14[[#This Row],[البرنامج]]="OOSCH",الجدول14[[#This Row],[نوع الجلسة]]=$BZ$2),الجدول14[[#This Row],[عدد الذكور]],0)</f>
        <v>0</v>
      </c>
      <c r="S27" s="123">
        <f>IF(AND(الجدول14[[#This Row],[البرنامج]]="OOSCH",الجدول14[[#This Row],[نوع الجلسة]]=$BZ$2),الجدول14[[#This Row],[عدد الأناث]],0)</f>
        <v>0</v>
      </c>
      <c r="T27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27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27" s="124">
        <f>IF(AND(الجدول14[[#This Row],[البرنامج]]="PLW",الجدول14[[#This Row],[نوع الجلسة]]="معلومات صحة تغذوية للسيدة الحامل"),1,0)</f>
        <v>0</v>
      </c>
      <c r="W27" s="124">
        <f>IF(AND(الجدول14[[#This Row],[نوع الجلسة]]=$BZ$3,الجدول14[[#This Row],[البرنامج]]="PLW"),الجدول14[[#This Row],[عدد الذكور]],0)</f>
        <v>0</v>
      </c>
      <c r="X27" s="124">
        <f>IF(AND(الجدول14[[#This Row],[نوع الجلسة]]=$BZ$3,الجدول14[[#This Row],[البرنامج]]="PLW"),الجدول14[[#This Row],[عدد الأناث]],0)</f>
        <v>0</v>
      </c>
      <c r="Y27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27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27" s="113">
        <f>IF(AND(الجدول14[[#This Row],[البرنامج]]="PLW",الجدول14[[#This Row],[نوع الجلسة]]=$BZ$4),1,0)</f>
        <v>0</v>
      </c>
      <c r="AB27" s="113">
        <f>IF(AND(الجدول14[[#This Row],[البرنامج]]="PLW",الجدول14[[#This Row],[نوع الجلسة]]=$BZ$4),الجدول14[[#This Row],[عدد الذكور]],0)</f>
        <v>0</v>
      </c>
      <c r="AC27" s="113">
        <f>IF(AND(الجدول14[[#This Row],[البرنامج]]="PLW",الجدول14[[#This Row],[نوع الجلسة]]=$BZ$4),الجدول14[[#This Row],[عدد الأناث]],0)</f>
        <v>0</v>
      </c>
      <c r="AD27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27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27" s="125">
        <f>IF(AND(الجدول14[[#This Row],[البرنامج]]="OOSCH",الجدول14[[#This Row],[نوع الجلسة]]=$BZ$7),1,0)</f>
        <v>0</v>
      </c>
      <c r="AG27" s="125">
        <f>IF(AND(الجدول14[[#This Row],[البرنامج]]="OOSCH",الجدول14[[#This Row],[نوع الجلسة]]=$BZ$7),الجدول14[[#This Row],[عدد الذكور]],0)</f>
        <v>0</v>
      </c>
      <c r="AH27" s="125">
        <f>IF(AND(الجدول14[[#This Row],[البرنامج]]="OOSCH",الجدول14[[#This Row],[نوع الجلسة]]=$BZ$7),الجدول14[[#This Row],[عدد الأناث]],0)</f>
        <v>0</v>
      </c>
      <c r="AI27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27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27" s="126">
        <f>IF(AND(الجدول14[[#This Row],[البرنامج]]="OOSCH",الجدول14[[#This Row],[نوع الجلسة]]=$BZ$4),1,0)</f>
        <v>0</v>
      </c>
      <c r="AL27" s="126">
        <f>IF(AND(الجدول14[[#This Row],[البرنامج]]="OOSCH",الجدول14[[#This Row],[نوع الجلسة]]=$BZ$4),الجدول14[[#This Row],[عدد الذكور]],0)</f>
        <v>0</v>
      </c>
      <c r="AM27" s="126">
        <f>IF(AND(الجدول14[[#This Row],[البرنامج]]="OOSCH",الجدول14[[#This Row],[نوع الجلسة]]=$BZ$4),الجدول14[[#This Row],[عدد الأناث]],0)</f>
        <v>0</v>
      </c>
      <c r="AN27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27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27" s="123">
        <f>IF(AND(الجدول14[[#This Row],[نوع الجلسة]]=$BZ$5,الجدول14[[#This Row],[البرنامج]]=$BX$3),1,0)</f>
        <v>0</v>
      </c>
      <c r="AQ27" s="123">
        <f>IF(AND(الجدول14[[#This Row],[البرنامج]]="PLW",الجدول14[[#This Row],[نوع الجلسة]]=$BZ$5),الجدول14[[#This Row],[عدد الذكور]],0)</f>
        <v>0</v>
      </c>
      <c r="AR27" s="123">
        <f>IF(AND(الجدول14[[#This Row],[البرنامج]]="PLW",الجدول14[[#This Row],[نوع الجلسة]]=$BZ$5),الجدول14[[#This Row],[عدد الأناث]],0)</f>
        <v>0</v>
      </c>
      <c r="AS27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27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27" s="127">
        <f>IF(AND(الجدول14[[#This Row],[نوع الجلسة]]=$BZ$5,الجدول14[[#This Row],[البرنامج]]=$BX$2),1,0)</f>
        <v>0</v>
      </c>
      <c r="AV27" s="127">
        <f>IF(AND(الجدول14[[#This Row],[البرنامج]]="OOSCH",الجدول14[[#This Row],[نوع الجلسة]]=$BZ$5),الجدول14[[#This Row],[عدد الذكور]],0)</f>
        <v>0</v>
      </c>
      <c r="AW27" s="127">
        <f>IF(AND(الجدول14[[#This Row],[البرنامج]]="OOSCH",الجدول14[[#This Row],[نوع الجلسة]]=$BZ$5),الجدول14[[#This Row],[عدد الأناث]],0)</f>
        <v>0</v>
      </c>
      <c r="AX27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27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27" s="121">
        <f>IF(AND(الجدول14[[#This Row],[نوع الجلسة]]=$BZ$6,الجدول14[[#This Row],[البرنامج]]=$BX$3),1,0)</f>
        <v>0</v>
      </c>
      <c r="BA27" s="121">
        <f>IF(AND(الجدول14[[#This Row],[البرنامج]]="PLW",الجدول14[[#This Row],[نوع الجلسة]]=$BZ$6),الجدول14[[#This Row],[عدد الذكور]],0)</f>
        <v>0</v>
      </c>
      <c r="BB27" s="121">
        <f>IF(AND(الجدول14[[#This Row],[البرنامج]]="PLW",الجدول14[[#This Row],[نوع الجلسة]]=$BZ$6),الجدول14[[#This Row],[عدد الأناث]],0)</f>
        <v>0</v>
      </c>
      <c r="BC27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27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27" s="122">
        <f>IF(AND(الجدول14[[#This Row],[نوع الجلسة]]=$BZ$6,الجدول14[[#This Row],[البرنامج]]=$BX$2),1,0)</f>
        <v>0</v>
      </c>
      <c r="BF27" s="122">
        <f>IF(AND(الجدول14[[#This Row],[البرنامج]]="OOSCH",الجدول14[[#This Row],[نوع الجلسة]]=$BZ$6),الجدول14[[#This Row],[عدد الذكور]],0)</f>
        <v>0</v>
      </c>
      <c r="BG27" s="122">
        <f>IF(AND(الجدول14[[#This Row],[البرنامج]]="OOSCH",الجدول14[[#This Row],[نوع الجلسة]]=$BZ$6),الجدول14[[#This Row],[عدد الأناث]],0)</f>
        <v>0</v>
      </c>
      <c r="BH27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27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28" spans="4:61" ht="31.5" customHeight="1" x14ac:dyDescent="0.25">
      <c r="D28" s="9"/>
      <c r="E28" s="9"/>
      <c r="F28" s="9"/>
      <c r="G28" s="9"/>
      <c r="H28" s="9"/>
      <c r="I28" s="9"/>
      <c r="J28" s="9"/>
      <c r="K28" s="9">
        <f>SUM(الجدول14[[#This Row],[عدد الذكور]:[عدد الأناث]])</f>
        <v>0</v>
      </c>
      <c r="L28" s="120">
        <f>IF(AND(الجدول14[[#This Row],[البرنامج]]="PLW",الجدول14[[#This Row],[نوع الجلسة]]=$BZ$2),1,0)</f>
        <v>0</v>
      </c>
      <c r="M28" s="120">
        <f>IF(AND(الجدول14[[#This Row],[نوع الجلسة]]=$BZ$2,الجدول14[[#This Row],[البرنامج]]="PLW"),الجدول14[[#This Row],[عدد الذكور]],0)</f>
        <v>0</v>
      </c>
      <c r="N28" s="120">
        <f>IF(AND(الجدول14[[#This Row],[نوع الجلسة]]=$BZ$2,الجدول14[[#This Row],[البرنامج]]="PLW"),الجدول14[[#This Row],[عدد الأناث]],0)</f>
        <v>0</v>
      </c>
      <c r="O28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28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28" s="123">
        <f>IF(AND(الجدول14[[#This Row],[البرنامج]]="OOSCH",الجدول14[[#This Row],[نوع الجلسة]]=$BZ$2),1,0)</f>
        <v>0</v>
      </c>
      <c r="R28" s="123">
        <f>IF(AND(الجدول14[[#This Row],[البرنامج]]="OOSCH",الجدول14[[#This Row],[نوع الجلسة]]=$BZ$2),الجدول14[[#This Row],[عدد الذكور]],0)</f>
        <v>0</v>
      </c>
      <c r="S28" s="123">
        <f>IF(AND(الجدول14[[#This Row],[البرنامج]]="OOSCH",الجدول14[[#This Row],[نوع الجلسة]]=$BZ$2),الجدول14[[#This Row],[عدد الأناث]],0)</f>
        <v>0</v>
      </c>
      <c r="T28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28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28" s="124">
        <f>IF(AND(الجدول14[[#This Row],[البرنامج]]="PLW",الجدول14[[#This Row],[نوع الجلسة]]="معلومات صحة تغذوية للسيدة الحامل"),1,0)</f>
        <v>0</v>
      </c>
      <c r="W28" s="124">
        <f>IF(AND(الجدول14[[#This Row],[نوع الجلسة]]=$BZ$3,الجدول14[[#This Row],[البرنامج]]="PLW"),الجدول14[[#This Row],[عدد الذكور]],0)</f>
        <v>0</v>
      </c>
      <c r="X28" s="124">
        <f>IF(AND(الجدول14[[#This Row],[نوع الجلسة]]=$BZ$3,الجدول14[[#This Row],[البرنامج]]="PLW"),الجدول14[[#This Row],[عدد الأناث]],0)</f>
        <v>0</v>
      </c>
      <c r="Y28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28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28" s="113">
        <f>IF(AND(الجدول14[[#This Row],[البرنامج]]="PLW",الجدول14[[#This Row],[نوع الجلسة]]=$BZ$4),1,0)</f>
        <v>0</v>
      </c>
      <c r="AB28" s="113">
        <f>IF(AND(الجدول14[[#This Row],[البرنامج]]="PLW",الجدول14[[#This Row],[نوع الجلسة]]=$BZ$4),الجدول14[[#This Row],[عدد الذكور]],0)</f>
        <v>0</v>
      </c>
      <c r="AC28" s="113">
        <f>IF(AND(الجدول14[[#This Row],[البرنامج]]="PLW",الجدول14[[#This Row],[نوع الجلسة]]=$BZ$4),الجدول14[[#This Row],[عدد الأناث]],0)</f>
        <v>0</v>
      </c>
      <c r="AD28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28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28" s="125">
        <f>IF(AND(الجدول14[[#This Row],[البرنامج]]="OOSCH",الجدول14[[#This Row],[نوع الجلسة]]=$BZ$7),1,0)</f>
        <v>0</v>
      </c>
      <c r="AG28" s="125">
        <f>IF(AND(الجدول14[[#This Row],[البرنامج]]="OOSCH",الجدول14[[#This Row],[نوع الجلسة]]=$BZ$7),الجدول14[[#This Row],[عدد الذكور]],0)</f>
        <v>0</v>
      </c>
      <c r="AH28" s="125">
        <f>IF(AND(الجدول14[[#This Row],[البرنامج]]="OOSCH",الجدول14[[#This Row],[نوع الجلسة]]=$BZ$7),الجدول14[[#This Row],[عدد الأناث]],0)</f>
        <v>0</v>
      </c>
      <c r="AI28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28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28" s="126">
        <f>IF(AND(الجدول14[[#This Row],[البرنامج]]="OOSCH",الجدول14[[#This Row],[نوع الجلسة]]=$BZ$4),1,0)</f>
        <v>0</v>
      </c>
      <c r="AL28" s="126">
        <f>IF(AND(الجدول14[[#This Row],[البرنامج]]="OOSCH",الجدول14[[#This Row],[نوع الجلسة]]=$BZ$4),الجدول14[[#This Row],[عدد الذكور]],0)</f>
        <v>0</v>
      </c>
      <c r="AM28" s="126">
        <f>IF(AND(الجدول14[[#This Row],[البرنامج]]="OOSCH",الجدول14[[#This Row],[نوع الجلسة]]=$BZ$4),الجدول14[[#This Row],[عدد الأناث]],0)</f>
        <v>0</v>
      </c>
      <c r="AN28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28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28" s="123">
        <f>IF(AND(الجدول14[[#This Row],[نوع الجلسة]]=$BZ$5,الجدول14[[#This Row],[البرنامج]]=$BX$3),1,0)</f>
        <v>0</v>
      </c>
      <c r="AQ28" s="123">
        <f>IF(AND(الجدول14[[#This Row],[البرنامج]]="PLW",الجدول14[[#This Row],[نوع الجلسة]]=$BZ$5),الجدول14[[#This Row],[عدد الذكور]],0)</f>
        <v>0</v>
      </c>
      <c r="AR28" s="123">
        <f>IF(AND(الجدول14[[#This Row],[البرنامج]]="PLW",الجدول14[[#This Row],[نوع الجلسة]]=$BZ$5),الجدول14[[#This Row],[عدد الأناث]],0)</f>
        <v>0</v>
      </c>
      <c r="AS28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28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28" s="127">
        <f>IF(AND(الجدول14[[#This Row],[نوع الجلسة]]=$BZ$5,الجدول14[[#This Row],[البرنامج]]=$BX$2),1,0)</f>
        <v>0</v>
      </c>
      <c r="AV28" s="127">
        <f>IF(AND(الجدول14[[#This Row],[البرنامج]]="OOSCH",الجدول14[[#This Row],[نوع الجلسة]]=$BZ$5),الجدول14[[#This Row],[عدد الذكور]],0)</f>
        <v>0</v>
      </c>
      <c r="AW28" s="127">
        <f>IF(AND(الجدول14[[#This Row],[البرنامج]]="OOSCH",الجدول14[[#This Row],[نوع الجلسة]]=$BZ$5),الجدول14[[#This Row],[عدد الأناث]],0)</f>
        <v>0</v>
      </c>
      <c r="AX28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28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28" s="121">
        <f>IF(AND(الجدول14[[#This Row],[نوع الجلسة]]=$BZ$6,الجدول14[[#This Row],[البرنامج]]=$BX$3),1,0)</f>
        <v>0</v>
      </c>
      <c r="BA28" s="121">
        <f>IF(AND(الجدول14[[#This Row],[البرنامج]]="PLW",الجدول14[[#This Row],[نوع الجلسة]]=$BZ$6),الجدول14[[#This Row],[عدد الذكور]],0)</f>
        <v>0</v>
      </c>
      <c r="BB28" s="121">
        <f>IF(AND(الجدول14[[#This Row],[البرنامج]]="PLW",الجدول14[[#This Row],[نوع الجلسة]]=$BZ$6),الجدول14[[#This Row],[عدد الأناث]],0)</f>
        <v>0</v>
      </c>
      <c r="BC28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28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28" s="122">
        <f>IF(AND(الجدول14[[#This Row],[نوع الجلسة]]=$BZ$6,الجدول14[[#This Row],[البرنامج]]=$BX$2),1,0)</f>
        <v>0</v>
      </c>
      <c r="BF28" s="122">
        <f>IF(AND(الجدول14[[#This Row],[البرنامج]]="OOSCH",الجدول14[[#This Row],[نوع الجلسة]]=$BZ$6),الجدول14[[#This Row],[عدد الذكور]],0)</f>
        <v>0</v>
      </c>
      <c r="BG28" s="122">
        <f>IF(AND(الجدول14[[#This Row],[البرنامج]]="OOSCH",الجدول14[[#This Row],[نوع الجلسة]]=$BZ$6),الجدول14[[#This Row],[عدد الأناث]],0)</f>
        <v>0</v>
      </c>
      <c r="BH28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28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29" spans="4:61" ht="31.5" customHeight="1" x14ac:dyDescent="0.25">
      <c r="D29" s="9"/>
      <c r="E29" s="9"/>
      <c r="F29" s="9"/>
      <c r="G29" s="9"/>
      <c r="H29" s="9"/>
      <c r="I29" s="9"/>
      <c r="J29" s="9"/>
      <c r="K29" s="9">
        <f>SUM(الجدول14[[#This Row],[عدد الذكور]:[عدد الأناث]])</f>
        <v>0</v>
      </c>
      <c r="L29" s="120">
        <f>IF(AND(الجدول14[[#This Row],[البرنامج]]="PLW",الجدول14[[#This Row],[نوع الجلسة]]=$BZ$2),1,0)</f>
        <v>0</v>
      </c>
      <c r="M29" s="120">
        <f>IF(AND(الجدول14[[#This Row],[نوع الجلسة]]=$BZ$2,الجدول14[[#This Row],[البرنامج]]="PLW"),الجدول14[[#This Row],[عدد الذكور]],0)</f>
        <v>0</v>
      </c>
      <c r="N29" s="120">
        <f>IF(AND(الجدول14[[#This Row],[نوع الجلسة]]=$BZ$2,الجدول14[[#This Row],[البرنامج]]="PLW"),الجدول14[[#This Row],[عدد الأناث]],0)</f>
        <v>0</v>
      </c>
      <c r="O29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29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29" s="123">
        <f>IF(AND(الجدول14[[#This Row],[البرنامج]]="OOSCH",الجدول14[[#This Row],[نوع الجلسة]]=$BZ$2),1,0)</f>
        <v>0</v>
      </c>
      <c r="R29" s="123">
        <f>IF(AND(الجدول14[[#This Row],[البرنامج]]="OOSCH",الجدول14[[#This Row],[نوع الجلسة]]=$BZ$2),الجدول14[[#This Row],[عدد الذكور]],0)</f>
        <v>0</v>
      </c>
      <c r="S29" s="123">
        <f>IF(AND(الجدول14[[#This Row],[البرنامج]]="OOSCH",الجدول14[[#This Row],[نوع الجلسة]]=$BZ$2),الجدول14[[#This Row],[عدد الأناث]],0)</f>
        <v>0</v>
      </c>
      <c r="T29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29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29" s="124">
        <f>IF(AND(الجدول14[[#This Row],[البرنامج]]="PLW",الجدول14[[#This Row],[نوع الجلسة]]="معلومات صحة تغذوية للسيدة الحامل"),1,0)</f>
        <v>0</v>
      </c>
      <c r="W29" s="124">
        <f>IF(AND(الجدول14[[#This Row],[نوع الجلسة]]=$BZ$3,الجدول14[[#This Row],[البرنامج]]="PLW"),الجدول14[[#This Row],[عدد الذكور]],0)</f>
        <v>0</v>
      </c>
      <c r="X29" s="124">
        <f>IF(AND(الجدول14[[#This Row],[نوع الجلسة]]=$BZ$3,الجدول14[[#This Row],[البرنامج]]="PLW"),الجدول14[[#This Row],[عدد الأناث]],0)</f>
        <v>0</v>
      </c>
      <c r="Y29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29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29" s="113">
        <f>IF(AND(الجدول14[[#This Row],[البرنامج]]="PLW",الجدول14[[#This Row],[نوع الجلسة]]=$BZ$4),1,0)</f>
        <v>0</v>
      </c>
      <c r="AB29" s="113">
        <f>IF(AND(الجدول14[[#This Row],[البرنامج]]="PLW",الجدول14[[#This Row],[نوع الجلسة]]=$BZ$4),الجدول14[[#This Row],[عدد الذكور]],0)</f>
        <v>0</v>
      </c>
      <c r="AC29" s="113">
        <f>IF(AND(الجدول14[[#This Row],[البرنامج]]="PLW",الجدول14[[#This Row],[نوع الجلسة]]=$BZ$4),الجدول14[[#This Row],[عدد الأناث]],0)</f>
        <v>0</v>
      </c>
      <c r="AD29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29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29" s="125">
        <f>IF(AND(الجدول14[[#This Row],[البرنامج]]="OOSCH",الجدول14[[#This Row],[نوع الجلسة]]=$BZ$7),1,0)</f>
        <v>0</v>
      </c>
      <c r="AG29" s="125">
        <f>IF(AND(الجدول14[[#This Row],[البرنامج]]="OOSCH",الجدول14[[#This Row],[نوع الجلسة]]=$BZ$7),الجدول14[[#This Row],[عدد الذكور]],0)</f>
        <v>0</v>
      </c>
      <c r="AH29" s="125">
        <f>IF(AND(الجدول14[[#This Row],[البرنامج]]="OOSCH",الجدول14[[#This Row],[نوع الجلسة]]=$BZ$7),الجدول14[[#This Row],[عدد الأناث]],0)</f>
        <v>0</v>
      </c>
      <c r="AI29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29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29" s="126">
        <f>IF(AND(الجدول14[[#This Row],[البرنامج]]="OOSCH",الجدول14[[#This Row],[نوع الجلسة]]=$BZ$4),1,0)</f>
        <v>0</v>
      </c>
      <c r="AL29" s="126">
        <f>IF(AND(الجدول14[[#This Row],[البرنامج]]="OOSCH",الجدول14[[#This Row],[نوع الجلسة]]=$BZ$4),الجدول14[[#This Row],[عدد الذكور]],0)</f>
        <v>0</v>
      </c>
      <c r="AM29" s="126">
        <f>IF(AND(الجدول14[[#This Row],[البرنامج]]="OOSCH",الجدول14[[#This Row],[نوع الجلسة]]=$BZ$4),الجدول14[[#This Row],[عدد الأناث]],0)</f>
        <v>0</v>
      </c>
      <c r="AN29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29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29" s="123">
        <f>IF(AND(الجدول14[[#This Row],[نوع الجلسة]]=$BZ$5,الجدول14[[#This Row],[البرنامج]]=$BX$3),1,0)</f>
        <v>0</v>
      </c>
      <c r="AQ29" s="123">
        <f>IF(AND(الجدول14[[#This Row],[البرنامج]]="PLW",الجدول14[[#This Row],[نوع الجلسة]]=$BZ$5),الجدول14[[#This Row],[عدد الذكور]],0)</f>
        <v>0</v>
      </c>
      <c r="AR29" s="123">
        <f>IF(AND(الجدول14[[#This Row],[البرنامج]]="PLW",الجدول14[[#This Row],[نوع الجلسة]]=$BZ$5),الجدول14[[#This Row],[عدد الأناث]],0)</f>
        <v>0</v>
      </c>
      <c r="AS29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29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29" s="127">
        <f>IF(AND(الجدول14[[#This Row],[نوع الجلسة]]=$BZ$5,الجدول14[[#This Row],[البرنامج]]=$BX$2),1,0)</f>
        <v>0</v>
      </c>
      <c r="AV29" s="127">
        <f>IF(AND(الجدول14[[#This Row],[البرنامج]]="OOSCH",الجدول14[[#This Row],[نوع الجلسة]]=$BZ$5),الجدول14[[#This Row],[عدد الذكور]],0)</f>
        <v>0</v>
      </c>
      <c r="AW29" s="127">
        <f>IF(AND(الجدول14[[#This Row],[البرنامج]]="OOSCH",الجدول14[[#This Row],[نوع الجلسة]]=$BZ$5),الجدول14[[#This Row],[عدد الأناث]],0)</f>
        <v>0</v>
      </c>
      <c r="AX29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29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29" s="121">
        <f>IF(AND(الجدول14[[#This Row],[نوع الجلسة]]=$BZ$6,الجدول14[[#This Row],[البرنامج]]=$BX$3),1,0)</f>
        <v>0</v>
      </c>
      <c r="BA29" s="121">
        <f>IF(AND(الجدول14[[#This Row],[البرنامج]]="PLW",الجدول14[[#This Row],[نوع الجلسة]]=$BZ$6),الجدول14[[#This Row],[عدد الذكور]],0)</f>
        <v>0</v>
      </c>
      <c r="BB29" s="121">
        <f>IF(AND(الجدول14[[#This Row],[البرنامج]]="PLW",الجدول14[[#This Row],[نوع الجلسة]]=$BZ$6),الجدول14[[#This Row],[عدد الأناث]],0)</f>
        <v>0</v>
      </c>
      <c r="BC29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29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29" s="122">
        <f>IF(AND(الجدول14[[#This Row],[نوع الجلسة]]=$BZ$6,الجدول14[[#This Row],[البرنامج]]=$BX$2),1,0)</f>
        <v>0</v>
      </c>
      <c r="BF29" s="122">
        <f>IF(AND(الجدول14[[#This Row],[البرنامج]]="OOSCH",الجدول14[[#This Row],[نوع الجلسة]]=$BZ$6),الجدول14[[#This Row],[عدد الذكور]],0)</f>
        <v>0</v>
      </c>
      <c r="BG29" s="122">
        <f>IF(AND(الجدول14[[#This Row],[البرنامج]]="OOSCH",الجدول14[[#This Row],[نوع الجلسة]]=$BZ$6),الجدول14[[#This Row],[عدد الأناث]],0)</f>
        <v>0</v>
      </c>
      <c r="BH29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29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30" spans="4:61" ht="31.5" customHeight="1" x14ac:dyDescent="0.25">
      <c r="D30" s="9"/>
      <c r="E30" s="9"/>
      <c r="F30" s="9"/>
      <c r="G30" s="9"/>
      <c r="H30" s="9"/>
      <c r="I30" s="9"/>
      <c r="J30" s="9"/>
      <c r="K30" s="9">
        <f>SUM(الجدول14[[#This Row],[عدد الذكور]:[عدد الأناث]])</f>
        <v>0</v>
      </c>
      <c r="L30" s="120">
        <f>IF(AND(الجدول14[[#This Row],[البرنامج]]="PLW",الجدول14[[#This Row],[نوع الجلسة]]=$BZ$2),1,0)</f>
        <v>0</v>
      </c>
      <c r="M30" s="120">
        <f>IF(AND(الجدول14[[#This Row],[نوع الجلسة]]=$BZ$2,الجدول14[[#This Row],[البرنامج]]="PLW"),الجدول14[[#This Row],[عدد الذكور]],0)</f>
        <v>0</v>
      </c>
      <c r="N30" s="120">
        <f>IF(AND(الجدول14[[#This Row],[نوع الجلسة]]=$BZ$2,الجدول14[[#This Row],[البرنامج]]="PLW"),الجدول14[[#This Row],[عدد الأناث]],0)</f>
        <v>0</v>
      </c>
      <c r="O30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30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30" s="123">
        <f>IF(AND(الجدول14[[#This Row],[البرنامج]]="OOSCH",الجدول14[[#This Row],[نوع الجلسة]]=$BZ$2),1,0)</f>
        <v>0</v>
      </c>
      <c r="R30" s="123">
        <f>IF(AND(الجدول14[[#This Row],[البرنامج]]="OOSCH",الجدول14[[#This Row],[نوع الجلسة]]=$BZ$2),الجدول14[[#This Row],[عدد الذكور]],0)</f>
        <v>0</v>
      </c>
      <c r="S30" s="123">
        <f>IF(AND(الجدول14[[#This Row],[البرنامج]]="OOSCH",الجدول14[[#This Row],[نوع الجلسة]]=$BZ$2),الجدول14[[#This Row],[عدد الأناث]],0)</f>
        <v>0</v>
      </c>
      <c r="T30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30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30" s="124">
        <f>IF(AND(الجدول14[[#This Row],[البرنامج]]="PLW",الجدول14[[#This Row],[نوع الجلسة]]="معلومات صحة تغذوية للسيدة الحامل"),1,0)</f>
        <v>0</v>
      </c>
      <c r="W30" s="124">
        <f>IF(AND(الجدول14[[#This Row],[نوع الجلسة]]=$BZ$3,الجدول14[[#This Row],[البرنامج]]="PLW"),الجدول14[[#This Row],[عدد الذكور]],0)</f>
        <v>0</v>
      </c>
      <c r="X30" s="124">
        <f>IF(AND(الجدول14[[#This Row],[نوع الجلسة]]=$BZ$3,الجدول14[[#This Row],[البرنامج]]="PLW"),الجدول14[[#This Row],[عدد الأناث]],0)</f>
        <v>0</v>
      </c>
      <c r="Y30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30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30" s="113">
        <f>IF(AND(الجدول14[[#This Row],[البرنامج]]="PLW",الجدول14[[#This Row],[نوع الجلسة]]=$BZ$4),1,0)</f>
        <v>0</v>
      </c>
      <c r="AB30" s="113">
        <f>IF(AND(الجدول14[[#This Row],[البرنامج]]="PLW",الجدول14[[#This Row],[نوع الجلسة]]=$BZ$4),الجدول14[[#This Row],[عدد الذكور]],0)</f>
        <v>0</v>
      </c>
      <c r="AC30" s="113">
        <f>IF(AND(الجدول14[[#This Row],[البرنامج]]="PLW",الجدول14[[#This Row],[نوع الجلسة]]=$BZ$4),الجدول14[[#This Row],[عدد الأناث]],0)</f>
        <v>0</v>
      </c>
      <c r="AD30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30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30" s="125">
        <f>IF(AND(الجدول14[[#This Row],[البرنامج]]="OOSCH",الجدول14[[#This Row],[نوع الجلسة]]=$BZ$7),1,0)</f>
        <v>0</v>
      </c>
      <c r="AG30" s="125">
        <f>IF(AND(الجدول14[[#This Row],[البرنامج]]="OOSCH",الجدول14[[#This Row],[نوع الجلسة]]=$BZ$7),الجدول14[[#This Row],[عدد الذكور]],0)</f>
        <v>0</v>
      </c>
      <c r="AH30" s="125">
        <f>IF(AND(الجدول14[[#This Row],[البرنامج]]="OOSCH",الجدول14[[#This Row],[نوع الجلسة]]=$BZ$7),الجدول14[[#This Row],[عدد الأناث]],0)</f>
        <v>0</v>
      </c>
      <c r="AI30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30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30" s="126">
        <f>IF(AND(الجدول14[[#This Row],[البرنامج]]="OOSCH",الجدول14[[#This Row],[نوع الجلسة]]=$BZ$4),1,0)</f>
        <v>0</v>
      </c>
      <c r="AL30" s="126">
        <f>IF(AND(الجدول14[[#This Row],[البرنامج]]="OOSCH",الجدول14[[#This Row],[نوع الجلسة]]=$BZ$4),الجدول14[[#This Row],[عدد الذكور]],0)</f>
        <v>0</v>
      </c>
      <c r="AM30" s="126">
        <f>IF(AND(الجدول14[[#This Row],[البرنامج]]="OOSCH",الجدول14[[#This Row],[نوع الجلسة]]=$BZ$4),الجدول14[[#This Row],[عدد الأناث]],0)</f>
        <v>0</v>
      </c>
      <c r="AN30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30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30" s="123">
        <f>IF(AND(الجدول14[[#This Row],[نوع الجلسة]]=$BZ$5,الجدول14[[#This Row],[البرنامج]]=$BX$3),1,0)</f>
        <v>0</v>
      </c>
      <c r="AQ30" s="123">
        <f>IF(AND(الجدول14[[#This Row],[البرنامج]]="PLW",الجدول14[[#This Row],[نوع الجلسة]]=$BZ$5),الجدول14[[#This Row],[عدد الذكور]],0)</f>
        <v>0</v>
      </c>
      <c r="AR30" s="123">
        <f>IF(AND(الجدول14[[#This Row],[البرنامج]]="PLW",الجدول14[[#This Row],[نوع الجلسة]]=$BZ$5),الجدول14[[#This Row],[عدد الأناث]],0)</f>
        <v>0</v>
      </c>
      <c r="AS30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30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30" s="127">
        <f>IF(AND(الجدول14[[#This Row],[نوع الجلسة]]=$BZ$5,الجدول14[[#This Row],[البرنامج]]=$BX$2),1,0)</f>
        <v>0</v>
      </c>
      <c r="AV30" s="127">
        <f>IF(AND(الجدول14[[#This Row],[البرنامج]]="OOSCH",الجدول14[[#This Row],[نوع الجلسة]]=$BZ$5),الجدول14[[#This Row],[عدد الذكور]],0)</f>
        <v>0</v>
      </c>
      <c r="AW30" s="127">
        <f>IF(AND(الجدول14[[#This Row],[البرنامج]]="OOSCH",الجدول14[[#This Row],[نوع الجلسة]]=$BZ$5),الجدول14[[#This Row],[عدد الأناث]],0)</f>
        <v>0</v>
      </c>
      <c r="AX30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30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30" s="121">
        <f>IF(AND(الجدول14[[#This Row],[نوع الجلسة]]=$BZ$6,الجدول14[[#This Row],[البرنامج]]=$BX$3),1,0)</f>
        <v>0</v>
      </c>
      <c r="BA30" s="121">
        <f>IF(AND(الجدول14[[#This Row],[البرنامج]]="PLW",الجدول14[[#This Row],[نوع الجلسة]]=$BZ$6),الجدول14[[#This Row],[عدد الذكور]],0)</f>
        <v>0</v>
      </c>
      <c r="BB30" s="121">
        <f>IF(AND(الجدول14[[#This Row],[البرنامج]]="PLW",الجدول14[[#This Row],[نوع الجلسة]]=$BZ$6),الجدول14[[#This Row],[عدد الأناث]],0)</f>
        <v>0</v>
      </c>
      <c r="BC30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30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30" s="122">
        <f>IF(AND(الجدول14[[#This Row],[نوع الجلسة]]=$BZ$6,الجدول14[[#This Row],[البرنامج]]=$BX$2),1,0)</f>
        <v>0</v>
      </c>
      <c r="BF30" s="122">
        <f>IF(AND(الجدول14[[#This Row],[البرنامج]]="OOSCH",الجدول14[[#This Row],[نوع الجلسة]]=$BZ$6),الجدول14[[#This Row],[عدد الذكور]],0)</f>
        <v>0</v>
      </c>
      <c r="BG30" s="122">
        <f>IF(AND(الجدول14[[#This Row],[البرنامج]]="OOSCH",الجدول14[[#This Row],[نوع الجلسة]]=$BZ$6),الجدول14[[#This Row],[عدد الأناث]],0)</f>
        <v>0</v>
      </c>
      <c r="BH30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30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31" spans="4:61" ht="31.5" customHeight="1" x14ac:dyDescent="0.25">
      <c r="D31" s="9"/>
      <c r="E31" s="9"/>
      <c r="F31" s="9"/>
      <c r="G31" s="9"/>
      <c r="H31" s="9"/>
      <c r="I31" s="9"/>
      <c r="J31" s="9"/>
      <c r="K31" s="9">
        <f>SUM(الجدول14[[#This Row],[عدد الذكور]:[عدد الأناث]])</f>
        <v>0</v>
      </c>
      <c r="L31" s="120">
        <f>IF(AND(الجدول14[[#This Row],[البرنامج]]="PLW",الجدول14[[#This Row],[نوع الجلسة]]=$BZ$2),1,0)</f>
        <v>0</v>
      </c>
      <c r="M31" s="120">
        <f>IF(AND(الجدول14[[#This Row],[نوع الجلسة]]=$BZ$2,الجدول14[[#This Row],[البرنامج]]="PLW"),الجدول14[[#This Row],[عدد الذكور]],0)</f>
        <v>0</v>
      </c>
      <c r="N31" s="120">
        <f>IF(AND(الجدول14[[#This Row],[نوع الجلسة]]=$BZ$2,الجدول14[[#This Row],[البرنامج]]="PLW"),الجدول14[[#This Row],[عدد الأناث]],0)</f>
        <v>0</v>
      </c>
      <c r="O31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31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31" s="123">
        <f>IF(AND(الجدول14[[#This Row],[البرنامج]]="OOSCH",الجدول14[[#This Row],[نوع الجلسة]]=$BZ$2),1,0)</f>
        <v>0</v>
      </c>
      <c r="R31" s="123">
        <f>IF(AND(الجدول14[[#This Row],[البرنامج]]="OOSCH",الجدول14[[#This Row],[نوع الجلسة]]=$BZ$2),الجدول14[[#This Row],[عدد الذكور]],0)</f>
        <v>0</v>
      </c>
      <c r="S31" s="123">
        <f>IF(AND(الجدول14[[#This Row],[البرنامج]]="OOSCH",الجدول14[[#This Row],[نوع الجلسة]]=$BZ$2),الجدول14[[#This Row],[عدد الأناث]],0)</f>
        <v>0</v>
      </c>
      <c r="T31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31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31" s="124">
        <f>IF(AND(الجدول14[[#This Row],[البرنامج]]="PLW",الجدول14[[#This Row],[نوع الجلسة]]="معلومات صحة تغذوية للسيدة الحامل"),1,0)</f>
        <v>0</v>
      </c>
      <c r="W31" s="124">
        <f>IF(AND(الجدول14[[#This Row],[نوع الجلسة]]=$BZ$3,الجدول14[[#This Row],[البرنامج]]="PLW"),الجدول14[[#This Row],[عدد الذكور]],0)</f>
        <v>0</v>
      </c>
      <c r="X31" s="124">
        <f>IF(AND(الجدول14[[#This Row],[نوع الجلسة]]=$BZ$3,الجدول14[[#This Row],[البرنامج]]="PLW"),الجدول14[[#This Row],[عدد الأناث]],0)</f>
        <v>0</v>
      </c>
      <c r="Y31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31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31" s="113">
        <f>IF(AND(الجدول14[[#This Row],[البرنامج]]="PLW",الجدول14[[#This Row],[نوع الجلسة]]=$BZ$4),1,0)</f>
        <v>0</v>
      </c>
      <c r="AB31" s="113">
        <f>IF(AND(الجدول14[[#This Row],[البرنامج]]="PLW",الجدول14[[#This Row],[نوع الجلسة]]=$BZ$4),الجدول14[[#This Row],[عدد الذكور]],0)</f>
        <v>0</v>
      </c>
      <c r="AC31" s="113">
        <f>IF(AND(الجدول14[[#This Row],[البرنامج]]="PLW",الجدول14[[#This Row],[نوع الجلسة]]=$BZ$4),الجدول14[[#This Row],[عدد الأناث]],0)</f>
        <v>0</v>
      </c>
      <c r="AD31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31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31" s="125">
        <f>IF(AND(الجدول14[[#This Row],[البرنامج]]="OOSCH",الجدول14[[#This Row],[نوع الجلسة]]=$BZ$7),1,0)</f>
        <v>0</v>
      </c>
      <c r="AG31" s="125">
        <f>IF(AND(الجدول14[[#This Row],[البرنامج]]="OOSCH",الجدول14[[#This Row],[نوع الجلسة]]=$BZ$7),الجدول14[[#This Row],[عدد الذكور]],0)</f>
        <v>0</v>
      </c>
      <c r="AH31" s="125">
        <f>IF(AND(الجدول14[[#This Row],[البرنامج]]="OOSCH",الجدول14[[#This Row],[نوع الجلسة]]=$BZ$7),الجدول14[[#This Row],[عدد الأناث]],0)</f>
        <v>0</v>
      </c>
      <c r="AI31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31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31" s="126">
        <f>IF(AND(الجدول14[[#This Row],[البرنامج]]="OOSCH",الجدول14[[#This Row],[نوع الجلسة]]=$BZ$4),1,0)</f>
        <v>0</v>
      </c>
      <c r="AL31" s="126">
        <f>IF(AND(الجدول14[[#This Row],[البرنامج]]="OOSCH",الجدول14[[#This Row],[نوع الجلسة]]=$BZ$4),الجدول14[[#This Row],[عدد الذكور]],0)</f>
        <v>0</v>
      </c>
      <c r="AM31" s="126">
        <f>IF(AND(الجدول14[[#This Row],[البرنامج]]="OOSCH",الجدول14[[#This Row],[نوع الجلسة]]=$BZ$4),الجدول14[[#This Row],[عدد الأناث]],0)</f>
        <v>0</v>
      </c>
      <c r="AN31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31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31" s="123">
        <f>IF(AND(الجدول14[[#This Row],[نوع الجلسة]]=$BZ$5,الجدول14[[#This Row],[البرنامج]]=$BX$3),1,0)</f>
        <v>0</v>
      </c>
      <c r="AQ31" s="123">
        <f>IF(AND(الجدول14[[#This Row],[البرنامج]]="PLW",الجدول14[[#This Row],[نوع الجلسة]]=$BZ$5),الجدول14[[#This Row],[عدد الذكور]],0)</f>
        <v>0</v>
      </c>
      <c r="AR31" s="123">
        <f>IF(AND(الجدول14[[#This Row],[البرنامج]]="PLW",الجدول14[[#This Row],[نوع الجلسة]]=$BZ$5),الجدول14[[#This Row],[عدد الأناث]],0)</f>
        <v>0</v>
      </c>
      <c r="AS31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31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31" s="127">
        <f>IF(AND(الجدول14[[#This Row],[نوع الجلسة]]=$BZ$5,الجدول14[[#This Row],[البرنامج]]=$BX$2),1,0)</f>
        <v>0</v>
      </c>
      <c r="AV31" s="127">
        <f>IF(AND(الجدول14[[#This Row],[البرنامج]]="OOSCH",الجدول14[[#This Row],[نوع الجلسة]]=$BZ$5),الجدول14[[#This Row],[عدد الذكور]],0)</f>
        <v>0</v>
      </c>
      <c r="AW31" s="127">
        <f>IF(AND(الجدول14[[#This Row],[البرنامج]]="OOSCH",الجدول14[[#This Row],[نوع الجلسة]]=$BZ$5),الجدول14[[#This Row],[عدد الأناث]],0)</f>
        <v>0</v>
      </c>
      <c r="AX31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31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31" s="121">
        <f>IF(AND(الجدول14[[#This Row],[نوع الجلسة]]=$BZ$6,الجدول14[[#This Row],[البرنامج]]=$BX$3),1,0)</f>
        <v>0</v>
      </c>
      <c r="BA31" s="121">
        <f>IF(AND(الجدول14[[#This Row],[البرنامج]]="PLW",الجدول14[[#This Row],[نوع الجلسة]]=$BZ$6),الجدول14[[#This Row],[عدد الذكور]],0)</f>
        <v>0</v>
      </c>
      <c r="BB31" s="121">
        <f>IF(AND(الجدول14[[#This Row],[البرنامج]]="PLW",الجدول14[[#This Row],[نوع الجلسة]]=$BZ$6),الجدول14[[#This Row],[عدد الأناث]],0)</f>
        <v>0</v>
      </c>
      <c r="BC31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31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31" s="122">
        <f>IF(AND(الجدول14[[#This Row],[نوع الجلسة]]=$BZ$6,الجدول14[[#This Row],[البرنامج]]=$BX$2),1,0)</f>
        <v>0</v>
      </c>
      <c r="BF31" s="122">
        <f>IF(AND(الجدول14[[#This Row],[البرنامج]]="OOSCH",الجدول14[[#This Row],[نوع الجلسة]]=$BZ$6),الجدول14[[#This Row],[عدد الذكور]],0)</f>
        <v>0</v>
      </c>
      <c r="BG31" s="122">
        <f>IF(AND(الجدول14[[#This Row],[البرنامج]]="OOSCH",الجدول14[[#This Row],[نوع الجلسة]]=$BZ$6),الجدول14[[#This Row],[عدد الأناث]],0)</f>
        <v>0</v>
      </c>
      <c r="BH31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31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32" spans="4:61" ht="31.5" customHeight="1" x14ac:dyDescent="0.25">
      <c r="D32" s="9"/>
      <c r="E32" s="9"/>
      <c r="F32" s="9"/>
      <c r="G32" s="9"/>
      <c r="H32" s="9"/>
      <c r="I32" s="9"/>
      <c r="J32" s="9"/>
      <c r="K32" s="9">
        <f>SUM(الجدول14[[#This Row],[عدد الذكور]:[عدد الأناث]])</f>
        <v>0</v>
      </c>
      <c r="L32" s="120">
        <f>IF(AND(الجدول14[[#This Row],[البرنامج]]="PLW",الجدول14[[#This Row],[نوع الجلسة]]=$BZ$2),1,0)</f>
        <v>0</v>
      </c>
      <c r="M32" s="120">
        <f>IF(AND(الجدول14[[#This Row],[نوع الجلسة]]=$BZ$2,الجدول14[[#This Row],[البرنامج]]="PLW"),الجدول14[[#This Row],[عدد الذكور]],0)</f>
        <v>0</v>
      </c>
      <c r="N32" s="120">
        <f>IF(AND(الجدول14[[#This Row],[نوع الجلسة]]=$BZ$2,الجدول14[[#This Row],[البرنامج]]="PLW"),الجدول14[[#This Row],[عدد الأناث]],0)</f>
        <v>0</v>
      </c>
      <c r="O32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32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32" s="123">
        <f>IF(AND(الجدول14[[#This Row],[البرنامج]]="OOSCH",الجدول14[[#This Row],[نوع الجلسة]]=$BZ$2),1,0)</f>
        <v>0</v>
      </c>
      <c r="R32" s="123">
        <f>IF(AND(الجدول14[[#This Row],[البرنامج]]="OOSCH",الجدول14[[#This Row],[نوع الجلسة]]=$BZ$2),الجدول14[[#This Row],[عدد الذكور]],0)</f>
        <v>0</v>
      </c>
      <c r="S32" s="123">
        <f>IF(AND(الجدول14[[#This Row],[البرنامج]]="OOSCH",الجدول14[[#This Row],[نوع الجلسة]]=$BZ$2),الجدول14[[#This Row],[عدد الأناث]],0)</f>
        <v>0</v>
      </c>
      <c r="T32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32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32" s="124">
        <f>IF(AND(الجدول14[[#This Row],[البرنامج]]="PLW",الجدول14[[#This Row],[نوع الجلسة]]="معلومات صحة تغذوية للسيدة الحامل"),1,0)</f>
        <v>0</v>
      </c>
      <c r="W32" s="124">
        <f>IF(AND(الجدول14[[#This Row],[نوع الجلسة]]=$BZ$3,الجدول14[[#This Row],[البرنامج]]="PLW"),الجدول14[[#This Row],[عدد الذكور]],0)</f>
        <v>0</v>
      </c>
      <c r="X32" s="124">
        <f>IF(AND(الجدول14[[#This Row],[نوع الجلسة]]=$BZ$3,الجدول14[[#This Row],[البرنامج]]="PLW"),الجدول14[[#This Row],[عدد الأناث]],0)</f>
        <v>0</v>
      </c>
      <c r="Y32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32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32" s="113">
        <f>IF(AND(الجدول14[[#This Row],[البرنامج]]="PLW",الجدول14[[#This Row],[نوع الجلسة]]=$BZ$4),1,0)</f>
        <v>0</v>
      </c>
      <c r="AB32" s="113">
        <f>IF(AND(الجدول14[[#This Row],[البرنامج]]="PLW",الجدول14[[#This Row],[نوع الجلسة]]=$BZ$4),الجدول14[[#This Row],[عدد الذكور]],0)</f>
        <v>0</v>
      </c>
      <c r="AC32" s="113">
        <f>IF(AND(الجدول14[[#This Row],[البرنامج]]="PLW",الجدول14[[#This Row],[نوع الجلسة]]=$BZ$4),الجدول14[[#This Row],[عدد الأناث]],0)</f>
        <v>0</v>
      </c>
      <c r="AD32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32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32" s="125">
        <f>IF(AND(الجدول14[[#This Row],[البرنامج]]="OOSCH",الجدول14[[#This Row],[نوع الجلسة]]=$BZ$7),1,0)</f>
        <v>0</v>
      </c>
      <c r="AG32" s="125">
        <f>IF(AND(الجدول14[[#This Row],[البرنامج]]="OOSCH",الجدول14[[#This Row],[نوع الجلسة]]=$BZ$7),الجدول14[[#This Row],[عدد الذكور]],0)</f>
        <v>0</v>
      </c>
      <c r="AH32" s="125">
        <f>IF(AND(الجدول14[[#This Row],[البرنامج]]="OOSCH",الجدول14[[#This Row],[نوع الجلسة]]=$BZ$7),الجدول14[[#This Row],[عدد الأناث]],0)</f>
        <v>0</v>
      </c>
      <c r="AI32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32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32" s="126">
        <f>IF(AND(الجدول14[[#This Row],[البرنامج]]="OOSCH",الجدول14[[#This Row],[نوع الجلسة]]=$BZ$4),1,0)</f>
        <v>0</v>
      </c>
      <c r="AL32" s="126">
        <f>IF(AND(الجدول14[[#This Row],[البرنامج]]="OOSCH",الجدول14[[#This Row],[نوع الجلسة]]=$BZ$4),الجدول14[[#This Row],[عدد الذكور]],0)</f>
        <v>0</v>
      </c>
      <c r="AM32" s="126">
        <f>IF(AND(الجدول14[[#This Row],[البرنامج]]="OOSCH",الجدول14[[#This Row],[نوع الجلسة]]=$BZ$4),الجدول14[[#This Row],[عدد الأناث]],0)</f>
        <v>0</v>
      </c>
      <c r="AN32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32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32" s="123">
        <f>IF(AND(الجدول14[[#This Row],[نوع الجلسة]]=$BZ$5,الجدول14[[#This Row],[البرنامج]]=$BX$3),1,0)</f>
        <v>0</v>
      </c>
      <c r="AQ32" s="123">
        <f>IF(AND(الجدول14[[#This Row],[البرنامج]]="PLW",الجدول14[[#This Row],[نوع الجلسة]]=$BZ$5),الجدول14[[#This Row],[عدد الذكور]],0)</f>
        <v>0</v>
      </c>
      <c r="AR32" s="123">
        <f>IF(AND(الجدول14[[#This Row],[البرنامج]]="PLW",الجدول14[[#This Row],[نوع الجلسة]]=$BZ$5),الجدول14[[#This Row],[عدد الأناث]],0)</f>
        <v>0</v>
      </c>
      <c r="AS32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32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32" s="127">
        <f>IF(AND(الجدول14[[#This Row],[نوع الجلسة]]=$BZ$5,الجدول14[[#This Row],[البرنامج]]=$BX$2),1,0)</f>
        <v>0</v>
      </c>
      <c r="AV32" s="127">
        <f>IF(AND(الجدول14[[#This Row],[البرنامج]]="OOSCH",الجدول14[[#This Row],[نوع الجلسة]]=$BZ$5),الجدول14[[#This Row],[عدد الذكور]],0)</f>
        <v>0</v>
      </c>
      <c r="AW32" s="127">
        <f>IF(AND(الجدول14[[#This Row],[البرنامج]]="OOSCH",الجدول14[[#This Row],[نوع الجلسة]]=$BZ$5),الجدول14[[#This Row],[عدد الأناث]],0)</f>
        <v>0</v>
      </c>
      <c r="AX32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32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32" s="121">
        <f>IF(AND(الجدول14[[#This Row],[نوع الجلسة]]=$BZ$6,الجدول14[[#This Row],[البرنامج]]=$BX$3),1,0)</f>
        <v>0</v>
      </c>
      <c r="BA32" s="121">
        <f>IF(AND(الجدول14[[#This Row],[البرنامج]]="PLW",الجدول14[[#This Row],[نوع الجلسة]]=$BZ$6),الجدول14[[#This Row],[عدد الذكور]],0)</f>
        <v>0</v>
      </c>
      <c r="BB32" s="121">
        <f>IF(AND(الجدول14[[#This Row],[البرنامج]]="PLW",الجدول14[[#This Row],[نوع الجلسة]]=$BZ$6),الجدول14[[#This Row],[عدد الأناث]],0)</f>
        <v>0</v>
      </c>
      <c r="BC32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32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32" s="122">
        <f>IF(AND(الجدول14[[#This Row],[نوع الجلسة]]=$BZ$6,الجدول14[[#This Row],[البرنامج]]=$BX$2),1,0)</f>
        <v>0</v>
      </c>
      <c r="BF32" s="122">
        <f>IF(AND(الجدول14[[#This Row],[البرنامج]]="OOSCH",الجدول14[[#This Row],[نوع الجلسة]]=$BZ$6),الجدول14[[#This Row],[عدد الذكور]],0)</f>
        <v>0</v>
      </c>
      <c r="BG32" s="122">
        <f>IF(AND(الجدول14[[#This Row],[البرنامج]]="OOSCH",الجدول14[[#This Row],[نوع الجلسة]]=$BZ$6),الجدول14[[#This Row],[عدد الأناث]],0)</f>
        <v>0</v>
      </c>
      <c r="BH32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32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33" spans="4:61" ht="31.5" customHeight="1" x14ac:dyDescent="0.25">
      <c r="D33" s="9"/>
      <c r="E33" s="9"/>
      <c r="F33" s="9"/>
      <c r="G33" s="9"/>
      <c r="H33" s="9"/>
      <c r="I33" s="9"/>
      <c r="J33" s="9"/>
      <c r="K33" s="9">
        <f>SUM(الجدول14[[#This Row],[عدد الذكور]:[عدد الأناث]])</f>
        <v>0</v>
      </c>
      <c r="L33" s="120">
        <f>IF(AND(الجدول14[[#This Row],[البرنامج]]="PLW",الجدول14[[#This Row],[نوع الجلسة]]=$BZ$2),1,0)</f>
        <v>0</v>
      </c>
      <c r="M33" s="120">
        <f>IF(AND(الجدول14[[#This Row],[نوع الجلسة]]=$BZ$2,الجدول14[[#This Row],[البرنامج]]="PLW"),الجدول14[[#This Row],[عدد الذكور]],0)</f>
        <v>0</v>
      </c>
      <c r="N33" s="120">
        <f>IF(AND(الجدول14[[#This Row],[نوع الجلسة]]=$BZ$2,الجدول14[[#This Row],[البرنامج]]="PLW"),الجدول14[[#This Row],[عدد الأناث]],0)</f>
        <v>0</v>
      </c>
      <c r="O33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33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33" s="123">
        <f>IF(AND(الجدول14[[#This Row],[البرنامج]]="OOSCH",الجدول14[[#This Row],[نوع الجلسة]]=$BZ$2),1,0)</f>
        <v>0</v>
      </c>
      <c r="R33" s="123">
        <f>IF(AND(الجدول14[[#This Row],[البرنامج]]="OOSCH",الجدول14[[#This Row],[نوع الجلسة]]=$BZ$2),الجدول14[[#This Row],[عدد الذكور]],0)</f>
        <v>0</v>
      </c>
      <c r="S33" s="123">
        <f>IF(AND(الجدول14[[#This Row],[البرنامج]]="OOSCH",الجدول14[[#This Row],[نوع الجلسة]]=$BZ$2),الجدول14[[#This Row],[عدد الأناث]],0)</f>
        <v>0</v>
      </c>
      <c r="T33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33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33" s="124">
        <f>IF(AND(الجدول14[[#This Row],[البرنامج]]="PLW",الجدول14[[#This Row],[نوع الجلسة]]="معلومات صحة تغذوية للسيدة الحامل"),1,0)</f>
        <v>0</v>
      </c>
      <c r="W33" s="124">
        <f>IF(AND(الجدول14[[#This Row],[نوع الجلسة]]=$BZ$3,الجدول14[[#This Row],[البرنامج]]="PLW"),الجدول14[[#This Row],[عدد الذكور]],0)</f>
        <v>0</v>
      </c>
      <c r="X33" s="124">
        <f>IF(AND(الجدول14[[#This Row],[نوع الجلسة]]=$BZ$3,الجدول14[[#This Row],[البرنامج]]="PLW"),الجدول14[[#This Row],[عدد الأناث]],0)</f>
        <v>0</v>
      </c>
      <c r="Y33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33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33" s="113">
        <f>IF(AND(الجدول14[[#This Row],[البرنامج]]="PLW",الجدول14[[#This Row],[نوع الجلسة]]=$BZ$4),1,0)</f>
        <v>0</v>
      </c>
      <c r="AB33" s="113">
        <f>IF(AND(الجدول14[[#This Row],[البرنامج]]="PLW",الجدول14[[#This Row],[نوع الجلسة]]=$BZ$4),الجدول14[[#This Row],[عدد الذكور]],0)</f>
        <v>0</v>
      </c>
      <c r="AC33" s="113">
        <f>IF(AND(الجدول14[[#This Row],[البرنامج]]="PLW",الجدول14[[#This Row],[نوع الجلسة]]=$BZ$4),الجدول14[[#This Row],[عدد الأناث]],0)</f>
        <v>0</v>
      </c>
      <c r="AD33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33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33" s="125">
        <f>IF(AND(الجدول14[[#This Row],[البرنامج]]="OOSCH",الجدول14[[#This Row],[نوع الجلسة]]=$BZ$7),1,0)</f>
        <v>0</v>
      </c>
      <c r="AG33" s="125">
        <f>IF(AND(الجدول14[[#This Row],[البرنامج]]="OOSCH",الجدول14[[#This Row],[نوع الجلسة]]=$BZ$7),الجدول14[[#This Row],[عدد الذكور]],0)</f>
        <v>0</v>
      </c>
      <c r="AH33" s="125">
        <f>IF(AND(الجدول14[[#This Row],[البرنامج]]="OOSCH",الجدول14[[#This Row],[نوع الجلسة]]=$BZ$7),الجدول14[[#This Row],[عدد الأناث]],0)</f>
        <v>0</v>
      </c>
      <c r="AI33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33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33" s="126">
        <f>IF(AND(الجدول14[[#This Row],[البرنامج]]="OOSCH",الجدول14[[#This Row],[نوع الجلسة]]=$BZ$4),1,0)</f>
        <v>0</v>
      </c>
      <c r="AL33" s="126">
        <f>IF(AND(الجدول14[[#This Row],[البرنامج]]="OOSCH",الجدول14[[#This Row],[نوع الجلسة]]=$BZ$4),الجدول14[[#This Row],[عدد الذكور]],0)</f>
        <v>0</v>
      </c>
      <c r="AM33" s="126">
        <f>IF(AND(الجدول14[[#This Row],[البرنامج]]="OOSCH",الجدول14[[#This Row],[نوع الجلسة]]=$BZ$4),الجدول14[[#This Row],[عدد الأناث]],0)</f>
        <v>0</v>
      </c>
      <c r="AN33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33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33" s="123">
        <f>IF(AND(الجدول14[[#This Row],[نوع الجلسة]]=$BZ$5,الجدول14[[#This Row],[البرنامج]]=$BX$3),1,0)</f>
        <v>0</v>
      </c>
      <c r="AQ33" s="123">
        <f>IF(AND(الجدول14[[#This Row],[البرنامج]]="PLW",الجدول14[[#This Row],[نوع الجلسة]]=$BZ$5),الجدول14[[#This Row],[عدد الذكور]],0)</f>
        <v>0</v>
      </c>
      <c r="AR33" s="123">
        <f>IF(AND(الجدول14[[#This Row],[البرنامج]]="PLW",الجدول14[[#This Row],[نوع الجلسة]]=$BZ$5),الجدول14[[#This Row],[عدد الأناث]],0)</f>
        <v>0</v>
      </c>
      <c r="AS33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33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33" s="127">
        <f>IF(AND(الجدول14[[#This Row],[نوع الجلسة]]=$BZ$5,الجدول14[[#This Row],[البرنامج]]=$BX$2),1,0)</f>
        <v>0</v>
      </c>
      <c r="AV33" s="127">
        <f>IF(AND(الجدول14[[#This Row],[البرنامج]]="OOSCH",الجدول14[[#This Row],[نوع الجلسة]]=$BZ$5),الجدول14[[#This Row],[عدد الذكور]],0)</f>
        <v>0</v>
      </c>
      <c r="AW33" s="127">
        <f>IF(AND(الجدول14[[#This Row],[البرنامج]]="OOSCH",الجدول14[[#This Row],[نوع الجلسة]]=$BZ$5),الجدول14[[#This Row],[عدد الأناث]],0)</f>
        <v>0</v>
      </c>
      <c r="AX33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33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33" s="121">
        <f>IF(AND(الجدول14[[#This Row],[نوع الجلسة]]=$BZ$6,الجدول14[[#This Row],[البرنامج]]=$BX$3),1,0)</f>
        <v>0</v>
      </c>
      <c r="BA33" s="121">
        <f>IF(AND(الجدول14[[#This Row],[البرنامج]]="PLW",الجدول14[[#This Row],[نوع الجلسة]]=$BZ$6),الجدول14[[#This Row],[عدد الذكور]],0)</f>
        <v>0</v>
      </c>
      <c r="BB33" s="121">
        <f>IF(AND(الجدول14[[#This Row],[البرنامج]]="PLW",الجدول14[[#This Row],[نوع الجلسة]]=$BZ$6),الجدول14[[#This Row],[عدد الأناث]],0)</f>
        <v>0</v>
      </c>
      <c r="BC33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33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33" s="122">
        <f>IF(AND(الجدول14[[#This Row],[نوع الجلسة]]=$BZ$6,الجدول14[[#This Row],[البرنامج]]=$BX$2),1,0)</f>
        <v>0</v>
      </c>
      <c r="BF33" s="122">
        <f>IF(AND(الجدول14[[#This Row],[البرنامج]]="OOSCH",الجدول14[[#This Row],[نوع الجلسة]]=$BZ$6),الجدول14[[#This Row],[عدد الذكور]],0)</f>
        <v>0</v>
      </c>
      <c r="BG33" s="122">
        <f>IF(AND(الجدول14[[#This Row],[البرنامج]]="OOSCH",الجدول14[[#This Row],[نوع الجلسة]]=$BZ$6),الجدول14[[#This Row],[عدد الأناث]],0)</f>
        <v>0</v>
      </c>
      <c r="BH33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33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34" spans="4:61" ht="31.5" customHeight="1" x14ac:dyDescent="0.25">
      <c r="D34" s="9"/>
      <c r="E34" s="9"/>
      <c r="F34" s="9"/>
      <c r="G34" s="9"/>
      <c r="H34" s="9"/>
      <c r="I34" s="9"/>
      <c r="J34" s="9"/>
      <c r="K34" s="9">
        <f>SUM(الجدول14[[#This Row],[عدد الذكور]:[عدد الأناث]])</f>
        <v>0</v>
      </c>
      <c r="L34" s="120">
        <f>IF(AND(الجدول14[[#This Row],[البرنامج]]="PLW",الجدول14[[#This Row],[نوع الجلسة]]=$BZ$2),1,0)</f>
        <v>0</v>
      </c>
      <c r="M34" s="120">
        <f>IF(AND(الجدول14[[#This Row],[نوع الجلسة]]=$BZ$2,الجدول14[[#This Row],[البرنامج]]="PLW"),الجدول14[[#This Row],[عدد الذكور]],0)</f>
        <v>0</v>
      </c>
      <c r="N34" s="120">
        <f>IF(AND(الجدول14[[#This Row],[نوع الجلسة]]=$BZ$2,الجدول14[[#This Row],[البرنامج]]="PLW"),الجدول14[[#This Row],[عدد الأناث]],0)</f>
        <v>0</v>
      </c>
      <c r="O34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34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34" s="123">
        <f>IF(AND(الجدول14[[#This Row],[البرنامج]]="OOSCH",الجدول14[[#This Row],[نوع الجلسة]]=$BZ$2),1,0)</f>
        <v>0</v>
      </c>
      <c r="R34" s="123">
        <f>IF(AND(الجدول14[[#This Row],[البرنامج]]="OOSCH",الجدول14[[#This Row],[نوع الجلسة]]=$BZ$2),الجدول14[[#This Row],[عدد الذكور]],0)</f>
        <v>0</v>
      </c>
      <c r="S34" s="123">
        <f>IF(AND(الجدول14[[#This Row],[البرنامج]]="OOSCH",الجدول14[[#This Row],[نوع الجلسة]]=$BZ$2),الجدول14[[#This Row],[عدد الأناث]],0)</f>
        <v>0</v>
      </c>
      <c r="T34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34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34" s="124">
        <f>IF(AND(الجدول14[[#This Row],[البرنامج]]="PLW",الجدول14[[#This Row],[نوع الجلسة]]="معلومات صحة تغذوية للسيدة الحامل"),1,0)</f>
        <v>0</v>
      </c>
      <c r="W34" s="124">
        <f>IF(AND(الجدول14[[#This Row],[نوع الجلسة]]=$BZ$3,الجدول14[[#This Row],[البرنامج]]="PLW"),الجدول14[[#This Row],[عدد الذكور]],0)</f>
        <v>0</v>
      </c>
      <c r="X34" s="124">
        <f>IF(AND(الجدول14[[#This Row],[نوع الجلسة]]=$BZ$3,الجدول14[[#This Row],[البرنامج]]="PLW"),الجدول14[[#This Row],[عدد الأناث]],0)</f>
        <v>0</v>
      </c>
      <c r="Y34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34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34" s="113">
        <f>IF(AND(الجدول14[[#This Row],[البرنامج]]="PLW",الجدول14[[#This Row],[نوع الجلسة]]=$BZ$4),1,0)</f>
        <v>0</v>
      </c>
      <c r="AB34" s="113">
        <f>IF(AND(الجدول14[[#This Row],[البرنامج]]="PLW",الجدول14[[#This Row],[نوع الجلسة]]=$BZ$4),الجدول14[[#This Row],[عدد الذكور]],0)</f>
        <v>0</v>
      </c>
      <c r="AC34" s="113">
        <f>IF(AND(الجدول14[[#This Row],[البرنامج]]="PLW",الجدول14[[#This Row],[نوع الجلسة]]=$BZ$4),الجدول14[[#This Row],[عدد الأناث]],0)</f>
        <v>0</v>
      </c>
      <c r="AD34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34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34" s="125">
        <f>IF(AND(الجدول14[[#This Row],[البرنامج]]="OOSCH",الجدول14[[#This Row],[نوع الجلسة]]=$BZ$7),1,0)</f>
        <v>0</v>
      </c>
      <c r="AG34" s="125">
        <f>IF(AND(الجدول14[[#This Row],[البرنامج]]="OOSCH",الجدول14[[#This Row],[نوع الجلسة]]=$BZ$7),الجدول14[[#This Row],[عدد الذكور]],0)</f>
        <v>0</v>
      </c>
      <c r="AH34" s="125">
        <f>IF(AND(الجدول14[[#This Row],[البرنامج]]="OOSCH",الجدول14[[#This Row],[نوع الجلسة]]=$BZ$7),الجدول14[[#This Row],[عدد الأناث]],0)</f>
        <v>0</v>
      </c>
      <c r="AI34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34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34" s="126">
        <f>IF(AND(الجدول14[[#This Row],[البرنامج]]="OOSCH",الجدول14[[#This Row],[نوع الجلسة]]=$BZ$4),1,0)</f>
        <v>0</v>
      </c>
      <c r="AL34" s="126">
        <f>IF(AND(الجدول14[[#This Row],[البرنامج]]="OOSCH",الجدول14[[#This Row],[نوع الجلسة]]=$BZ$4),الجدول14[[#This Row],[عدد الذكور]],0)</f>
        <v>0</v>
      </c>
      <c r="AM34" s="126">
        <f>IF(AND(الجدول14[[#This Row],[البرنامج]]="OOSCH",الجدول14[[#This Row],[نوع الجلسة]]=$BZ$4),الجدول14[[#This Row],[عدد الأناث]],0)</f>
        <v>0</v>
      </c>
      <c r="AN34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34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34" s="123">
        <f>IF(AND(الجدول14[[#This Row],[نوع الجلسة]]=$BZ$5,الجدول14[[#This Row],[البرنامج]]=$BX$3),1,0)</f>
        <v>0</v>
      </c>
      <c r="AQ34" s="123">
        <f>IF(AND(الجدول14[[#This Row],[البرنامج]]="PLW",الجدول14[[#This Row],[نوع الجلسة]]=$BZ$5),الجدول14[[#This Row],[عدد الذكور]],0)</f>
        <v>0</v>
      </c>
      <c r="AR34" s="123">
        <f>IF(AND(الجدول14[[#This Row],[البرنامج]]="PLW",الجدول14[[#This Row],[نوع الجلسة]]=$BZ$5),الجدول14[[#This Row],[عدد الأناث]],0)</f>
        <v>0</v>
      </c>
      <c r="AS34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34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34" s="127">
        <f>IF(AND(الجدول14[[#This Row],[نوع الجلسة]]=$BZ$5,الجدول14[[#This Row],[البرنامج]]=$BX$2),1,0)</f>
        <v>0</v>
      </c>
      <c r="AV34" s="127">
        <f>IF(AND(الجدول14[[#This Row],[البرنامج]]="OOSCH",الجدول14[[#This Row],[نوع الجلسة]]=$BZ$5),الجدول14[[#This Row],[عدد الذكور]],0)</f>
        <v>0</v>
      </c>
      <c r="AW34" s="127">
        <f>IF(AND(الجدول14[[#This Row],[البرنامج]]="OOSCH",الجدول14[[#This Row],[نوع الجلسة]]=$BZ$5),الجدول14[[#This Row],[عدد الأناث]],0)</f>
        <v>0</v>
      </c>
      <c r="AX34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34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34" s="121">
        <f>IF(AND(الجدول14[[#This Row],[نوع الجلسة]]=$BZ$6,الجدول14[[#This Row],[البرنامج]]=$BX$3),1,0)</f>
        <v>0</v>
      </c>
      <c r="BA34" s="121">
        <f>IF(AND(الجدول14[[#This Row],[البرنامج]]="PLW",الجدول14[[#This Row],[نوع الجلسة]]=$BZ$6),الجدول14[[#This Row],[عدد الذكور]],0)</f>
        <v>0</v>
      </c>
      <c r="BB34" s="121">
        <f>IF(AND(الجدول14[[#This Row],[البرنامج]]="PLW",الجدول14[[#This Row],[نوع الجلسة]]=$BZ$6),الجدول14[[#This Row],[عدد الأناث]],0)</f>
        <v>0</v>
      </c>
      <c r="BC34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34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34" s="122">
        <f>IF(AND(الجدول14[[#This Row],[نوع الجلسة]]=$BZ$6,الجدول14[[#This Row],[البرنامج]]=$BX$2),1,0)</f>
        <v>0</v>
      </c>
      <c r="BF34" s="122">
        <f>IF(AND(الجدول14[[#This Row],[البرنامج]]="OOSCH",الجدول14[[#This Row],[نوع الجلسة]]=$BZ$6),الجدول14[[#This Row],[عدد الذكور]],0)</f>
        <v>0</v>
      </c>
      <c r="BG34" s="122">
        <f>IF(AND(الجدول14[[#This Row],[البرنامج]]="OOSCH",الجدول14[[#This Row],[نوع الجلسة]]=$BZ$6),الجدول14[[#This Row],[عدد الأناث]],0)</f>
        <v>0</v>
      </c>
      <c r="BH34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34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35" spans="4:61" ht="31.5" customHeight="1" x14ac:dyDescent="0.25">
      <c r="D35" s="9"/>
      <c r="E35" s="9"/>
      <c r="F35" s="9"/>
      <c r="G35" s="9"/>
      <c r="H35" s="9"/>
      <c r="I35" s="9"/>
      <c r="J35" s="9"/>
      <c r="K35" s="9">
        <f>SUM(الجدول14[[#This Row],[عدد الذكور]:[عدد الأناث]])</f>
        <v>0</v>
      </c>
      <c r="L35" s="120">
        <f>IF(AND(الجدول14[[#This Row],[البرنامج]]="PLW",الجدول14[[#This Row],[نوع الجلسة]]=$BZ$2),1,0)</f>
        <v>0</v>
      </c>
      <c r="M35" s="120">
        <f>IF(AND(الجدول14[[#This Row],[نوع الجلسة]]=$BZ$2,الجدول14[[#This Row],[البرنامج]]="PLW"),الجدول14[[#This Row],[عدد الذكور]],0)</f>
        <v>0</v>
      </c>
      <c r="N35" s="120">
        <f>IF(AND(الجدول14[[#This Row],[نوع الجلسة]]=$BZ$2,الجدول14[[#This Row],[البرنامج]]="PLW"),الجدول14[[#This Row],[عدد الأناث]],0)</f>
        <v>0</v>
      </c>
      <c r="O35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35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35" s="123">
        <f>IF(AND(الجدول14[[#This Row],[البرنامج]]="OOSCH",الجدول14[[#This Row],[نوع الجلسة]]=$BZ$2),1,0)</f>
        <v>0</v>
      </c>
      <c r="R35" s="123">
        <f>IF(AND(الجدول14[[#This Row],[البرنامج]]="OOSCH",الجدول14[[#This Row],[نوع الجلسة]]=$BZ$2),الجدول14[[#This Row],[عدد الذكور]],0)</f>
        <v>0</v>
      </c>
      <c r="S35" s="123">
        <f>IF(AND(الجدول14[[#This Row],[البرنامج]]="OOSCH",الجدول14[[#This Row],[نوع الجلسة]]=$BZ$2),الجدول14[[#This Row],[عدد الأناث]],0)</f>
        <v>0</v>
      </c>
      <c r="T35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35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35" s="124">
        <f>IF(AND(الجدول14[[#This Row],[البرنامج]]="PLW",الجدول14[[#This Row],[نوع الجلسة]]="معلومات صحة تغذوية للسيدة الحامل"),1,0)</f>
        <v>0</v>
      </c>
      <c r="W35" s="124">
        <f>IF(AND(الجدول14[[#This Row],[نوع الجلسة]]=$BZ$3,الجدول14[[#This Row],[البرنامج]]="PLW"),الجدول14[[#This Row],[عدد الذكور]],0)</f>
        <v>0</v>
      </c>
      <c r="X35" s="124">
        <f>IF(AND(الجدول14[[#This Row],[نوع الجلسة]]=$BZ$3,الجدول14[[#This Row],[البرنامج]]="PLW"),الجدول14[[#This Row],[عدد الأناث]],0)</f>
        <v>0</v>
      </c>
      <c r="Y35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35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35" s="113">
        <f>IF(AND(الجدول14[[#This Row],[البرنامج]]="PLW",الجدول14[[#This Row],[نوع الجلسة]]=$BZ$4),1,0)</f>
        <v>0</v>
      </c>
      <c r="AB35" s="113">
        <f>IF(AND(الجدول14[[#This Row],[البرنامج]]="PLW",الجدول14[[#This Row],[نوع الجلسة]]=$BZ$4),الجدول14[[#This Row],[عدد الذكور]],0)</f>
        <v>0</v>
      </c>
      <c r="AC35" s="113">
        <f>IF(AND(الجدول14[[#This Row],[البرنامج]]="PLW",الجدول14[[#This Row],[نوع الجلسة]]=$BZ$4),الجدول14[[#This Row],[عدد الأناث]],0)</f>
        <v>0</v>
      </c>
      <c r="AD35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35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35" s="125">
        <f>IF(AND(الجدول14[[#This Row],[البرنامج]]="OOSCH",الجدول14[[#This Row],[نوع الجلسة]]=$BZ$7),1,0)</f>
        <v>0</v>
      </c>
      <c r="AG35" s="125">
        <f>IF(AND(الجدول14[[#This Row],[البرنامج]]="OOSCH",الجدول14[[#This Row],[نوع الجلسة]]=$BZ$7),الجدول14[[#This Row],[عدد الذكور]],0)</f>
        <v>0</v>
      </c>
      <c r="AH35" s="125">
        <f>IF(AND(الجدول14[[#This Row],[البرنامج]]="OOSCH",الجدول14[[#This Row],[نوع الجلسة]]=$BZ$7),الجدول14[[#This Row],[عدد الأناث]],0)</f>
        <v>0</v>
      </c>
      <c r="AI35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35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35" s="126">
        <f>IF(AND(الجدول14[[#This Row],[البرنامج]]="OOSCH",الجدول14[[#This Row],[نوع الجلسة]]=$BZ$4),1,0)</f>
        <v>0</v>
      </c>
      <c r="AL35" s="126">
        <f>IF(AND(الجدول14[[#This Row],[البرنامج]]="OOSCH",الجدول14[[#This Row],[نوع الجلسة]]=$BZ$4),الجدول14[[#This Row],[عدد الذكور]],0)</f>
        <v>0</v>
      </c>
      <c r="AM35" s="126">
        <f>IF(AND(الجدول14[[#This Row],[البرنامج]]="OOSCH",الجدول14[[#This Row],[نوع الجلسة]]=$BZ$4),الجدول14[[#This Row],[عدد الأناث]],0)</f>
        <v>0</v>
      </c>
      <c r="AN35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35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35" s="123">
        <f>IF(AND(الجدول14[[#This Row],[نوع الجلسة]]=$BZ$5,الجدول14[[#This Row],[البرنامج]]=$BX$3),1,0)</f>
        <v>0</v>
      </c>
      <c r="AQ35" s="123">
        <f>IF(AND(الجدول14[[#This Row],[البرنامج]]="PLW",الجدول14[[#This Row],[نوع الجلسة]]=$BZ$5),الجدول14[[#This Row],[عدد الذكور]],0)</f>
        <v>0</v>
      </c>
      <c r="AR35" s="123">
        <f>IF(AND(الجدول14[[#This Row],[البرنامج]]="PLW",الجدول14[[#This Row],[نوع الجلسة]]=$BZ$5),الجدول14[[#This Row],[عدد الأناث]],0)</f>
        <v>0</v>
      </c>
      <c r="AS35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35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35" s="127">
        <f>IF(AND(الجدول14[[#This Row],[نوع الجلسة]]=$BZ$5,الجدول14[[#This Row],[البرنامج]]=$BX$2),1,0)</f>
        <v>0</v>
      </c>
      <c r="AV35" s="127">
        <f>IF(AND(الجدول14[[#This Row],[البرنامج]]="OOSCH",الجدول14[[#This Row],[نوع الجلسة]]=$BZ$5),الجدول14[[#This Row],[عدد الذكور]],0)</f>
        <v>0</v>
      </c>
      <c r="AW35" s="127">
        <f>IF(AND(الجدول14[[#This Row],[البرنامج]]="OOSCH",الجدول14[[#This Row],[نوع الجلسة]]=$BZ$5),الجدول14[[#This Row],[عدد الأناث]],0)</f>
        <v>0</v>
      </c>
      <c r="AX35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35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35" s="121">
        <f>IF(AND(الجدول14[[#This Row],[نوع الجلسة]]=$BZ$6,الجدول14[[#This Row],[البرنامج]]=$BX$3),1,0)</f>
        <v>0</v>
      </c>
      <c r="BA35" s="121">
        <f>IF(AND(الجدول14[[#This Row],[البرنامج]]="PLW",الجدول14[[#This Row],[نوع الجلسة]]=$BZ$6),الجدول14[[#This Row],[عدد الذكور]],0)</f>
        <v>0</v>
      </c>
      <c r="BB35" s="121">
        <f>IF(AND(الجدول14[[#This Row],[البرنامج]]="PLW",الجدول14[[#This Row],[نوع الجلسة]]=$BZ$6),الجدول14[[#This Row],[عدد الأناث]],0)</f>
        <v>0</v>
      </c>
      <c r="BC35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35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35" s="122">
        <f>IF(AND(الجدول14[[#This Row],[نوع الجلسة]]=$BZ$6,الجدول14[[#This Row],[البرنامج]]=$BX$2),1,0)</f>
        <v>0</v>
      </c>
      <c r="BF35" s="122">
        <f>IF(AND(الجدول14[[#This Row],[البرنامج]]="OOSCH",الجدول14[[#This Row],[نوع الجلسة]]=$BZ$6),الجدول14[[#This Row],[عدد الذكور]],0)</f>
        <v>0</v>
      </c>
      <c r="BG35" s="122">
        <f>IF(AND(الجدول14[[#This Row],[البرنامج]]="OOSCH",الجدول14[[#This Row],[نوع الجلسة]]=$BZ$6),الجدول14[[#This Row],[عدد الأناث]],0)</f>
        <v>0</v>
      </c>
      <c r="BH35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35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36" spans="4:61" ht="31.5" customHeight="1" x14ac:dyDescent="0.25">
      <c r="D36" s="9"/>
      <c r="E36" s="9"/>
      <c r="F36" s="9"/>
      <c r="G36" s="9"/>
      <c r="H36" s="9"/>
      <c r="I36" s="9"/>
      <c r="J36" s="9"/>
      <c r="K36" s="9">
        <f>SUM(الجدول14[[#This Row],[عدد الذكور]:[عدد الأناث]])</f>
        <v>0</v>
      </c>
      <c r="L36" s="120">
        <f>IF(AND(الجدول14[[#This Row],[البرنامج]]="PLW",الجدول14[[#This Row],[نوع الجلسة]]=$BZ$2),1,0)</f>
        <v>0</v>
      </c>
      <c r="M36" s="120">
        <f>IF(AND(الجدول14[[#This Row],[نوع الجلسة]]=$BZ$2,الجدول14[[#This Row],[البرنامج]]="PLW"),الجدول14[[#This Row],[عدد الذكور]],0)</f>
        <v>0</v>
      </c>
      <c r="N36" s="120">
        <f>IF(AND(الجدول14[[#This Row],[نوع الجلسة]]=$BZ$2,الجدول14[[#This Row],[البرنامج]]="PLW"),الجدول14[[#This Row],[عدد الأناث]],0)</f>
        <v>0</v>
      </c>
      <c r="O36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36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36" s="123">
        <f>IF(AND(الجدول14[[#This Row],[البرنامج]]="OOSCH",الجدول14[[#This Row],[نوع الجلسة]]=$BZ$2),1,0)</f>
        <v>0</v>
      </c>
      <c r="R36" s="123">
        <f>IF(AND(الجدول14[[#This Row],[البرنامج]]="OOSCH",الجدول14[[#This Row],[نوع الجلسة]]=$BZ$2),الجدول14[[#This Row],[عدد الذكور]],0)</f>
        <v>0</v>
      </c>
      <c r="S36" s="123">
        <f>IF(AND(الجدول14[[#This Row],[البرنامج]]="OOSCH",الجدول14[[#This Row],[نوع الجلسة]]=$BZ$2),الجدول14[[#This Row],[عدد الأناث]],0)</f>
        <v>0</v>
      </c>
      <c r="T36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36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36" s="124">
        <f>IF(AND(الجدول14[[#This Row],[البرنامج]]="PLW",الجدول14[[#This Row],[نوع الجلسة]]="معلومات صحة تغذوية للسيدة الحامل"),1,0)</f>
        <v>0</v>
      </c>
      <c r="W36" s="124">
        <f>IF(AND(الجدول14[[#This Row],[نوع الجلسة]]=$BZ$3,الجدول14[[#This Row],[البرنامج]]="PLW"),الجدول14[[#This Row],[عدد الذكور]],0)</f>
        <v>0</v>
      </c>
      <c r="X36" s="124">
        <f>IF(AND(الجدول14[[#This Row],[نوع الجلسة]]=$BZ$3,الجدول14[[#This Row],[البرنامج]]="PLW"),الجدول14[[#This Row],[عدد الأناث]],0)</f>
        <v>0</v>
      </c>
      <c r="Y36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36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36" s="113">
        <f>IF(AND(الجدول14[[#This Row],[البرنامج]]="PLW",الجدول14[[#This Row],[نوع الجلسة]]=$BZ$4),1,0)</f>
        <v>0</v>
      </c>
      <c r="AB36" s="113">
        <f>IF(AND(الجدول14[[#This Row],[البرنامج]]="PLW",الجدول14[[#This Row],[نوع الجلسة]]=$BZ$4),الجدول14[[#This Row],[عدد الذكور]],0)</f>
        <v>0</v>
      </c>
      <c r="AC36" s="113">
        <f>IF(AND(الجدول14[[#This Row],[البرنامج]]="PLW",الجدول14[[#This Row],[نوع الجلسة]]=$BZ$4),الجدول14[[#This Row],[عدد الأناث]],0)</f>
        <v>0</v>
      </c>
      <c r="AD36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36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36" s="125">
        <f>IF(AND(الجدول14[[#This Row],[البرنامج]]="OOSCH",الجدول14[[#This Row],[نوع الجلسة]]=$BZ$7),1,0)</f>
        <v>0</v>
      </c>
      <c r="AG36" s="125">
        <f>IF(AND(الجدول14[[#This Row],[البرنامج]]="OOSCH",الجدول14[[#This Row],[نوع الجلسة]]=$BZ$7),الجدول14[[#This Row],[عدد الذكور]],0)</f>
        <v>0</v>
      </c>
      <c r="AH36" s="125">
        <f>IF(AND(الجدول14[[#This Row],[البرنامج]]="OOSCH",الجدول14[[#This Row],[نوع الجلسة]]=$BZ$7),الجدول14[[#This Row],[عدد الأناث]],0)</f>
        <v>0</v>
      </c>
      <c r="AI36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36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36" s="126">
        <f>IF(AND(الجدول14[[#This Row],[البرنامج]]="OOSCH",الجدول14[[#This Row],[نوع الجلسة]]=$BZ$4),1,0)</f>
        <v>0</v>
      </c>
      <c r="AL36" s="126">
        <f>IF(AND(الجدول14[[#This Row],[البرنامج]]="OOSCH",الجدول14[[#This Row],[نوع الجلسة]]=$BZ$4),الجدول14[[#This Row],[عدد الذكور]],0)</f>
        <v>0</v>
      </c>
      <c r="AM36" s="126">
        <f>IF(AND(الجدول14[[#This Row],[البرنامج]]="OOSCH",الجدول14[[#This Row],[نوع الجلسة]]=$BZ$4),الجدول14[[#This Row],[عدد الأناث]],0)</f>
        <v>0</v>
      </c>
      <c r="AN36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36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36" s="123">
        <f>IF(AND(الجدول14[[#This Row],[نوع الجلسة]]=$BZ$5,الجدول14[[#This Row],[البرنامج]]=$BX$3),1,0)</f>
        <v>0</v>
      </c>
      <c r="AQ36" s="123">
        <f>IF(AND(الجدول14[[#This Row],[البرنامج]]="PLW",الجدول14[[#This Row],[نوع الجلسة]]=$BZ$5),الجدول14[[#This Row],[عدد الذكور]],0)</f>
        <v>0</v>
      </c>
      <c r="AR36" s="123">
        <f>IF(AND(الجدول14[[#This Row],[البرنامج]]="PLW",الجدول14[[#This Row],[نوع الجلسة]]=$BZ$5),الجدول14[[#This Row],[عدد الأناث]],0)</f>
        <v>0</v>
      </c>
      <c r="AS36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36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36" s="127">
        <f>IF(AND(الجدول14[[#This Row],[نوع الجلسة]]=$BZ$5,الجدول14[[#This Row],[البرنامج]]=$BX$2),1,0)</f>
        <v>0</v>
      </c>
      <c r="AV36" s="127">
        <f>IF(AND(الجدول14[[#This Row],[البرنامج]]="OOSCH",الجدول14[[#This Row],[نوع الجلسة]]=$BZ$5),الجدول14[[#This Row],[عدد الذكور]],0)</f>
        <v>0</v>
      </c>
      <c r="AW36" s="127">
        <f>IF(AND(الجدول14[[#This Row],[البرنامج]]="OOSCH",الجدول14[[#This Row],[نوع الجلسة]]=$BZ$5),الجدول14[[#This Row],[عدد الأناث]],0)</f>
        <v>0</v>
      </c>
      <c r="AX36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36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36" s="121">
        <f>IF(AND(الجدول14[[#This Row],[نوع الجلسة]]=$BZ$6,الجدول14[[#This Row],[البرنامج]]=$BX$3),1,0)</f>
        <v>0</v>
      </c>
      <c r="BA36" s="121">
        <f>IF(AND(الجدول14[[#This Row],[البرنامج]]="PLW",الجدول14[[#This Row],[نوع الجلسة]]=$BZ$6),الجدول14[[#This Row],[عدد الذكور]],0)</f>
        <v>0</v>
      </c>
      <c r="BB36" s="121">
        <f>IF(AND(الجدول14[[#This Row],[البرنامج]]="PLW",الجدول14[[#This Row],[نوع الجلسة]]=$BZ$6),الجدول14[[#This Row],[عدد الأناث]],0)</f>
        <v>0</v>
      </c>
      <c r="BC36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36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36" s="122">
        <f>IF(AND(الجدول14[[#This Row],[نوع الجلسة]]=$BZ$6,الجدول14[[#This Row],[البرنامج]]=$BX$2),1,0)</f>
        <v>0</v>
      </c>
      <c r="BF36" s="122">
        <f>IF(AND(الجدول14[[#This Row],[البرنامج]]="OOSCH",الجدول14[[#This Row],[نوع الجلسة]]=$BZ$6),الجدول14[[#This Row],[عدد الذكور]],0)</f>
        <v>0</v>
      </c>
      <c r="BG36" s="122">
        <f>IF(AND(الجدول14[[#This Row],[البرنامج]]="OOSCH",الجدول14[[#This Row],[نوع الجلسة]]=$BZ$6),الجدول14[[#This Row],[عدد الأناث]],0)</f>
        <v>0</v>
      </c>
      <c r="BH36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36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37" spans="4:61" ht="31.5" customHeight="1" x14ac:dyDescent="0.25">
      <c r="D37" s="9"/>
      <c r="E37" s="9"/>
      <c r="F37" s="9"/>
      <c r="G37" s="9"/>
      <c r="H37" s="9"/>
      <c r="I37" s="9"/>
      <c r="J37" s="9"/>
      <c r="K37" s="9">
        <f>SUM(الجدول14[[#This Row],[عدد الذكور]:[عدد الأناث]])</f>
        <v>0</v>
      </c>
      <c r="L37" s="120">
        <f>IF(AND(الجدول14[[#This Row],[البرنامج]]="PLW",الجدول14[[#This Row],[نوع الجلسة]]=$BZ$2),1,0)</f>
        <v>0</v>
      </c>
      <c r="M37" s="120">
        <f>IF(AND(الجدول14[[#This Row],[نوع الجلسة]]=$BZ$2,الجدول14[[#This Row],[البرنامج]]="PLW"),الجدول14[[#This Row],[عدد الذكور]],0)</f>
        <v>0</v>
      </c>
      <c r="N37" s="120">
        <f>IF(AND(الجدول14[[#This Row],[نوع الجلسة]]=$BZ$2,الجدول14[[#This Row],[البرنامج]]="PLW"),الجدول14[[#This Row],[عدد الأناث]],0)</f>
        <v>0</v>
      </c>
      <c r="O37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37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37" s="123">
        <f>IF(AND(الجدول14[[#This Row],[البرنامج]]="OOSCH",الجدول14[[#This Row],[نوع الجلسة]]=$BZ$2),1,0)</f>
        <v>0</v>
      </c>
      <c r="R37" s="123">
        <f>IF(AND(الجدول14[[#This Row],[البرنامج]]="OOSCH",الجدول14[[#This Row],[نوع الجلسة]]=$BZ$2),الجدول14[[#This Row],[عدد الذكور]],0)</f>
        <v>0</v>
      </c>
      <c r="S37" s="123">
        <f>IF(AND(الجدول14[[#This Row],[البرنامج]]="OOSCH",الجدول14[[#This Row],[نوع الجلسة]]=$BZ$2),الجدول14[[#This Row],[عدد الأناث]],0)</f>
        <v>0</v>
      </c>
      <c r="T37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37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37" s="124">
        <f>IF(AND(الجدول14[[#This Row],[البرنامج]]="PLW",الجدول14[[#This Row],[نوع الجلسة]]="معلومات صحة تغذوية للسيدة الحامل"),1,0)</f>
        <v>0</v>
      </c>
      <c r="W37" s="124">
        <f>IF(AND(الجدول14[[#This Row],[نوع الجلسة]]=$BZ$3,الجدول14[[#This Row],[البرنامج]]="PLW"),الجدول14[[#This Row],[عدد الذكور]],0)</f>
        <v>0</v>
      </c>
      <c r="X37" s="124">
        <f>IF(AND(الجدول14[[#This Row],[نوع الجلسة]]=$BZ$3,الجدول14[[#This Row],[البرنامج]]="PLW"),الجدول14[[#This Row],[عدد الأناث]],0)</f>
        <v>0</v>
      </c>
      <c r="Y37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37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37" s="113">
        <f>IF(AND(الجدول14[[#This Row],[البرنامج]]="PLW",الجدول14[[#This Row],[نوع الجلسة]]=$BZ$4),1,0)</f>
        <v>0</v>
      </c>
      <c r="AB37" s="113">
        <f>IF(AND(الجدول14[[#This Row],[البرنامج]]="PLW",الجدول14[[#This Row],[نوع الجلسة]]=$BZ$4),الجدول14[[#This Row],[عدد الذكور]],0)</f>
        <v>0</v>
      </c>
      <c r="AC37" s="113">
        <f>IF(AND(الجدول14[[#This Row],[البرنامج]]="PLW",الجدول14[[#This Row],[نوع الجلسة]]=$BZ$4),الجدول14[[#This Row],[عدد الأناث]],0)</f>
        <v>0</v>
      </c>
      <c r="AD37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37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37" s="125">
        <f>IF(AND(الجدول14[[#This Row],[البرنامج]]="OOSCH",الجدول14[[#This Row],[نوع الجلسة]]=$BZ$7),1,0)</f>
        <v>0</v>
      </c>
      <c r="AG37" s="125">
        <f>IF(AND(الجدول14[[#This Row],[البرنامج]]="OOSCH",الجدول14[[#This Row],[نوع الجلسة]]=$BZ$7),الجدول14[[#This Row],[عدد الذكور]],0)</f>
        <v>0</v>
      </c>
      <c r="AH37" s="125">
        <f>IF(AND(الجدول14[[#This Row],[البرنامج]]="OOSCH",الجدول14[[#This Row],[نوع الجلسة]]=$BZ$7),الجدول14[[#This Row],[عدد الأناث]],0)</f>
        <v>0</v>
      </c>
      <c r="AI37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37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37" s="126">
        <f>IF(AND(الجدول14[[#This Row],[البرنامج]]="OOSCH",الجدول14[[#This Row],[نوع الجلسة]]=$BZ$4),1,0)</f>
        <v>0</v>
      </c>
      <c r="AL37" s="126">
        <f>IF(AND(الجدول14[[#This Row],[البرنامج]]="OOSCH",الجدول14[[#This Row],[نوع الجلسة]]=$BZ$4),الجدول14[[#This Row],[عدد الذكور]],0)</f>
        <v>0</v>
      </c>
      <c r="AM37" s="126">
        <f>IF(AND(الجدول14[[#This Row],[البرنامج]]="OOSCH",الجدول14[[#This Row],[نوع الجلسة]]=$BZ$4),الجدول14[[#This Row],[عدد الأناث]],0)</f>
        <v>0</v>
      </c>
      <c r="AN37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37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37" s="123">
        <f>IF(AND(الجدول14[[#This Row],[نوع الجلسة]]=$BZ$5,الجدول14[[#This Row],[البرنامج]]=$BX$3),1,0)</f>
        <v>0</v>
      </c>
      <c r="AQ37" s="123">
        <f>IF(AND(الجدول14[[#This Row],[البرنامج]]="PLW",الجدول14[[#This Row],[نوع الجلسة]]=$BZ$5),الجدول14[[#This Row],[عدد الذكور]],0)</f>
        <v>0</v>
      </c>
      <c r="AR37" s="123">
        <f>IF(AND(الجدول14[[#This Row],[البرنامج]]="PLW",الجدول14[[#This Row],[نوع الجلسة]]=$BZ$5),الجدول14[[#This Row],[عدد الأناث]],0)</f>
        <v>0</v>
      </c>
      <c r="AS37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37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37" s="127">
        <f>IF(AND(الجدول14[[#This Row],[نوع الجلسة]]=$BZ$5,الجدول14[[#This Row],[البرنامج]]=$BX$2),1,0)</f>
        <v>0</v>
      </c>
      <c r="AV37" s="127">
        <f>IF(AND(الجدول14[[#This Row],[البرنامج]]="OOSCH",الجدول14[[#This Row],[نوع الجلسة]]=$BZ$5),الجدول14[[#This Row],[عدد الذكور]],0)</f>
        <v>0</v>
      </c>
      <c r="AW37" s="127">
        <f>IF(AND(الجدول14[[#This Row],[البرنامج]]="OOSCH",الجدول14[[#This Row],[نوع الجلسة]]=$BZ$5),الجدول14[[#This Row],[عدد الأناث]],0)</f>
        <v>0</v>
      </c>
      <c r="AX37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37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37" s="121">
        <f>IF(AND(الجدول14[[#This Row],[نوع الجلسة]]=$BZ$6,الجدول14[[#This Row],[البرنامج]]=$BX$3),1,0)</f>
        <v>0</v>
      </c>
      <c r="BA37" s="121">
        <f>IF(AND(الجدول14[[#This Row],[البرنامج]]="PLW",الجدول14[[#This Row],[نوع الجلسة]]=$BZ$6),الجدول14[[#This Row],[عدد الذكور]],0)</f>
        <v>0</v>
      </c>
      <c r="BB37" s="121">
        <f>IF(AND(الجدول14[[#This Row],[البرنامج]]="PLW",الجدول14[[#This Row],[نوع الجلسة]]=$BZ$6),الجدول14[[#This Row],[عدد الأناث]],0)</f>
        <v>0</v>
      </c>
      <c r="BC37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37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37" s="122">
        <f>IF(AND(الجدول14[[#This Row],[نوع الجلسة]]=$BZ$6,الجدول14[[#This Row],[البرنامج]]=$BX$2),1,0)</f>
        <v>0</v>
      </c>
      <c r="BF37" s="122">
        <f>IF(AND(الجدول14[[#This Row],[البرنامج]]="OOSCH",الجدول14[[#This Row],[نوع الجلسة]]=$BZ$6),الجدول14[[#This Row],[عدد الذكور]],0)</f>
        <v>0</v>
      </c>
      <c r="BG37" s="122">
        <f>IF(AND(الجدول14[[#This Row],[البرنامج]]="OOSCH",الجدول14[[#This Row],[نوع الجلسة]]=$BZ$6),الجدول14[[#This Row],[عدد الأناث]],0)</f>
        <v>0</v>
      </c>
      <c r="BH37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37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38" spans="4:61" ht="31.5" customHeight="1" x14ac:dyDescent="0.25">
      <c r="D38" s="9"/>
      <c r="E38" s="9"/>
      <c r="F38" s="9"/>
      <c r="G38" s="9"/>
      <c r="H38" s="9"/>
      <c r="I38" s="9"/>
      <c r="J38" s="9"/>
      <c r="K38" s="9">
        <f>SUM(الجدول14[[#This Row],[عدد الذكور]:[عدد الأناث]])</f>
        <v>0</v>
      </c>
      <c r="L38" s="120">
        <f>IF(AND(الجدول14[[#This Row],[البرنامج]]="PLW",الجدول14[[#This Row],[نوع الجلسة]]=$BZ$2),1,0)</f>
        <v>0</v>
      </c>
      <c r="M38" s="120">
        <f>IF(AND(الجدول14[[#This Row],[نوع الجلسة]]=$BZ$2,الجدول14[[#This Row],[البرنامج]]="PLW"),الجدول14[[#This Row],[عدد الذكور]],0)</f>
        <v>0</v>
      </c>
      <c r="N38" s="120">
        <f>IF(AND(الجدول14[[#This Row],[نوع الجلسة]]=$BZ$2,الجدول14[[#This Row],[البرنامج]]="PLW"),الجدول14[[#This Row],[عدد الأناث]],0)</f>
        <v>0</v>
      </c>
      <c r="O38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38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38" s="123">
        <f>IF(AND(الجدول14[[#This Row],[البرنامج]]="OOSCH",الجدول14[[#This Row],[نوع الجلسة]]=$BZ$2),1,0)</f>
        <v>0</v>
      </c>
      <c r="R38" s="123">
        <f>IF(AND(الجدول14[[#This Row],[البرنامج]]="OOSCH",الجدول14[[#This Row],[نوع الجلسة]]=$BZ$2),الجدول14[[#This Row],[عدد الذكور]],0)</f>
        <v>0</v>
      </c>
      <c r="S38" s="123">
        <f>IF(AND(الجدول14[[#This Row],[البرنامج]]="OOSCH",الجدول14[[#This Row],[نوع الجلسة]]=$BZ$2),الجدول14[[#This Row],[عدد الأناث]],0)</f>
        <v>0</v>
      </c>
      <c r="T38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38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38" s="124">
        <f>IF(AND(الجدول14[[#This Row],[البرنامج]]="PLW",الجدول14[[#This Row],[نوع الجلسة]]="معلومات صحة تغذوية للسيدة الحامل"),1,0)</f>
        <v>0</v>
      </c>
      <c r="W38" s="124">
        <f>IF(AND(الجدول14[[#This Row],[نوع الجلسة]]=$BZ$3,الجدول14[[#This Row],[البرنامج]]="PLW"),الجدول14[[#This Row],[عدد الذكور]],0)</f>
        <v>0</v>
      </c>
      <c r="X38" s="124">
        <f>IF(AND(الجدول14[[#This Row],[نوع الجلسة]]=$BZ$3,الجدول14[[#This Row],[البرنامج]]="PLW"),الجدول14[[#This Row],[عدد الأناث]],0)</f>
        <v>0</v>
      </c>
      <c r="Y38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38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38" s="113">
        <f>IF(AND(الجدول14[[#This Row],[البرنامج]]="PLW",الجدول14[[#This Row],[نوع الجلسة]]=$BZ$4),1,0)</f>
        <v>0</v>
      </c>
      <c r="AB38" s="113">
        <f>IF(AND(الجدول14[[#This Row],[البرنامج]]="PLW",الجدول14[[#This Row],[نوع الجلسة]]=$BZ$4),الجدول14[[#This Row],[عدد الذكور]],0)</f>
        <v>0</v>
      </c>
      <c r="AC38" s="113">
        <f>IF(AND(الجدول14[[#This Row],[البرنامج]]="PLW",الجدول14[[#This Row],[نوع الجلسة]]=$BZ$4),الجدول14[[#This Row],[عدد الأناث]],0)</f>
        <v>0</v>
      </c>
      <c r="AD38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38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38" s="125">
        <f>IF(AND(الجدول14[[#This Row],[البرنامج]]="OOSCH",الجدول14[[#This Row],[نوع الجلسة]]=$BZ$7),1,0)</f>
        <v>0</v>
      </c>
      <c r="AG38" s="125">
        <f>IF(AND(الجدول14[[#This Row],[البرنامج]]="OOSCH",الجدول14[[#This Row],[نوع الجلسة]]=$BZ$7),الجدول14[[#This Row],[عدد الذكور]],0)</f>
        <v>0</v>
      </c>
      <c r="AH38" s="125">
        <f>IF(AND(الجدول14[[#This Row],[البرنامج]]="OOSCH",الجدول14[[#This Row],[نوع الجلسة]]=$BZ$7),الجدول14[[#This Row],[عدد الأناث]],0)</f>
        <v>0</v>
      </c>
      <c r="AI38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38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38" s="126">
        <f>IF(AND(الجدول14[[#This Row],[البرنامج]]="OOSCH",الجدول14[[#This Row],[نوع الجلسة]]=$BZ$4),1,0)</f>
        <v>0</v>
      </c>
      <c r="AL38" s="126">
        <f>IF(AND(الجدول14[[#This Row],[البرنامج]]="OOSCH",الجدول14[[#This Row],[نوع الجلسة]]=$BZ$4),الجدول14[[#This Row],[عدد الذكور]],0)</f>
        <v>0</v>
      </c>
      <c r="AM38" s="126">
        <f>IF(AND(الجدول14[[#This Row],[البرنامج]]="OOSCH",الجدول14[[#This Row],[نوع الجلسة]]=$BZ$4),الجدول14[[#This Row],[عدد الأناث]],0)</f>
        <v>0</v>
      </c>
      <c r="AN38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38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38" s="123">
        <f>IF(AND(الجدول14[[#This Row],[نوع الجلسة]]=$BZ$5,الجدول14[[#This Row],[البرنامج]]=$BX$3),1,0)</f>
        <v>0</v>
      </c>
      <c r="AQ38" s="123">
        <f>IF(AND(الجدول14[[#This Row],[البرنامج]]="PLW",الجدول14[[#This Row],[نوع الجلسة]]=$BZ$5),الجدول14[[#This Row],[عدد الذكور]],0)</f>
        <v>0</v>
      </c>
      <c r="AR38" s="123">
        <f>IF(AND(الجدول14[[#This Row],[البرنامج]]="PLW",الجدول14[[#This Row],[نوع الجلسة]]=$BZ$5),الجدول14[[#This Row],[عدد الأناث]],0)</f>
        <v>0</v>
      </c>
      <c r="AS38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38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38" s="127">
        <f>IF(AND(الجدول14[[#This Row],[نوع الجلسة]]=$BZ$5,الجدول14[[#This Row],[البرنامج]]=$BX$2),1,0)</f>
        <v>0</v>
      </c>
      <c r="AV38" s="127">
        <f>IF(AND(الجدول14[[#This Row],[البرنامج]]="OOSCH",الجدول14[[#This Row],[نوع الجلسة]]=$BZ$5),الجدول14[[#This Row],[عدد الذكور]],0)</f>
        <v>0</v>
      </c>
      <c r="AW38" s="127">
        <f>IF(AND(الجدول14[[#This Row],[البرنامج]]="OOSCH",الجدول14[[#This Row],[نوع الجلسة]]=$BZ$5),الجدول14[[#This Row],[عدد الأناث]],0)</f>
        <v>0</v>
      </c>
      <c r="AX38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38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38" s="121">
        <f>IF(AND(الجدول14[[#This Row],[نوع الجلسة]]=$BZ$6,الجدول14[[#This Row],[البرنامج]]=$BX$3),1,0)</f>
        <v>0</v>
      </c>
      <c r="BA38" s="121">
        <f>IF(AND(الجدول14[[#This Row],[البرنامج]]="PLW",الجدول14[[#This Row],[نوع الجلسة]]=$BZ$6),الجدول14[[#This Row],[عدد الذكور]],0)</f>
        <v>0</v>
      </c>
      <c r="BB38" s="121">
        <f>IF(AND(الجدول14[[#This Row],[البرنامج]]="PLW",الجدول14[[#This Row],[نوع الجلسة]]=$BZ$6),الجدول14[[#This Row],[عدد الأناث]],0)</f>
        <v>0</v>
      </c>
      <c r="BC38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38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38" s="122">
        <f>IF(AND(الجدول14[[#This Row],[نوع الجلسة]]=$BZ$6,الجدول14[[#This Row],[البرنامج]]=$BX$2),1,0)</f>
        <v>0</v>
      </c>
      <c r="BF38" s="122">
        <f>IF(AND(الجدول14[[#This Row],[البرنامج]]="OOSCH",الجدول14[[#This Row],[نوع الجلسة]]=$BZ$6),الجدول14[[#This Row],[عدد الذكور]],0)</f>
        <v>0</v>
      </c>
      <c r="BG38" s="122">
        <f>IF(AND(الجدول14[[#This Row],[البرنامج]]="OOSCH",الجدول14[[#This Row],[نوع الجلسة]]=$BZ$6),الجدول14[[#This Row],[عدد الأناث]],0)</f>
        <v>0</v>
      </c>
      <c r="BH38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38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39" spans="4:61" ht="31.5" customHeight="1" x14ac:dyDescent="0.25">
      <c r="D39" s="9"/>
      <c r="E39" s="9"/>
      <c r="F39" s="9"/>
      <c r="G39" s="9"/>
      <c r="H39" s="9"/>
      <c r="I39" s="9"/>
      <c r="J39" s="9"/>
      <c r="K39" s="9">
        <f>SUM(الجدول14[[#This Row],[عدد الذكور]:[عدد الأناث]])</f>
        <v>0</v>
      </c>
      <c r="L39" s="120">
        <f>IF(AND(الجدول14[[#This Row],[البرنامج]]="PLW",الجدول14[[#This Row],[نوع الجلسة]]=$BZ$2),1,0)</f>
        <v>0</v>
      </c>
      <c r="M39" s="120">
        <f>IF(AND(الجدول14[[#This Row],[نوع الجلسة]]=$BZ$2,الجدول14[[#This Row],[البرنامج]]="PLW"),الجدول14[[#This Row],[عدد الذكور]],0)</f>
        <v>0</v>
      </c>
      <c r="N39" s="120">
        <f>IF(AND(الجدول14[[#This Row],[نوع الجلسة]]=$BZ$2,الجدول14[[#This Row],[البرنامج]]="PLW"),الجدول14[[#This Row],[عدد الأناث]],0)</f>
        <v>0</v>
      </c>
      <c r="O39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39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39" s="123">
        <f>IF(AND(الجدول14[[#This Row],[البرنامج]]="OOSCH",الجدول14[[#This Row],[نوع الجلسة]]=$BZ$2),1,0)</f>
        <v>0</v>
      </c>
      <c r="R39" s="123">
        <f>IF(AND(الجدول14[[#This Row],[البرنامج]]="OOSCH",الجدول14[[#This Row],[نوع الجلسة]]=$BZ$2),الجدول14[[#This Row],[عدد الذكور]],0)</f>
        <v>0</v>
      </c>
      <c r="S39" s="123">
        <f>IF(AND(الجدول14[[#This Row],[البرنامج]]="OOSCH",الجدول14[[#This Row],[نوع الجلسة]]=$BZ$2),الجدول14[[#This Row],[عدد الأناث]],0)</f>
        <v>0</v>
      </c>
      <c r="T39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39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39" s="124">
        <f>IF(AND(الجدول14[[#This Row],[البرنامج]]="PLW",الجدول14[[#This Row],[نوع الجلسة]]="معلومات صحة تغذوية للسيدة الحامل"),1,0)</f>
        <v>0</v>
      </c>
      <c r="W39" s="124">
        <f>IF(AND(الجدول14[[#This Row],[نوع الجلسة]]=$BZ$3,الجدول14[[#This Row],[البرنامج]]="PLW"),الجدول14[[#This Row],[عدد الذكور]],0)</f>
        <v>0</v>
      </c>
      <c r="X39" s="124">
        <f>IF(AND(الجدول14[[#This Row],[نوع الجلسة]]=$BZ$3,الجدول14[[#This Row],[البرنامج]]="PLW"),الجدول14[[#This Row],[عدد الأناث]],0)</f>
        <v>0</v>
      </c>
      <c r="Y39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39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39" s="113">
        <f>IF(AND(الجدول14[[#This Row],[البرنامج]]="PLW",الجدول14[[#This Row],[نوع الجلسة]]=$BZ$4),1,0)</f>
        <v>0</v>
      </c>
      <c r="AB39" s="113">
        <f>IF(AND(الجدول14[[#This Row],[البرنامج]]="PLW",الجدول14[[#This Row],[نوع الجلسة]]=$BZ$4),الجدول14[[#This Row],[عدد الذكور]],0)</f>
        <v>0</v>
      </c>
      <c r="AC39" s="113">
        <f>IF(AND(الجدول14[[#This Row],[البرنامج]]="PLW",الجدول14[[#This Row],[نوع الجلسة]]=$BZ$4),الجدول14[[#This Row],[عدد الأناث]],0)</f>
        <v>0</v>
      </c>
      <c r="AD39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39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39" s="125">
        <f>IF(AND(الجدول14[[#This Row],[البرنامج]]="OOSCH",الجدول14[[#This Row],[نوع الجلسة]]=$BZ$7),1,0)</f>
        <v>0</v>
      </c>
      <c r="AG39" s="125">
        <f>IF(AND(الجدول14[[#This Row],[البرنامج]]="OOSCH",الجدول14[[#This Row],[نوع الجلسة]]=$BZ$7),الجدول14[[#This Row],[عدد الذكور]],0)</f>
        <v>0</v>
      </c>
      <c r="AH39" s="125">
        <f>IF(AND(الجدول14[[#This Row],[البرنامج]]="OOSCH",الجدول14[[#This Row],[نوع الجلسة]]=$BZ$7),الجدول14[[#This Row],[عدد الأناث]],0)</f>
        <v>0</v>
      </c>
      <c r="AI39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39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39" s="126">
        <f>IF(AND(الجدول14[[#This Row],[البرنامج]]="OOSCH",الجدول14[[#This Row],[نوع الجلسة]]=$BZ$4),1,0)</f>
        <v>0</v>
      </c>
      <c r="AL39" s="126">
        <f>IF(AND(الجدول14[[#This Row],[البرنامج]]="OOSCH",الجدول14[[#This Row],[نوع الجلسة]]=$BZ$4),الجدول14[[#This Row],[عدد الذكور]],0)</f>
        <v>0</v>
      </c>
      <c r="AM39" s="126">
        <f>IF(AND(الجدول14[[#This Row],[البرنامج]]="OOSCH",الجدول14[[#This Row],[نوع الجلسة]]=$BZ$4),الجدول14[[#This Row],[عدد الأناث]],0)</f>
        <v>0</v>
      </c>
      <c r="AN39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39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39" s="123">
        <f>IF(AND(الجدول14[[#This Row],[نوع الجلسة]]=$BZ$5,الجدول14[[#This Row],[البرنامج]]=$BX$3),1,0)</f>
        <v>0</v>
      </c>
      <c r="AQ39" s="123">
        <f>IF(AND(الجدول14[[#This Row],[البرنامج]]="PLW",الجدول14[[#This Row],[نوع الجلسة]]=$BZ$5),الجدول14[[#This Row],[عدد الذكور]],0)</f>
        <v>0</v>
      </c>
      <c r="AR39" s="123">
        <f>IF(AND(الجدول14[[#This Row],[البرنامج]]="PLW",الجدول14[[#This Row],[نوع الجلسة]]=$BZ$5),الجدول14[[#This Row],[عدد الأناث]],0)</f>
        <v>0</v>
      </c>
      <c r="AS39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39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39" s="127">
        <f>IF(AND(الجدول14[[#This Row],[نوع الجلسة]]=$BZ$5,الجدول14[[#This Row],[البرنامج]]=$BX$2),1,0)</f>
        <v>0</v>
      </c>
      <c r="AV39" s="127">
        <f>IF(AND(الجدول14[[#This Row],[البرنامج]]="OOSCH",الجدول14[[#This Row],[نوع الجلسة]]=$BZ$5),الجدول14[[#This Row],[عدد الذكور]],0)</f>
        <v>0</v>
      </c>
      <c r="AW39" s="127">
        <f>IF(AND(الجدول14[[#This Row],[البرنامج]]="OOSCH",الجدول14[[#This Row],[نوع الجلسة]]=$BZ$5),الجدول14[[#This Row],[عدد الأناث]],0)</f>
        <v>0</v>
      </c>
      <c r="AX39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39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39" s="121">
        <f>IF(AND(الجدول14[[#This Row],[نوع الجلسة]]=$BZ$6,الجدول14[[#This Row],[البرنامج]]=$BX$3),1,0)</f>
        <v>0</v>
      </c>
      <c r="BA39" s="121">
        <f>IF(AND(الجدول14[[#This Row],[البرنامج]]="PLW",الجدول14[[#This Row],[نوع الجلسة]]=$BZ$6),الجدول14[[#This Row],[عدد الذكور]],0)</f>
        <v>0</v>
      </c>
      <c r="BB39" s="121">
        <f>IF(AND(الجدول14[[#This Row],[البرنامج]]="PLW",الجدول14[[#This Row],[نوع الجلسة]]=$BZ$6),الجدول14[[#This Row],[عدد الأناث]],0)</f>
        <v>0</v>
      </c>
      <c r="BC39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39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39" s="122">
        <f>IF(AND(الجدول14[[#This Row],[نوع الجلسة]]=$BZ$6,الجدول14[[#This Row],[البرنامج]]=$BX$2),1,0)</f>
        <v>0</v>
      </c>
      <c r="BF39" s="122">
        <f>IF(AND(الجدول14[[#This Row],[البرنامج]]="OOSCH",الجدول14[[#This Row],[نوع الجلسة]]=$BZ$6),الجدول14[[#This Row],[عدد الذكور]],0)</f>
        <v>0</v>
      </c>
      <c r="BG39" s="122">
        <f>IF(AND(الجدول14[[#This Row],[البرنامج]]="OOSCH",الجدول14[[#This Row],[نوع الجلسة]]=$BZ$6),الجدول14[[#This Row],[عدد الأناث]],0)</f>
        <v>0</v>
      </c>
      <c r="BH39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39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40" spans="4:61" ht="31.5" customHeight="1" x14ac:dyDescent="0.25">
      <c r="D40" s="9"/>
      <c r="E40" s="9"/>
      <c r="F40" s="9"/>
      <c r="G40" s="9"/>
      <c r="H40" s="9"/>
      <c r="I40" s="9"/>
      <c r="J40" s="9"/>
      <c r="K40" s="9">
        <f>SUM(الجدول14[[#This Row],[عدد الذكور]:[عدد الأناث]])</f>
        <v>0</v>
      </c>
      <c r="L40" s="120">
        <f>IF(AND(الجدول14[[#This Row],[البرنامج]]="PLW",الجدول14[[#This Row],[نوع الجلسة]]=$BZ$2),1,0)</f>
        <v>0</v>
      </c>
      <c r="M40" s="120">
        <f>IF(AND(الجدول14[[#This Row],[نوع الجلسة]]=$BZ$2,الجدول14[[#This Row],[البرنامج]]="PLW"),الجدول14[[#This Row],[عدد الذكور]],0)</f>
        <v>0</v>
      </c>
      <c r="N40" s="120">
        <f>IF(AND(الجدول14[[#This Row],[نوع الجلسة]]=$BZ$2,الجدول14[[#This Row],[البرنامج]]="PLW"),الجدول14[[#This Row],[عدد الأناث]],0)</f>
        <v>0</v>
      </c>
      <c r="O40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40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40" s="123">
        <f>IF(AND(الجدول14[[#This Row],[البرنامج]]="OOSCH",الجدول14[[#This Row],[نوع الجلسة]]=$BZ$2),1,0)</f>
        <v>0</v>
      </c>
      <c r="R40" s="123">
        <f>IF(AND(الجدول14[[#This Row],[البرنامج]]="OOSCH",الجدول14[[#This Row],[نوع الجلسة]]=$BZ$2),الجدول14[[#This Row],[عدد الذكور]],0)</f>
        <v>0</v>
      </c>
      <c r="S40" s="123">
        <f>IF(AND(الجدول14[[#This Row],[البرنامج]]="OOSCH",الجدول14[[#This Row],[نوع الجلسة]]=$BZ$2),الجدول14[[#This Row],[عدد الأناث]],0)</f>
        <v>0</v>
      </c>
      <c r="T40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40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40" s="124">
        <f>IF(AND(الجدول14[[#This Row],[البرنامج]]="PLW",الجدول14[[#This Row],[نوع الجلسة]]="معلومات صحة تغذوية للسيدة الحامل"),1,0)</f>
        <v>0</v>
      </c>
      <c r="W40" s="124">
        <f>IF(AND(الجدول14[[#This Row],[نوع الجلسة]]=$BZ$3,الجدول14[[#This Row],[البرنامج]]="PLW"),الجدول14[[#This Row],[عدد الذكور]],0)</f>
        <v>0</v>
      </c>
      <c r="X40" s="124">
        <f>IF(AND(الجدول14[[#This Row],[نوع الجلسة]]=$BZ$3,الجدول14[[#This Row],[البرنامج]]="PLW"),الجدول14[[#This Row],[عدد الأناث]],0)</f>
        <v>0</v>
      </c>
      <c r="Y40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40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40" s="113">
        <f>IF(AND(الجدول14[[#This Row],[البرنامج]]="PLW",الجدول14[[#This Row],[نوع الجلسة]]=$BZ$4),1,0)</f>
        <v>0</v>
      </c>
      <c r="AB40" s="113">
        <f>IF(AND(الجدول14[[#This Row],[البرنامج]]="PLW",الجدول14[[#This Row],[نوع الجلسة]]=$BZ$4),الجدول14[[#This Row],[عدد الذكور]],0)</f>
        <v>0</v>
      </c>
      <c r="AC40" s="113">
        <f>IF(AND(الجدول14[[#This Row],[البرنامج]]="PLW",الجدول14[[#This Row],[نوع الجلسة]]=$BZ$4),الجدول14[[#This Row],[عدد الأناث]],0)</f>
        <v>0</v>
      </c>
      <c r="AD40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40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40" s="125">
        <f>IF(AND(الجدول14[[#This Row],[البرنامج]]="OOSCH",الجدول14[[#This Row],[نوع الجلسة]]=$BZ$7),1,0)</f>
        <v>0</v>
      </c>
      <c r="AG40" s="125">
        <f>IF(AND(الجدول14[[#This Row],[البرنامج]]="OOSCH",الجدول14[[#This Row],[نوع الجلسة]]=$BZ$7),الجدول14[[#This Row],[عدد الذكور]],0)</f>
        <v>0</v>
      </c>
      <c r="AH40" s="125">
        <f>IF(AND(الجدول14[[#This Row],[البرنامج]]="OOSCH",الجدول14[[#This Row],[نوع الجلسة]]=$BZ$7),الجدول14[[#This Row],[عدد الأناث]],0)</f>
        <v>0</v>
      </c>
      <c r="AI40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40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40" s="126">
        <f>IF(AND(الجدول14[[#This Row],[البرنامج]]="OOSCH",الجدول14[[#This Row],[نوع الجلسة]]=$BZ$4),1,0)</f>
        <v>0</v>
      </c>
      <c r="AL40" s="126">
        <f>IF(AND(الجدول14[[#This Row],[البرنامج]]="OOSCH",الجدول14[[#This Row],[نوع الجلسة]]=$BZ$4),الجدول14[[#This Row],[عدد الذكور]],0)</f>
        <v>0</v>
      </c>
      <c r="AM40" s="126">
        <f>IF(AND(الجدول14[[#This Row],[البرنامج]]="OOSCH",الجدول14[[#This Row],[نوع الجلسة]]=$BZ$4),الجدول14[[#This Row],[عدد الأناث]],0)</f>
        <v>0</v>
      </c>
      <c r="AN40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40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40" s="123">
        <f>IF(AND(الجدول14[[#This Row],[نوع الجلسة]]=$BZ$5,الجدول14[[#This Row],[البرنامج]]=$BX$3),1,0)</f>
        <v>0</v>
      </c>
      <c r="AQ40" s="123">
        <f>IF(AND(الجدول14[[#This Row],[البرنامج]]="PLW",الجدول14[[#This Row],[نوع الجلسة]]=$BZ$5),الجدول14[[#This Row],[عدد الذكور]],0)</f>
        <v>0</v>
      </c>
      <c r="AR40" s="123">
        <f>IF(AND(الجدول14[[#This Row],[البرنامج]]="PLW",الجدول14[[#This Row],[نوع الجلسة]]=$BZ$5),الجدول14[[#This Row],[عدد الأناث]],0)</f>
        <v>0</v>
      </c>
      <c r="AS40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40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40" s="127">
        <f>IF(AND(الجدول14[[#This Row],[نوع الجلسة]]=$BZ$5,الجدول14[[#This Row],[البرنامج]]=$BX$2),1,0)</f>
        <v>0</v>
      </c>
      <c r="AV40" s="127">
        <f>IF(AND(الجدول14[[#This Row],[البرنامج]]="OOSCH",الجدول14[[#This Row],[نوع الجلسة]]=$BZ$5),الجدول14[[#This Row],[عدد الذكور]],0)</f>
        <v>0</v>
      </c>
      <c r="AW40" s="127">
        <f>IF(AND(الجدول14[[#This Row],[البرنامج]]="OOSCH",الجدول14[[#This Row],[نوع الجلسة]]=$BZ$5),الجدول14[[#This Row],[عدد الأناث]],0)</f>
        <v>0</v>
      </c>
      <c r="AX40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40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40" s="121">
        <f>IF(AND(الجدول14[[#This Row],[نوع الجلسة]]=$BZ$6,الجدول14[[#This Row],[البرنامج]]=$BX$3),1,0)</f>
        <v>0</v>
      </c>
      <c r="BA40" s="121">
        <f>IF(AND(الجدول14[[#This Row],[البرنامج]]="PLW",الجدول14[[#This Row],[نوع الجلسة]]=$BZ$6),الجدول14[[#This Row],[عدد الذكور]],0)</f>
        <v>0</v>
      </c>
      <c r="BB40" s="121">
        <f>IF(AND(الجدول14[[#This Row],[البرنامج]]="PLW",الجدول14[[#This Row],[نوع الجلسة]]=$BZ$6),الجدول14[[#This Row],[عدد الأناث]],0)</f>
        <v>0</v>
      </c>
      <c r="BC40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40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40" s="122">
        <f>IF(AND(الجدول14[[#This Row],[نوع الجلسة]]=$BZ$6,الجدول14[[#This Row],[البرنامج]]=$BX$2),1,0)</f>
        <v>0</v>
      </c>
      <c r="BF40" s="122">
        <f>IF(AND(الجدول14[[#This Row],[البرنامج]]="OOSCH",الجدول14[[#This Row],[نوع الجلسة]]=$BZ$6),الجدول14[[#This Row],[عدد الذكور]],0)</f>
        <v>0</v>
      </c>
      <c r="BG40" s="122">
        <f>IF(AND(الجدول14[[#This Row],[البرنامج]]="OOSCH",الجدول14[[#This Row],[نوع الجلسة]]=$BZ$6),الجدول14[[#This Row],[عدد الأناث]],0)</f>
        <v>0</v>
      </c>
      <c r="BH40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40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41" spans="4:61" ht="31.5" customHeight="1" x14ac:dyDescent="0.25">
      <c r="D41" s="9"/>
      <c r="E41" s="9"/>
      <c r="F41" s="9"/>
      <c r="G41" s="9"/>
      <c r="H41" s="9"/>
      <c r="I41" s="9"/>
      <c r="J41" s="9"/>
      <c r="K41" s="9">
        <f>SUM(الجدول14[[#This Row],[عدد الذكور]:[عدد الأناث]])</f>
        <v>0</v>
      </c>
      <c r="L41" s="120">
        <f>IF(AND(الجدول14[[#This Row],[البرنامج]]="PLW",الجدول14[[#This Row],[نوع الجلسة]]=$BZ$2),1,0)</f>
        <v>0</v>
      </c>
      <c r="M41" s="120">
        <f>IF(AND(الجدول14[[#This Row],[نوع الجلسة]]=$BZ$2,الجدول14[[#This Row],[البرنامج]]="PLW"),الجدول14[[#This Row],[عدد الذكور]],0)</f>
        <v>0</v>
      </c>
      <c r="N41" s="120">
        <f>IF(AND(الجدول14[[#This Row],[نوع الجلسة]]=$BZ$2,الجدول14[[#This Row],[البرنامج]]="PLW"),الجدول14[[#This Row],[عدد الأناث]],0)</f>
        <v>0</v>
      </c>
      <c r="O41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41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41" s="123">
        <f>IF(AND(الجدول14[[#This Row],[البرنامج]]="OOSCH",الجدول14[[#This Row],[نوع الجلسة]]=$BZ$2),1,0)</f>
        <v>0</v>
      </c>
      <c r="R41" s="123">
        <f>IF(AND(الجدول14[[#This Row],[البرنامج]]="OOSCH",الجدول14[[#This Row],[نوع الجلسة]]=$BZ$2),الجدول14[[#This Row],[عدد الذكور]],0)</f>
        <v>0</v>
      </c>
      <c r="S41" s="123">
        <f>IF(AND(الجدول14[[#This Row],[البرنامج]]="OOSCH",الجدول14[[#This Row],[نوع الجلسة]]=$BZ$2),الجدول14[[#This Row],[عدد الأناث]],0)</f>
        <v>0</v>
      </c>
      <c r="T41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41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41" s="124">
        <f>IF(AND(الجدول14[[#This Row],[البرنامج]]="PLW",الجدول14[[#This Row],[نوع الجلسة]]="معلومات صحة تغذوية للسيدة الحامل"),1,0)</f>
        <v>0</v>
      </c>
      <c r="W41" s="124">
        <f>IF(AND(الجدول14[[#This Row],[نوع الجلسة]]=$BZ$3,الجدول14[[#This Row],[البرنامج]]="PLW"),الجدول14[[#This Row],[عدد الذكور]],0)</f>
        <v>0</v>
      </c>
      <c r="X41" s="124">
        <f>IF(AND(الجدول14[[#This Row],[نوع الجلسة]]=$BZ$3,الجدول14[[#This Row],[البرنامج]]="PLW"),الجدول14[[#This Row],[عدد الأناث]],0)</f>
        <v>0</v>
      </c>
      <c r="Y41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41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41" s="113">
        <f>IF(AND(الجدول14[[#This Row],[البرنامج]]="PLW",الجدول14[[#This Row],[نوع الجلسة]]=$BZ$4),1,0)</f>
        <v>0</v>
      </c>
      <c r="AB41" s="113">
        <f>IF(AND(الجدول14[[#This Row],[البرنامج]]="PLW",الجدول14[[#This Row],[نوع الجلسة]]=$BZ$4),الجدول14[[#This Row],[عدد الذكور]],0)</f>
        <v>0</v>
      </c>
      <c r="AC41" s="113">
        <f>IF(AND(الجدول14[[#This Row],[البرنامج]]="PLW",الجدول14[[#This Row],[نوع الجلسة]]=$BZ$4),الجدول14[[#This Row],[عدد الأناث]],0)</f>
        <v>0</v>
      </c>
      <c r="AD41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41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41" s="125">
        <f>IF(AND(الجدول14[[#This Row],[البرنامج]]="OOSCH",الجدول14[[#This Row],[نوع الجلسة]]=$BZ$7),1,0)</f>
        <v>0</v>
      </c>
      <c r="AG41" s="125">
        <f>IF(AND(الجدول14[[#This Row],[البرنامج]]="OOSCH",الجدول14[[#This Row],[نوع الجلسة]]=$BZ$7),الجدول14[[#This Row],[عدد الذكور]],0)</f>
        <v>0</v>
      </c>
      <c r="AH41" s="125">
        <f>IF(AND(الجدول14[[#This Row],[البرنامج]]="OOSCH",الجدول14[[#This Row],[نوع الجلسة]]=$BZ$7),الجدول14[[#This Row],[عدد الأناث]],0)</f>
        <v>0</v>
      </c>
      <c r="AI41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41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41" s="126">
        <f>IF(AND(الجدول14[[#This Row],[البرنامج]]="OOSCH",الجدول14[[#This Row],[نوع الجلسة]]=$BZ$4),1,0)</f>
        <v>0</v>
      </c>
      <c r="AL41" s="126">
        <f>IF(AND(الجدول14[[#This Row],[البرنامج]]="OOSCH",الجدول14[[#This Row],[نوع الجلسة]]=$BZ$4),الجدول14[[#This Row],[عدد الذكور]],0)</f>
        <v>0</v>
      </c>
      <c r="AM41" s="126">
        <f>IF(AND(الجدول14[[#This Row],[البرنامج]]="OOSCH",الجدول14[[#This Row],[نوع الجلسة]]=$BZ$4),الجدول14[[#This Row],[عدد الأناث]],0)</f>
        <v>0</v>
      </c>
      <c r="AN41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41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41" s="123">
        <f>IF(AND(الجدول14[[#This Row],[نوع الجلسة]]=$BZ$5,الجدول14[[#This Row],[البرنامج]]=$BX$3),1,0)</f>
        <v>0</v>
      </c>
      <c r="AQ41" s="123">
        <f>IF(AND(الجدول14[[#This Row],[البرنامج]]="PLW",الجدول14[[#This Row],[نوع الجلسة]]=$BZ$5),الجدول14[[#This Row],[عدد الذكور]],0)</f>
        <v>0</v>
      </c>
      <c r="AR41" s="123">
        <f>IF(AND(الجدول14[[#This Row],[البرنامج]]="PLW",الجدول14[[#This Row],[نوع الجلسة]]=$BZ$5),الجدول14[[#This Row],[عدد الأناث]],0)</f>
        <v>0</v>
      </c>
      <c r="AS41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41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41" s="127">
        <f>IF(AND(الجدول14[[#This Row],[نوع الجلسة]]=$BZ$5,الجدول14[[#This Row],[البرنامج]]=$BX$2),1,0)</f>
        <v>0</v>
      </c>
      <c r="AV41" s="127">
        <f>IF(AND(الجدول14[[#This Row],[البرنامج]]="OOSCH",الجدول14[[#This Row],[نوع الجلسة]]=$BZ$5),الجدول14[[#This Row],[عدد الذكور]],0)</f>
        <v>0</v>
      </c>
      <c r="AW41" s="127">
        <f>IF(AND(الجدول14[[#This Row],[البرنامج]]="OOSCH",الجدول14[[#This Row],[نوع الجلسة]]=$BZ$5),الجدول14[[#This Row],[عدد الأناث]],0)</f>
        <v>0</v>
      </c>
      <c r="AX41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41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41" s="121">
        <f>IF(AND(الجدول14[[#This Row],[نوع الجلسة]]=$BZ$6,الجدول14[[#This Row],[البرنامج]]=$BX$3),1,0)</f>
        <v>0</v>
      </c>
      <c r="BA41" s="121">
        <f>IF(AND(الجدول14[[#This Row],[البرنامج]]="PLW",الجدول14[[#This Row],[نوع الجلسة]]=$BZ$6),الجدول14[[#This Row],[عدد الذكور]],0)</f>
        <v>0</v>
      </c>
      <c r="BB41" s="121">
        <f>IF(AND(الجدول14[[#This Row],[البرنامج]]="PLW",الجدول14[[#This Row],[نوع الجلسة]]=$BZ$6),الجدول14[[#This Row],[عدد الأناث]],0)</f>
        <v>0</v>
      </c>
      <c r="BC41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41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41" s="122">
        <f>IF(AND(الجدول14[[#This Row],[نوع الجلسة]]=$BZ$6,الجدول14[[#This Row],[البرنامج]]=$BX$2),1,0)</f>
        <v>0</v>
      </c>
      <c r="BF41" s="122">
        <f>IF(AND(الجدول14[[#This Row],[البرنامج]]="OOSCH",الجدول14[[#This Row],[نوع الجلسة]]=$BZ$6),الجدول14[[#This Row],[عدد الذكور]],0)</f>
        <v>0</v>
      </c>
      <c r="BG41" s="122">
        <f>IF(AND(الجدول14[[#This Row],[البرنامج]]="OOSCH",الجدول14[[#This Row],[نوع الجلسة]]=$BZ$6),الجدول14[[#This Row],[عدد الأناث]],0)</f>
        <v>0</v>
      </c>
      <c r="BH41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41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42" spans="4:61" ht="31.5" customHeight="1" x14ac:dyDescent="0.25">
      <c r="D42" s="9"/>
      <c r="E42" s="9"/>
      <c r="F42" s="9"/>
      <c r="G42" s="9"/>
      <c r="H42" s="9"/>
      <c r="I42" s="9"/>
      <c r="J42" s="9"/>
      <c r="K42" s="9">
        <f>SUM(الجدول14[[#This Row],[عدد الذكور]:[عدد الأناث]])</f>
        <v>0</v>
      </c>
      <c r="L42" s="120">
        <f>IF(AND(الجدول14[[#This Row],[البرنامج]]="PLW",الجدول14[[#This Row],[نوع الجلسة]]=$BZ$2),1,0)</f>
        <v>0</v>
      </c>
      <c r="M42" s="120">
        <f>IF(AND(الجدول14[[#This Row],[نوع الجلسة]]=$BZ$2,الجدول14[[#This Row],[البرنامج]]="PLW"),الجدول14[[#This Row],[عدد الذكور]],0)</f>
        <v>0</v>
      </c>
      <c r="N42" s="120">
        <f>IF(AND(الجدول14[[#This Row],[نوع الجلسة]]=$BZ$2,الجدول14[[#This Row],[البرنامج]]="PLW"),الجدول14[[#This Row],[عدد الأناث]],0)</f>
        <v>0</v>
      </c>
      <c r="O42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42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42" s="123">
        <f>IF(AND(الجدول14[[#This Row],[البرنامج]]="OOSCH",الجدول14[[#This Row],[نوع الجلسة]]=$BZ$2),1,0)</f>
        <v>0</v>
      </c>
      <c r="R42" s="123">
        <f>IF(AND(الجدول14[[#This Row],[البرنامج]]="OOSCH",الجدول14[[#This Row],[نوع الجلسة]]=$BZ$2),الجدول14[[#This Row],[عدد الذكور]],0)</f>
        <v>0</v>
      </c>
      <c r="S42" s="123">
        <f>IF(AND(الجدول14[[#This Row],[البرنامج]]="OOSCH",الجدول14[[#This Row],[نوع الجلسة]]=$BZ$2),الجدول14[[#This Row],[عدد الأناث]],0)</f>
        <v>0</v>
      </c>
      <c r="T42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42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42" s="124">
        <f>IF(AND(الجدول14[[#This Row],[البرنامج]]="PLW",الجدول14[[#This Row],[نوع الجلسة]]="معلومات صحة تغذوية للسيدة الحامل"),1,0)</f>
        <v>0</v>
      </c>
      <c r="W42" s="124">
        <f>IF(AND(الجدول14[[#This Row],[نوع الجلسة]]=$BZ$3,الجدول14[[#This Row],[البرنامج]]="PLW"),الجدول14[[#This Row],[عدد الذكور]],0)</f>
        <v>0</v>
      </c>
      <c r="X42" s="124">
        <f>IF(AND(الجدول14[[#This Row],[نوع الجلسة]]=$BZ$3,الجدول14[[#This Row],[البرنامج]]="PLW"),الجدول14[[#This Row],[عدد الأناث]],0)</f>
        <v>0</v>
      </c>
      <c r="Y42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42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42" s="113">
        <f>IF(AND(الجدول14[[#This Row],[البرنامج]]="PLW",الجدول14[[#This Row],[نوع الجلسة]]=$BZ$4),1,0)</f>
        <v>0</v>
      </c>
      <c r="AB42" s="113">
        <f>IF(AND(الجدول14[[#This Row],[البرنامج]]="PLW",الجدول14[[#This Row],[نوع الجلسة]]=$BZ$4),الجدول14[[#This Row],[عدد الذكور]],0)</f>
        <v>0</v>
      </c>
      <c r="AC42" s="113">
        <f>IF(AND(الجدول14[[#This Row],[البرنامج]]="PLW",الجدول14[[#This Row],[نوع الجلسة]]=$BZ$4),الجدول14[[#This Row],[عدد الأناث]],0)</f>
        <v>0</v>
      </c>
      <c r="AD42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42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42" s="125">
        <f>IF(AND(الجدول14[[#This Row],[البرنامج]]="OOSCH",الجدول14[[#This Row],[نوع الجلسة]]=$BZ$7),1,0)</f>
        <v>0</v>
      </c>
      <c r="AG42" s="125">
        <f>IF(AND(الجدول14[[#This Row],[البرنامج]]="OOSCH",الجدول14[[#This Row],[نوع الجلسة]]=$BZ$7),الجدول14[[#This Row],[عدد الذكور]],0)</f>
        <v>0</v>
      </c>
      <c r="AH42" s="125">
        <f>IF(AND(الجدول14[[#This Row],[البرنامج]]="OOSCH",الجدول14[[#This Row],[نوع الجلسة]]=$BZ$7),الجدول14[[#This Row],[عدد الأناث]],0)</f>
        <v>0</v>
      </c>
      <c r="AI42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42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42" s="126">
        <f>IF(AND(الجدول14[[#This Row],[البرنامج]]="OOSCH",الجدول14[[#This Row],[نوع الجلسة]]=$BZ$4),1,0)</f>
        <v>0</v>
      </c>
      <c r="AL42" s="126">
        <f>IF(AND(الجدول14[[#This Row],[البرنامج]]="OOSCH",الجدول14[[#This Row],[نوع الجلسة]]=$BZ$4),الجدول14[[#This Row],[عدد الذكور]],0)</f>
        <v>0</v>
      </c>
      <c r="AM42" s="126">
        <f>IF(AND(الجدول14[[#This Row],[البرنامج]]="OOSCH",الجدول14[[#This Row],[نوع الجلسة]]=$BZ$4),الجدول14[[#This Row],[عدد الأناث]],0)</f>
        <v>0</v>
      </c>
      <c r="AN42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42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42" s="123">
        <f>IF(AND(الجدول14[[#This Row],[نوع الجلسة]]=$BZ$5,الجدول14[[#This Row],[البرنامج]]=$BX$3),1,0)</f>
        <v>0</v>
      </c>
      <c r="AQ42" s="123">
        <f>IF(AND(الجدول14[[#This Row],[البرنامج]]="PLW",الجدول14[[#This Row],[نوع الجلسة]]=$BZ$5),الجدول14[[#This Row],[عدد الذكور]],0)</f>
        <v>0</v>
      </c>
      <c r="AR42" s="123">
        <f>IF(AND(الجدول14[[#This Row],[البرنامج]]="PLW",الجدول14[[#This Row],[نوع الجلسة]]=$BZ$5),الجدول14[[#This Row],[عدد الأناث]],0)</f>
        <v>0</v>
      </c>
      <c r="AS42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42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42" s="127">
        <f>IF(AND(الجدول14[[#This Row],[نوع الجلسة]]=$BZ$5,الجدول14[[#This Row],[البرنامج]]=$BX$2),1,0)</f>
        <v>0</v>
      </c>
      <c r="AV42" s="127">
        <f>IF(AND(الجدول14[[#This Row],[البرنامج]]="OOSCH",الجدول14[[#This Row],[نوع الجلسة]]=$BZ$5),الجدول14[[#This Row],[عدد الذكور]],0)</f>
        <v>0</v>
      </c>
      <c r="AW42" s="127">
        <f>IF(AND(الجدول14[[#This Row],[البرنامج]]="OOSCH",الجدول14[[#This Row],[نوع الجلسة]]=$BZ$5),الجدول14[[#This Row],[عدد الأناث]],0)</f>
        <v>0</v>
      </c>
      <c r="AX42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42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42" s="121">
        <f>IF(AND(الجدول14[[#This Row],[نوع الجلسة]]=$BZ$6,الجدول14[[#This Row],[البرنامج]]=$BX$3),1,0)</f>
        <v>0</v>
      </c>
      <c r="BA42" s="121">
        <f>IF(AND(الجدول14[[#This Row],[البرنامج]]="PLW",الجدول14[[#This Row],[نوع الجلسة]]=$BZ$6),الجدول14[[#This Row],[عدد الذكور]],0)</f>
        <v>0</v>
      </c>
      <c r="BB42" s="121">
        <f>IF(AND(الجدول14[[#This Row],[البرنامج]]="PLW",الجدول14[[#This Row],[نوع الجلسة]]=$BZ$6),الجدول14[[#This Row],[عدد الأناث]],0)</f>
        <v>0</v>
      </c>
      <c r="BC42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42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42" s="122">
        <f>IF(AND(الجدول14[[#This Row],[نوع الجلسة]]=$BZ$6,الجدول14[[#This Row],[البرنامج]]=$BX$2),1,0)</f>
        <v>0</v>
      </c>
      <c r="BF42" s="122">
        <f>IF(AND(الجدول14[[#This Row],[البرنامج]]="OOSCH",الجدول14[[#This Row],[نوع الجلسة]]=$BZ$6),الجدول14[[#This Row],[عدد الذكور]],0)</f>
        <v>0</v>
      </c>
      <c r="BG42" s="122">
        <f>IF(AND(الجدول14[[#This Row],[البرنامج]]="OOSCH",الجدول14[[#This Row],[نوع الجلسة]]=$BZ$6),الجدول14[[#This Row],[عدد الأناث]],0)</f>
        <v>0</v>
      </c>
      <c r="BH42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42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43" spans="4:61" ht="31.5" customHeight="1" x14ac:dyDescent="0.25">
      <c r="D43" s="9"/>
      <c r="E43" s="9"/>
      <c r="F43" s="9"/>
      <c r="G43" s="9"/>
      <c r="H43" s="9"/>
      <c r="I43" s="9"/>
      <c r="J43" s="9"/>
      <c r="K43" s="9">
        <f>SUM(الجدول14[[#This Row],[عدد الذكور]:[عدد الأناث]])</f>
        <v>0</v>
      </c>
      <c r="L43" s="120">
        <f>IF(AND(الجدول14[[#This Row],[البرنامج]]="PLW",الجدول14[[#This Row],[نوع الجلسة]]=$BZ$2),1,0)</f>
        <v>0</v>
      </c>
      <c r="M43" s="120">
        <f>IF(AND(الجدول14[[#This Row],[نوع الجلسة]]=$BZ$2,الجدول14[[#This Row],[البرنامج]]="PLW"),الجدول14[[#This Row],[عدد الذكور]],0)</f>
        <v>0</v>
      </c>
      <c r="N43" s="120">
        <f>IF(AND(الجدول14[[#This Row],[نوع الجلسة]]=$BZ$2,الجدول14[[#This Row],[البرنامج]]="PLW"),الجدول14[[#This Row],[عدد الأناث]],0)</f>
        <v>0</v>
      </c>
      <c r="O43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43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43" s="123">
        <f>IF(AND(الجدول14[[#This Row],[البرنامج]]="OOSCH",الجدول14[[#This Row],[نوع الجلسة]]=$BZ$2),1,0)</f>
        <v>0</v>
      </c>
      <c r="R43" s="123">
        <f>IF(AND(الجدول14[[#This Row],[البرنامج]]="OOSCH",الجدول14[[#This Row],[نوع الجلسة]]=$BZ$2),الجدول14[[#This Row],[عدد الذكور]],0)</f>
        <v>0</v>
      </c>
      <c r="S43" s="123">
        <f>IF(AND(الجدول14[[#This Row],[البرنامج]]="OOSCH",الجدول14[[#This Row],[نوع الجلسة]]=$BZ$2),الجدول14[[#This Row],[عدد الأناث]],0)</f>
        <v>0</v>
      </c>
      <c r="T43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43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43" s="124">
        <f>IF(AND(الجدول14[[#This Row],[البرنامج]]="PLW",الجدول14[[#This Row],[نوع الجلسة]]="معلومات صحة تغذوية للسيدة الحامل"),1,0)</f>
        <v>0</v>
      </c>
      <c r="W43" s="124">
        <f>IF(AND(الجدول14[[#This Row],[نوع الجلسة]]=$BZ$3,الجدول14[[#This Row],[البرنامج]]="PLW"),الجدول14[[#This Row],[عدد الذكور]],0)</f>
        <v>0</v>
      </c>
      <c r="X43" s="124">
        <f>IF(AND(الجدول14[[#This Row],[نوع الجلسة]]=$BZ$3,الجدول14[[#This Row],[البرنامج]]="PLW"),الجدول14[[#This Row],[عدد الأناث]],0)</f>
        <v>0</v>
      </c>
      <c r="Y43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43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43" s="113">
        <f>IF(AND(الجدول14[[#This Row],[البرنامج]]="PLW",الجدول14[[#This Row],[نوع الجلسة]]=$BZ$4),1,0)</f>
        <v>0</v>
      </c>
      <c r="AB43" s="113">
        <f>IF(AND(الجدول14[[#This Row],[البرنامج]]="PLW",الجدول14[[#This Row],[نوع الجلسة]]=$BZ$4),الجدول14[[#This Row],[عدد الذكور]],0)</f>
        <v>0</v>
      </c>
      <c r="AC43" s="113">
        <f>IF(AND(الجدول14[[#This Row],[البرنامج]]="PLW",الجدول14[[#This Row],[نوع الجلسة]]=$BZ$4),الجدول14[[#This Row],[عدد الأناث]],0)</f>
        <v>0</v>
      </c>
      <c r="AD43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43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43" s="125">
        <f>IF(AND(الجدول14[[#This Row],[البرنامج]]="OOSCH",الجدول14[[#This Row],[نوع الجلسة]]=$BZ$7),1,0)</f>
        <v>0</v>
      </c>
      <c r="AG43" s="125">
        <f>IF(AND(الجدول14[[#This Row],[البرنامج]]="OOSCH",الجدول14[[#This Row],[نوع الجلسة]]=$BZ$7),الجدول14[[#This Row],[عدد الذكور]],0)</f>
        <v>0</v>
      </c>
      <c r="AH43" s="125">
        <f>IF(AND(الجدول14[[#This Row],[البرنامج]]="OOSCH",الجدول14[[#This Row],[نوع الجلسة]]=$BZ$7),الجدول14[[#This Row],[عدد الأناث]],0)</f>
        <v>0</v>
      </c>
      <c r="AI43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43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43" s="126">
        <f>IF(AND(الجدول14[[#This Row],[البرنامج]]="OOSCH",الجدول14[[#This Row],[نوع الجلسة]]=$BZ$4),1,0)</f>
        <v>0</v>
      </c>
      <c r="AL43" s="126">
        <f>IF(AND(الجدول14[[#This Row],[البرنامج]]="OOSCH",الجدول14[[#This Row],[نوع الجلسة]]=$BZ$4),الجدول14[[#This Row],[عدد الذكور]],0)</f>
        <v>0</v>
      </c>
      <c r="AM43" s="126">
        <f>IF(AND(الجدول14[[#This Row],[البرنامج]]="OOSCH",الجدول14[[#This Row],[نوع الجلسة]]=$BZ$4),الجدول14[[#This Row],[عدد الأناث]],0)</f>
        <v>0</v>
      </c>
      <c r="AN43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43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43" s="123">
        <f>IF(AND(الجدول14[[#This Row],[نوع الجلسة]]=$BZ$5,الجدول14[[#This Row],[البرنامج]]=$BX$3),1,0)</f>
        <v>0</v>
      </c>
      <c r="AQ43" s="123">
        <f>IF(AND(الجدول14[[#This Row],[البرنامج]]="PLW",الجدول14[[#This Row],[نوع الجلسة]]=$BZ$5),الجدول14[[#This Row],[عدد الذكور]],0)</f>
        <v>0</v>
      </c>
      <c r="AR43" s="123">
        <f>IF(AND(الجدول14[[#This Row],[البرنامج]]="PLW",الجدول14[[#This Row],[نوع الجلسة]]=$BZ$5),الجدول14[[#This Row],[عدد الأناث]],0)</f>
        <v>0</v>
      </c>
      <c r="AS43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43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43" s="127">
        <f>IF(AND(الجدول14[[#This Row],[نوع الجلسة]]=$BZ$5,الجدول14[[#This Row],[البرنامج]]=$BX$2),1,0)</f>
        <v>0</v>
      </c>
      <c r="AV43" s="127">
        <f>IF(AND(الجدول14[[#This Row],[البرنامج]]="OOSCH",الجدول14[[#This Row],[نوع الجلسة]]=$BZ$5),الجدول14[[#This Row],[عدد الذكور]],0)</f>
        <v>0</v>
      </c>
      <c r="AW43" s="127">
        <f>IF(AND(الجدول14[[#This Row],[البرنامج]]="OOSCH",الجدول14[[#This Row],[نوع الجلسة]]=$BZ$5),الجدول14[[#This Row],[عدد الأناث]],0)</f>
        <v>0</v>
      </c>
      <c r="AX43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43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43" s="121">
        <f>IF(AND(الجدول14[[#This Row],[نوع الجلسة]]=$BZ$6,الجدول14[[#This Row],[البرنامج]]=$BX$3),1,0)</f>
        <v>0</v>
      </c>
      <c r="BA43" s="121">
        <f>IF(AND(الجدول14[[#This Row],[البرنامج]]="PLW",الجدول14[[#This Row],[نوع الجلسة]]=$BZ$6),الجدول14[[#This Row],[عدد الذكور]],0)</f>
        <v>0</v>
      </c>
      <c r="BB43" s="121">
        <f>IF(AND(الجدول14[[#This Row],[البرنامج]]="PLW",الجدول14[[#This Row],[نوع الجلسة]]=$BZ$6),الجدول14[[#This Row],[عدد الأناث]],0)</f>
        <v>0</v>
      </c>
      <c r="BC43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43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43" s="122">
        <f>IF(AND(الجدول14[[#This Row],[نوع الجلسة]]=$BZ$6,الجدول14[[#This Row],[البرنامج]]=$BX$2),1,0)</f>
        <v>0</v>
      </c>
      <c r="BF43" s="122">
        <f>IF(AND(الجدول14[[#This Row],[البرنامج]]="OOSCH",الجدول14[[#This Row],[نوع الجلسة]]=$BZ$6),الجدول14[[#This Row],[عدد الذكور]],0)</f>
        <v>0</v>
      </c>
      <c r="BG43" s="122">
        <f>IF(AND(الجدول14[[#This Row],[البرنامج]]="OOSCH",الجدول14[[#This Row],[نوع الجلسة]]=$BZ$6),الجدول14[[#This Row],[عدد الأناث]],0)</f>
        <v>0</v>
      </c>
      <c r="BH43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43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44" spans="4:61" ht="31.5" customHeight="1" x14ac:dyDescent="0.25">
      <c r="D44" s="9"/>
      <c r="E44" s="9"/>
      <c r="F44" s="9"/>
      <c r="G44" s="9"/>
      <c r="H44" s="9"/>
      <c r="I44" s="9"/>
      <c r="J44" s="9"/>
      <c r="K44" s="9">
        <f>SUM(الجدول14[[#This Row],[عدد الذكور]:[عدد الأناث]])</f>
        <v>0</v>
      </c>
      <c r="L44" s="120">
        <f>IF(AND(الجدول14[[#This Row],[البرنامج]]="PLW",الجدول14[[#This Row],[نوع الجلسة]]=$BZ$2),1,0)</f>
        <v>0</v>
      </c>
      <c r="M44" s="120">
        <f>IF(AND(الجدول14[[#This Row],[نوع الجلسة]]=$BZ$2,الجدول14[[#This Row],[البرنامج]]="PLW"),الجدول14[[#This Row],[عدد الذكور]],0)</f>
        <v>0</v>
      </c>
      <c r="N44" s="120">
        <f>IF(AND(الجدول14[[#This Row],[نوع الجلسة]]=$BZ$2,الجدول14[[#This Row],[البرنامج]]="PLW"),الجدول14[[#This Row],[عدد الأناث]],0)</f>
        <v>0</v>
      </c>
      <c r="O44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44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44" s="123">
        <f>IF(AND(الجدول14[[#This Row],[البرنامج]]="OOSCH",الجدول14[[#This Row],[نوع الجلسة]]=$BZ$2),1,0)</f>
        <v>0</v>
      </c>
      <c r="R44" s="123">
        <f>IF(AND(الجدول14[[#This Row],[البرنامج]]="OOSCH",الجدول14[[#This Row],[نوع الجلسة]]=$BZ$2),الجدول14[[#This Row],[عدد الذكور]],0)</f>
        <v>0</v>
      </c>
      <c r="S44" s="123">
        <f>IF(AND(الجدول14[[#This Row],[البرنامج]]="OOSCH",الجدول14[[#This Row],[نوع الجلسة]]=$BZ$2),الجدول14[[#This Row],[عدد الأناث]],0)</f>
        <v>0</v>
      </c>
      <c r="T44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44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44" s="124">
        <f>IF(AND(الجدول14[[#This Row],[البرنامج]]="PLW",الجدول14[[#This Row],[نوع الجلسة]]="معلومات صحة تغذوية للسيدة الحامل"),1,0)</f>
        <v>0</v>
      </c>
      <c r="W44" s="124">
        <f>IF(AND(الجدول14[[#This Row],[نوع الجلسة]]=$BZ$3,الجدول14[[#This Row],[البرنامج]]="PLW"),الجدول14[[#This Row],[عدد الذكور]],0)</f>
        <v>0</v>
      </c>
      <c r="X44" s="124">
        <f>IF(AND(الجدول14[[#This Row],[نوع الجلسة]]=$BZ$3,الجدول14[[#This Row],[البرنامج]]="PLW"),الجدول14[[#This Row],[عدد الأناث]],0)</f>
        <v>0</v>
      </c>
      <c r="Y44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44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44" s="113">
        <f>IF(AND(الجدول14[[#This Row],[البرنامج]]="PLW",الجدول14[[#This Row],[نوع الجلسة]]=$BZ$4),1,0)</f>
        <v>0</v>
      </c>
      <c r="AB44" s="113">
        <f>IF(AND(الجدول14[[#This Row],[البرنامج]]="PLW",الجدول14[[#This Row],[نوع الجلسة]]=$BZ$4),الجدول14[[#This Row],[عدد الذكور]],0)</f>
        <v>0</v>
      </c>
      <c r="AC44" s="113">
        <f>IF(AND(الجدول14[[#This Row],[البرنامج]]="PLW",الجدول14[[#This Row],[نوع الجلسة]]=$BZ$4),الجدول14[[#This Row],[عدد الأناث]],0)</f>
        <v>0</v>
      </c>
      <c r="AD44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44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44" s="125">
        <f>IF(AND(الجدول14[[#This Row],[البرنامج]]="OOSCH",الجدول14[[#This Row],[نوع الجلسة]]=$BZ$7),1,0)</f>
        <v>0</v>
      </c>
      <c r="AG44" s="125">
        <f>IF(AND(الجدول14[[#This Row],[البرنامج]]="OOSCH",الجدول14[[#This Row],[نوع الجلسة]]=$BZ$7),الجدول14[[#This Row],[عدد الذكور]],0)</f>
        <v>0</v>
      </c>
      <c r="AH44" s="125">
        <f>IF(AND(الجدول14[[#This Row],[البرنامج]]="OOSCH",الجدول14[[#This Row],[نوع الجلسة]]=$BZ$7),الجدول14[[#This Row],[عدد الأناث]],0)</f>
        <v>0</v>
      </c>
      <c r="AI44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44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44" s="126">
        <f>IF(AND(الجدول14[[#This Row],[البرنامج]]="OOSCH",الجدول14[[#This Row],[نوع الجلسة]]=$BZ$4),1,0)</f>
        <v>0</v>
      </c>
      <c r="AL44" s="126">
        <f>IF(AND(الجدول14[[#This Row],[البرنامج]]="OOSCH",الجدول14[[#This Row],[نوع الجلسة]]=$BZ$4),الجدول14[[#This Row],[عدد الذكور]],0)</f>
        <v>0</v>
      </c>
      <c r="AM44" s="126">
        <f>IF(AND(الجدول14[[#This Row],[البرنامج]]="OOSCH",الجدول14[[#This Row],[نوع الجلسة]]=$BZ$4),الجدول14[[#This Row],[عدد الأناث]],0)</f>
        <v>0</v>
      </c>
      <c r="AN44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44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44" s="123">
        <f>IF(AND(الجدول14[[#This Row],[نوع الجلسة]]=$BZ$5,الجدول14[[#This Row],[البرنامج]]=$BX$3),1,0)</f>
        <v>0</v>
      </c>
      <c r="AQ44" s="123">
        <f>IF(AND(الجدول14[[#This Row],[البرنامج]]="PLW",الجدول14[[#This Row],[نوع الجلسة]]=$BZ$5),الجدول14[[#This Row],[عدد الذكور]],0)</f>
        <v>0</v>
      </c>
      <c r="AR44" s="123">
        <f>IF(AND(الجدول14[[#This Row],[البرنامج]]="PLW",الجدول14[[#This Row],[نوع الجلسة]]=$BZ$5),الجدول14[[#This Row],[عدد الأناث]],0)</f>
        <v>0</v>
      </c>
      <c r="AS44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44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44" s="127">
        <f>IF(AND(الجدول14[[#This Row],[نوع الجلسة]]=$BZ$5,الجدول14[[#This Row],[البرنامج]]=$BX$2),1,0)</f>
        <v>0</v>
      </c>
      <c r="AV44" s="127">
        <f>IF(AND(الجدول14[[#This Row],[البرنامج]]="OOSCH",الجدول14[[#This Row],[نوع الجلسة]]=$BZ$5),الجدول14[[#This Row],[عدد الذكور]],0)</f>
        <v>0</v>
      </c>
      <c r="AW44" s="127">
        <f>IF(AND(الجدول14[[#This Row],[البرنامج]]="OOSCH",الجدول14[[#This Row],[نوع الجلسة]]=$BZ$5),الجدول14[[#This Row],[عدد الأناث]],0)</f>
        <v>0</v>
      </c>
      <c r="AX44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44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44" s="121">
        <f>IF(AND(الجدول14[[#This Row],[نوع الجلسة]]=$BZ$6,الجدول14[[#This Row],[البرنامج]]=$BX$3),1,0)</f>
        <v>0</v>
      </c>
      <c r="BA44" s="121">
        <f>IF(AND(الجدول14[[#This Row],[البرنامج]]="PLW",الجدول14[[#This Row],[نوع الجلسة]]=$BZ$6),الجدول14[[#This Row],[عدد الذكور]],0)</f>
        <v>0</v>
      </c>
      <c r="BB44" s="121">
        <f>IF(AND(الجدول14[[#This Row],[البرنامج]]="PLW",الجدول14[[#This Row],[نوع الجلسة]]=$BZ$6),الجدول14[[#This Row],[عدد الأناث]],0)</f>
        <v>0</v>
      </c>
      <c r="BC44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44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44" s="122">
        <f>IF(AND(الجدول14[[#This Row],[نوع الجلسة]]=$BZ$6,الجدول14[[#This Row],[البرنامج]]=$BX$2),1,0)</f>
        <v>0</v>
      </c>
      <c r="BF44" s="122">
        <f>IF(AND(الجدول14[[#This Row],[البرنامج]]="OOSCH",الجدول14[[#This Row],[نوع الجلسة]]=$BZ$6),الجدول14[[#This Row],[عدد الذكور]],0)</f>
        <v>0</v>
      </c>
      <c r="BG44" s="122">
        <f>IF(AND(الجدول14[[#This Row],[البرنامج]]="OOSCH",الجدول14[[#This Row],[نوع الجلسة]]=$BZ$6),الجدول14[[#This Row],[عدد الأناث]],0)</f>
        <v>0</v>
      </c>
      <c r="BH44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44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45" spans="4:61" ht="31.5" customHeight="1" x14ac:dyDescent="0.25">
      <c r="D45" s="9"/>
      <c r="E45" s="9"/>
      <c r="F45" s="9"/>
      <c r="G45" s="9"/>
      <c r="H45" s="9"/>
      <c r="I45" s="9"/>
      <c r="J45" s="9"/>
      <c r="K45" s="9">
        <f>SUM(الجدول14[[#This Row],[عدد الذكور]:[عدد الأناث]])</f>
        <v>0</v>
      </c>
      <c r="L45" s="120">
        <f>IF(AND(الجدول14[[#This Row],[البرنامج]]="PLW",الجدول14[[#This Row],[نوع الجلسة]]=$BZ$2),1,0)</f>
        <v>0</v>
      </c>
      <c r="M45" s="120">
        <f>IF(AND(الجدول14[[#This Row],[نوع الجلسة]]=$BZ$2,الجدول14[[#This Row],[البرنامج]]="PLW"),الجدول14[[#This Row],[عدد الذكور]],0)</f>
        <v>0</v>
      </c>
      <c r="N45" s="120">
        <f>IF(AND(الجدول14[[#This Row],[نوع الجلسة]]=$BZ$2,الجدول14[[#This Row],[البرنامج]]="PLW"),الجدول14[[#This Row],[عدد الأناث]],0)</f>
        <v>0</v>
      </c>
      <c r="O45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45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45" s="123">
        <f>IF(AND(الجدول14[[#This Row],[البرنامج]]="OOSCH",الجدول14[[#This Row],[نوع الجلسة]]=$BZ$2),1,0)</f>
        <v>0</v>
      </c>
      <c r="R45" s="123">
        <f>IF(AND(الجدول14[[#This Row],[البرنامج]]="OOSCH",الجدول14[[#This Row],[نوع الجلسة]]=$BZ$2),الجدول14[[#This Row],[عدد الذكور]],0)</f>
        <v>0</v>
      </c>
      <c r="S45" s="123">
        <f>IF(AND(الجدول14[[#This Row],[البرنامج]]="OOSCH",الجدول14[[#This Row],[نوع الجلسة]]=$BZ$2),الجدول14[[#This Row],[عدد الأناث]],0)</f>
        <v>0</v>
      </c>
      <c r="T45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45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45" s="124">
        <f>IF(AND(الجدول14[[#This Row],[البرنامج]]="PLW",الجدول14[[#This Row],[نوع الجلسة]]="معلومات صحة تغذوية للسيدة الحامل"),1,0)</f>
        <v>0</v>
      </c>
      <c r="W45" s="124">
        <f>IF(AND(الجدول14[[#This Row],[نوع الجلسة]]=$BZ$3,الجدول14[[#This Row],[البرنامج]]="PLW"),الجدول14[[#This Row],[عدد الذكور]],0)</f>
        <v>0</v>
      </c>
      <c r="X45" s="124">
        <f>IF(AND(الجدول14[[#This Row],[نوع الجلسة]]=$BZ$3,الجدول14[[#This Row],[البرنامج]]="PLW"),الجدول14[[#This Row],[عدد الأناث]],0)</f>
        <v>0</v>
      </c>
      <c r="Y45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45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45" s="113">
        <f>IF(AND(الجدول14[[#This Row],[البرنامج]]="PLW",الجدول14[[#This Row],[نوع الجلسة]]=$BZ$4),1,0)</f>
        <v>0</v>
      </c>
      <c r="AB45" s="113">
        <f>IF(AND(الجدول14[[#This Row],[البرنامج]]="PLW",الجدول14[[#This Row],[نوع الجلسة]]=$BZ$4),الجدول14[[#This Row],[عدد الذكور]],0)</f>
        <v>0</v>
      </c>
      <c r="AC45" s="113">
        <f>IF(AND(الجدول14[[#This Row],[البرنامج]]="PLW",الجدول14[[#This Row],[نوع الجلسة]]=$BZ$4),الجدول14[[#This Row],[عدد الأناث]],0)</f>
        <v>0</v>
      </c>
      <c r="AD45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45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45" s="125">
        <f>IF(AND(الجدول14[[#This Row],[البرنامج]]="OOSCH",الجدول14[[#This Row],[نوع الجلسة]]=$BZ$7),1,0)</f>
        <v>0</v>
      </c>
      <c r="AG45" s="125">
        <f>IF(AND(الجدول14[[#This Row],[البرنامج]]="OOSCH",الجدول14[[#This Row],[نوع الجلسة]]=$BZ$7),الجدول14[[#This Row],[عدد الذكور]],0)</f>
        <v>0</v>
      </c>
      <c r="AH45" s="125">
        <f>IF(AND(الجدول14[[#This Row],[البرنامج]]="OOSCH",الجدول14[[#This Row],[نوع الجلسة]]=$BZ$7),الجدول14[[#This Row],[عدد الأناث]],0)</f>
        <v>0</v>
      </c>
      <c r="AI45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45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45" s="126">
        <f>IF(AND(الجدول14[[#This Row],[البرنامج]]="OOSCH",الجدول14[[#This Row],[نوع الجلسة]]=$BZ$4),1,0)</f>
        <v>0</v>
      </c>
      <c r="AL45" s="126">
        <f>IF(AND(الجدول14[[#This Row],[البرنامج]]="OOSCH",الجدول14[[#This Row],[نوع الجلسة]]=$BZ$4),الجدول14[[#This Row],[عدد الذكور]],0)</f>
        <v>0</v>
      </c>
      <c r="AM45" s="126">
        <f>IF(AND(الجدول14[[#This Row],[البرنامج]]="OOSCH",الجدول14[[#This Row],[نوع الجلسة]]=$BZ$4),الجدول14[[#This Row],[عدد الأناث]],0)</f>
        <v>0</v>
      </c>
      <c r="AN45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45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45" s="123">
        <f>IF(AND(الجدول14[[#This Row],[نوع الجلسة]]=$BZ$5,الجدول14[[#This Row],[البرنامج]]=$BX$3),1,0)</f>
        <v>0</v>
      </c>
      <c r="AQ45" s="123">
        <f>IF(AND(الجدول14[[#This Row],[البرنامج]]="PLW",الجدول14[[#This Row],[نوع الجلسة]]=$BZ$5),الجدول14[[#This Row],[عدد الذكور]],0)</f>
        <v>0</v>
      </c>
      <c r="AR45" s="123">
        <f>IF(AND(الجدول14[[#This Row],[البرنامج]]="PLW",الجدول14[[#This Row],[نوع الجلسة]]=$BZ$5),الجدول14[[#This Row],[عدد الأناث]],0)</f>
        <v>0</v>
      </c>
      <c r="AS45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45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45" s="127">
        <f>IF(AND(الجدول14[[#This Row],[نوع الجلسة]]=$BZ$5,الجدول14[[#This Row],[البرنامج]]=$BX$2),1,0)</f>
        <v>0</v>
      </c>
      <c r="AV45" s="127">
        <f>IF(AND(الجدول14[[#This Row],[البرنامج]]="OOSCH",الجدول14[[#This Row],[نوع الجلسة]]=$BZ$5),الجدول14[[#This Row],[عدد الذكور]],0)</f>
        <v>0</v>
      </c>
      <c r="AW45" s="127">
        <f>IF(AND(الجدول14[[#This Row],[البرنامج]]="OOSCH",الجدول14[[#This Row],[نوع الجلسة]]=$BZ$5),الجدول14[[#This Row],[عدد الأناث]],0)</f>
        <v>0</v>
      </c>
      <c r="AX45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45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45" s="121">
        <f>IF(AND(الجدول14[[#This Row],[نوع الجلسة]]=$BZ$6,الجدول14[[#This Row],[البرنامج]]=$BX$3),1,0)</f>
        <v>0</v>
      </c>
      <c r="BA45" s="121">
        <f>IF(AND(الجدول14[[#This Row],[البرنامج]]="PLW",الجدول14[[#This Row],[نوع الجلسة]]=$BZ$6),الجدول14[[#This Row],[عدد الذكور]],0)</f>
        <v>0</v>
      </c>
      <c r="BB45" s="121">
        <f>IF(AND(الجدول14[[#This Row],[البرنامج]]="PLW",الجدول14[[#This Row],[نوع الجلسة]]=$BZ$6),الجدول14[[#This Row],[عدد الأناث]],0)</f>
        <v>0</v>
      </c>
      <c r="BC45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45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45" s="122">
        <f>IF(AND(الجدول14[[#This Row],[نوع الجلسة]]=$BZ$6,الجدول14[[#This Row],[البرنامج]]=$BX$2),1,0)</f>
        <v>0</v>
      </c>
      <c r="BF45" s="122">
        <f>IF(AND(الجدول14[[#This Row],[البرنامج]]="OOSCH",الجدول14[[#This Row],[نوع الجلسة]]=$BZ$6),الجدول14[[#This Row],[عدد الذكور]],0)</f>
        <v>0</v>
      </c>
      <c r="BG45" s="122">
        <f>IF(AND(الجدول14[[#This Row],[البرنامج]]="OOSCH",الجدول14[[#This Row],[نوع الجلسة]]=$BZ$6),الجدول14[[#This Row],[عدد الأناث]],0)</f>
        <v>0</v>
      </c>
      <c r="BH45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45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46" spans="4:61" ht="31.5" customHeight="1" x14ac:dyDescent="0.25">
      <c r="D46" s="9"/>
      <c r="E46" s="9"/>
      <c r="F46" s="9"/>
      <c r="G46" s="9"/>
      <c r="H46" s="9"/>
      <c r="I46" s="9"/>
      <c r="J46" s="9"/>
      <c r="K46" s="9">
        <f>SUM(الجدول14[[#This Row],[عدد الذكور]:[عدد الأناث]])</f>
        <v>0</v>
      </c>
      <c r="L46" s="120">
        <f>IF(AND(الجدول14[[#This Row],[البرنامج]]="PLW",الجدول14[[#This Row],[نوع الجلسة]]=$BZ$2),1,0)</f>
        <v>0</v>
      </c>
      <c r="M46" s="120">
        <f>IF(AND(الجدول14[[#This Row],[نوع الجلسة]]=$BZ$2,الجدول14[[#This Row],[البرنامج]]="PLW"),الجدول14[[#This Row],[عدد الذكور]],0)</f>
        <v>0</v>
      </c>
      <c r="N46" s="120">
        <f>IF(AND(الجدول14[[#This Row],[نوع الجلسة]]=$BZ$2,الجدول14[[#This Row],[البرنامج]]="PLW"),الجدول14[[#This Row],[عدد الأناث]],0)</f>
        <v>0</v>
      </c>
      <c r="O46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46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46" s="123">
        <f>IF(AND(الجدول14[[#This Row],[البرنامج]]="OOSCH",الجدول14[[#This Row],[نوع الجلسة]]=$BZ$2),1,0)</f>
        <v>0</v>
      </c>
      <c r="R46" s="123">
        <f>IF(AND(الجدول14[[#This Row],[البرنامج]]="OOSCH",الجدول14[[#This Row],[نوع الجلسة]]=$BZ$2),الجدول14[[#This Row],[عدد الذكور]],0)</f>
        <v>0</v>
      </c>
      <c r="S46" s="123">
        <f>IF(AND(الجدول14[[#This Row],[البرنامج]]="OOSCH",الجدول14[[#This Row],[نوع الجلسة]]=$BZ$2),الجدول14[[#This Row],[عدد الأناث]],0)</f>
        <v>0</v>
      </c>
      <c r="T46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46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46" s="124">
        <f>IF(AND(الجدول14[[#This Row],[البرنامج]]="PLW",الجدول14[[#This Row],[نوع الجلسة]]="معلومات صحة تغذوية للسيدة الحامل"),1,0)</f>
        <v>0</v>
      </c>
      <c r="W46" s="124">
        <f>IF(AND(الجدول14[[#This Row],[نوع الجلسة]]=$BZ$3,الجدول14[[#This Row],[البرنامج]]="PLW"),الجدول14[[#This Row],[عدد الذكور]],0)</f>
        <v>0</v>
      </c>
      <c r="X46" s="124">
        <f>IF(AND(الجدول14[[#This Row],[نوع الجلسة]]=$BZ$3,الجدول14[[#This Row],[البرنامج]]="PLW"),الجدول14[[#This Row],[عدد الأناث]],0)</f>
        <v>0</v>
      </c>
      <c r="Y46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46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46" s="113">
        <f>IF(AND(الجدول14[[#This Row],[البرنامج]]="PLW",الجدول14[[#This Row],[نوع الجلسة]]=$BZ$4),1,0)</f>
        <v>0</v>
      </c>
      <c r="AB46" s="113">
        <f>IF(AND(الجدول14[[#This Row],[البرنامج]]="PLW",الجدول14[[#This Row],[نوع الجلسة]]=$BZ$4),الجدول14[[#This Row],[عدد الذكور]],0)</f>
        <v>0</v>
      </c>
      <c r="AC46" s="113">
        <f>IF(AND(الجدول14[[#This Row],[البرنامج]]="PLW",الجدول14[[#This Row],[نوع الجلسة]]=$BZ$4),الجدول14[[#This Row],[عدد الأناث]],0)</f>
        <v>0</v>
      </c>
      <c r="AD46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46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46" s="125">
        <f>IF(AND(الجدول14[[#This Row],[البرنامج]]="OOSCH",الجدول14[[#This Row],[نوع الجلسة]]=$BZ$7),1,0)</f>
        <v>0</v>
      </c>
      <c r="AG46" s="125">
        <f>IF(AND(الجدول14[[#This Row],[البرنامج]]="OOSCH",الجدول14[[#This Row],[نوع الجلسة]]=$BZ$7),الجدول14[[#This Row],[عدد الذكور]],0)</f>
        <v>0</v>
      </c>
      <c r="AH46" s="125">
        <f>IF(AND(الجدول14[[#This Row],[البرنامج]]="OOSCH",الجدول14[[#This Row],[نوع الجلسة]]=$BZ$7),الجدول14[[#This Row],[عدد الأناث]],0)</f>
        <v>0</v>
      </c>
      <c r="AI46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46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46" s="126">
        <f>IF(AND(الجدول14[[#This Row],[البرنامج]]="OOSCH",الجدول14[[#This Row],[نوع الجلسة]]=$BZ$4),1,0)</f>
        <v>0</v>
      </c>
      <c r="AL46" s="126">
        <f>IF(AND(الجدول14[[#This Row],[البرنامج]]="OOSCH",الجدول14[[#This Row],[نوع الجلسة]]=$BZ$4),الجدول14[[#This Row],[عدد الذكور]],0)</f>
        <v>0</v>
      </c>
      <c r="AM46" s="126">
        <f>IF(AND(الجدول14[[#This Row],[البرنامج]]="OOSCH",الجدول14[[#This Row],[نوع الجلسة]]=$BZ$4),الجدول14[[#This Row],[عدد الأناث]],0)</f>
        <v>0</v>
      </c>
      <c r="AN46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46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46" s="123">
        <f>IF(AND(الجدول14[[#This Row],[نوع الجلسة]]=$BZ$5,الجدول14[[#This Row],[البرنامج]]=$BX$3),1,0)</f>
        <v>0</v>
      </c>
      <c r="AQ46" s="123">
        <f>IF(AND(الجدول14[[#This Row],[البرنامج]]="PLW",الجدول14[[#This Row],[نوع الجلسة]]=$BZ$5),الجدول14[[#This Row],[عدد الذكور]],0)</f>
        <v>0</v>
      </c>
      <c r="AR46" s="123">
        <f>IF(AND(الجدول14[[#This Row],[البرنامج]]="PLW",الجدول14[[#This Row],[نوع الجلسة]]=$BZ$5),الجدول14[[#This Row],[عدد الأناث]],0)</f>
        <v>0</v>
      </c>
      <c r="AS46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46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46" s="127">
        <f>IF(AND(الجدول14[[#This Row],[نوع الجلسة]]=$BZ$5,الجدول14[[#This Row],[البرنامج]]=$BX$2),1,0)</f>
        <v>0</v>
      </c>
      <c r="AV46" s="127">
        <f>IF(AND(الجدول14[[#This Row],[البرنامج]]="OOSCH",الجدول14[[#This Row],[نوع الجلسة]]=$BZ$5),الجدول14[[#This Row],[عدد الذكور]],0)</f>
        <v>0</v>
      </c>
      <c r="AW46" s="127">
        <f>IF(AND(الجدول14[[#This Row],[البرنامج]]="OOSCH",الجدول14[[#This Row],[نوع الجلسة]]=$BZ$5),الجدول14[[#This Row],[عدد الأناث]],0)</f>
        <v>0</v>
      </c>
      <c r="AX46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46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46" s="121">
        <f>IF(AND(الجدول14[[#This Row],[نوع الجلسة]]=$BZ$6,الجدول14[[#This Row],[البرنامج]]=$BX$3),1,0)</f>
        <v>0</v>
      </c>
      <c r="BA46" s="121">
        <f>IF(AND(الجدول14[[#This Row],[البرنامج]]="PLW",الجدول14[[#This Row],[نوع الجلسة]]=$BZ$6),الجدول14[[#This Row],[عدد الذكور]],0)</f>
        <v>0</v>
      </c>
      <c r="BB46" s="121">
        <f>IF(AND(الجدول14[[#This Row],[البرنامج]]="PLW",الجدول14[[#This Row],[نوع الجلسة]]=$BZ$6),الجدول14[[#This Row],[عدد الأناث]],0)</f>
        <v>0</v>
      </c>
      <c r="BC46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46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46" s="122">
        <f>IF(AND(الجدول14[[#This Row],[نوع الجلسة]]=$BZ$6,الجدول14[[#This Row],[البرنامج]]=$BX$2),1,0)</f>
        <v>0</v>
      </c>
      <c r="BF46" s="122">
        <f>IF(AND(الجدول14[[#This Row],[البرنامج]]="OOSCH",الجدول14[[#This Row],[نوع الجلسة]]=$BZ$6),الجدول14[[#This Row],[عدد الذكور]],0)</f>
        <v>0</v>
      </c>
      <c r="BG46" s="122">
        <f>IF(AND(الجدول14[[#This Row],[البرنامج]]="OOSCH",الجدول14[[#This Row],[نوع الجلسة]]=$BZ$6),الجدول14[[#This Row],[عدد الأناث]],0)</f>
        <v>0</v>
      </c>
      <c r="BH46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46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47" spans="4:61" ht="31.5" customHeight="1" x14ac:dyDescent="0.25">
      <c r="D47" s="9"/>
      <c r="E47" s="9"/>
      <c r="F47" s="9"/>
      <c r="G47" s="9"/>
      <c r="H47" s="9"/>
      <c r="I47" s="9"/>
      <c r="J47" s="9"/>
      <c r="K47" s="9">
        <f>SUM(الجدول14[[#This Row],[عدد الذكور]:[عدد الأناث]])</f>
        <v>0</v>
      </c>
      <c r="L47" s="120">
        <f>IF(AND(الجدول14[[#This Row],[البرنامج]]="PLW",الجدول14[[#This Row],[نوع الجلسة]]=$BZ$2),1,0)</f>
        <v>0</v>
      </c>
      <c r="M47" s="120">
        <f>IF(AND(الجدول14[[#This Row],[نوع الجلسة]]=$BZ$2,الجدول14[[#This Row],[البرنامج]]="PLW"),الجدول14[[#This Row],[عدد الذكور]],0)</f>
        <v>0</v>
      </c>
      <c r="N47" s="120">
        <f>IF(AND(الجدول14[[#This Row],[نوع الجلسة]]=$BZ$2,الجدول14[[#This Row],[البرنامج]]="PLW"),الجدول14[[#This Row],[عدد الأناث]],0)</f>
        <v>0</v>
      </c>
      <c r="O47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47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47" s="123">
        <f>IF(AND(الجدول14[[#This Row],[البرنامج]]="OOSCH",الجدول14[[#This Row],[نوع الجلسة]]=$BZ$2),1,0)</f>
        <v>0</v>
      </c>
      <c r="R47" s="123">
        <f>IF(AND(الجدول14[[#This Row],[البرنامج]]="OOSCH",الجدول14[[#This Row],[نوع الجلسة]]=$BZ$2),الجدول14[[#This Row],[عدد الذكور]],0)</f>
        <v>0</v>
      </c>
      <c r="S47" s="123">
        <f>IF(AND(الجدول14[[#This Row],[البرنامج]]="OOSCH",الجدول14[[#This Row],[نوع الجلسة]]=$BZ$2),الجدول14[[#This Row],[عدد الأناث]],0)</f>
        <v>0</v>
      </c>
      <c r="T47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47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47" s="124">
        <f>IF(AND(الجدول14[[#This Row],[البرنامج]]="PLW",الجدول14[[#This Row],[نوع الجلسة]]="معلومات صحة تغذوية للسيدة الحامل"),1,0)</f>
        <v>0</v>
      </c>
      <c r="W47" s="124">
        <f>IF(AND(الجدول14[[#This Row],[نوع الجلسة]]=$BZ$3,الجدول14[[#This Row],[البرنامج]]="PLW"),الجدول14[[#This Row],[عدد الذكور]],0)</f>
        <v>0</v>
      </c>
      <c r="X47" s="124">
        <f>IF(AND(الجدول14[[#This Row],[نوع الجلسة]]=$BZ$3,الجدول14[[#This Row],[البرنامج]]="PLW"),الجدول14[[#This Row],[عدد الأناث]],0)</f>
        <v>0</v>
      </c>
      <c r="Y47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47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47" s="113">
        <f>IF(AND(الجدول14[[#This Row],[البرنامج]]="PLW",الجدول14[[#This Row],[نوع الجلسة]]=$BZ$4),1,0)</f>
        <v>0</v>
      </c>
      <c r="AB47" s="113">
        <f>IF(AND(الجدول14[[#This Row],[البرنامج]]="PLW",الجدول14[[#This Row],[نوع الجلسة]]=$BZ$4),الجدول14[[#This Row],[عدد الذكور]],0)</f>
        <v>0</v>
      </c>
      <c r="AC47" s="113">
        <f>IF(AND(الجدول14[[#This Row],[البرنامج]]="PLW",الجدول14[[#This Row],[نوع الجلسة]]=$BZ$4),الجدول14[[#This Row],[عدد الأناث]],0)</f>
        <v>0</v>
      </c>
      <c r="AD47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47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47" s="125">
        <f>IF(AND(الجدول14[[#This Row],[البرنامج]]="OOSCH",الجدول14[[#This Row],[نوع الجلسة]]=$BZ$7),1,0)</f>
        <v>0</v>
      </c>
      <c r="AG47" s="125">
        <f>IF(AND(الجدول14[[#This Row],[البرنامج]]="OOSCH",الجدول14[[#This Row],[نوع الجلسة]]=$BZ$7),الجدول14[[#This Row],[عدد الذكور]],0)</f>
        <v>0</v>
      </c>
      <c r="AH47" s="125">
        <f>IF(AND(الجدول14[[#This Row],[البرنامج]]="OOSCH",الجدول14[[#This Row],[نوع الجلسة]]=$BZ$7),الجدول14[[#This Row],[عدد الأناث]],0)</f>
        <v>0</v>
      </c>
      <c r="AI47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47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47" s="126">
        <f>IF(AND(الجدول14[[#This Row],[البرنامج]]="OOSCH",الجدول14[[#This Row],[نوع الجلسة]]=$BZ$4),1,0)</f>
        <v>0</v>
      </c>
      <c r="AL47" s="126">
        <f>IF(AND(الجدول14[[#This Row],[البرنامج]]="OOSCH",الجدول14[[#This Row],[نوع الجلسة]]=$BZ$4),الجدول14[[#This Row],[عدد الذكور]],0)</f>
        <v>0</v>
      </c>
      <c r="AM47" s="126">
        <f>IF(AND(الجدول14[[#This Row],[البرنامج]]="OOSCH",الجدول14[[#This Row],[نوع الجلسة]]=$BZ$4),الجدول14[[#This Row],[عدد الأناث]],0)</f>
        <v>0</v>
      </c>
      <c r="AN47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47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47" s="123">
        <f>IF(AND(الجدول14[[#This Row],[نوع الجلسة]]=$BZ$5,الجدول14[[#This Row],[البرنامج]]=$BX$3),1,0)</f>
        <v>0</v>
      </c>
      <c r="AQ47" s="123">
        <f>IF(AND(الجدول14[[#This Row],[البرنامج]]="PLW",الجدول14[[#This Row],[نوع الجلسة]]=$BZ$5),الجدول14[[#This Row],[عدد الذكور]],0)</f>
        <v>0</v>
      </c>
      <c r="AR47" s="123">
        <f>IF(AND(الجدول14[[#This Row],[البرنامج]]="PLW",الجدول14[[#This Row],[نوع الجلسة]]=$BZ$5),الجدول14[[#This Row],[عدد الأناث]],0)</f>
        <v>0</v>
      </c>
      <c r="AS47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47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47" s="127">
        <f>IF(AND(الجدول14[[#This Row],[نوع الجلسة]]=$BZ$5,الجدول14[[#This Row],[البرنامج]]=$BX$2),1,0)</f>
        <v>0</v>
      </c>
      <c r="AV47" s="127">
        <f>IF(AND(الجدول14[[#This Row],[البرنامج]]="OOSCH",الجدول14[[#This Row],[نوع الجلسة]]=$BZ$5),الجدول14[[#This Row],[عدد الذكور]],0)</f>
        <v>0</v>
      </c>
      <c r="AW47" s="127">
        <f>IF(AND(الجدول14[[#This Row],[البرنامج]]="OOSCH",الجدول14[[#This Row],[نوع الجلسة]]=$BZ$5),الجدول14[[#This Row],[عدد الأناث]],0)</f>
        <v>0</v>
      </c>
      <c r="AX47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47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47" s="121">
        <f>IF(AND(الجدول14[[#This Row],[نوع الجلسة]]=$BZ$6,الجدول14[[#This Row],[البرنامج]]=$BX$3),1,0)</f>
        <v>0</v>
      </c>
      <c r="BA47" s="121">
        <f>IF(AND(الجدول14[[#This Row],[البرنامج]]="PLW",الجدول14[[#This Row],[نوع الجلسة]]=$BZ$6),الجدول14[[#This Row],[عدد الذكور]],0)</f>
        <v>0</v>
      </c>
      <c r="BB47" s="121">
        <f>IF(AND(الجدول14[[#This Row],[البرنامج]]="PLW",الجدول14[[#This Row],[نوع الجلسة]]=$BZ$6),الجدول14[[#This Row],[عدد الأناث]],0)</f>
        <v>0</v>
      </c>
      <c r="BC47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47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47" s="122">
        <f>IF(AND(الجدول14[[#This Row],[نوع الجلسة]]=$BZ$6,الجدول14[[#This Row],[البرنامج]]=$BX$2),1,0)</f>
        <v>0</v>
      </c>
      <c r="BF47" s="122">
        <f>IF(AND(الجدول14[[#This Row],[البرنامج]]="OOSCH",الجدول14[[#This Row],[نوع الجلسة]]=$BZ$6),الجدول14[[#This Row],[عدد الذكور]],0)</f>
        <v>0</v>
      </c>
      <c r="BG47" s="122">
        <f>IF(AND(الجدول14[[#This Row],[البرنامج]]="OOSCH",الجدول14[[#This Row],[نوع الجلسة]]=$BZ$6),الجدول14[[#This Row],[عدد الأناث]],0)</f>
        <v>0</v>
      </c>
      <c r="BH47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47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48" spans="4:61" ht="31.5" customHeight="1" x14ac:dyDescent="0.25">
      <c r="D48" s="9"/>
      <c r="E48" s="9"/>
      <c r="F48" s="9"/>
      <c r="G48" s="9"/>
      <c r="H48" s="9"/>
      <c r="I48" s="9"/>
      <c r="J48" s="9"/>
      <c r="K48" s="9">
        <f>SUM(الجدول14[[#This Row],[عدد الذكور]:[عدد الأناث]])</f>
        <v>0</v>
      </c>
      <c r="L48" s="120">
        <f>IF(AND(الجدول14[[#This Row],[البرنامج]]="PLW",الجدول14[[#This Row],[نوع الجلسة]]=$BZ$2),1,0)</f>
        <v>0</v>
      </c>
      <c r="M48" s="120">
        <f>IF(AND(الجدول14[[#This Row],[نوع الجلسة]]=$BZ$2,الجدول14[[#This Row],[البرنامج]]="PLW"),الجدول14[[#This Row],[عدد الذكور]],0)</f>
        <v>0</v>
      </c>
      <c r="N48" s="120">
        <f>IF(AND(الجدول14[[#This Row],[نوع الجلسة]]=$BZ$2,الجدول14[[#This Row],[البرنامج]]="PLW"),الجدول14[[#This Row],[عدد الأناث]],0)</f>
        <v>0</v>
      </c>
      <c r="O48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48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48" s="123">
        <f>IF(AND(الجدول14[[#This Row],[البرنامج]]="OOSCH",الجدول14[[#This Row],[نوع الجلسة]]=$BZ$2),1,0)</f>
        <v>0</v>
      </c>
      <c r="R48" s="123">
        <f>IF(AND(الجدول14[[#This Row],[البرنامج]]="OOSCH",الجدول14[[#This Row],[نوع الجلسة]]=$BZ$2),الجدول14[[#This Row],[عدد الذكور]],0)</f>
        <v>0</v>
      </c>
      <c r="S48" s="123">
        <f>IF(AND(الجدول14[[#This Row],[البرنامج]]="OOSCH",الجدول14[[#This Row],[نوع الجلسة]]=$BZ$2),الجدول14[[#This Row],[عدد الأناث]],0)</f>
        <v>0</v>
      </c>
      <c r="T48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48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48" s="124">
        <f>IF(AND(الجدول14[[#This Row],[البرنامج]]="PLW",الجدول14[[#This Row],[نوع الجلسة]]="معلومات صحة تغذوية للسيدة الحامل"),1,0)</f>
        <v>0</v>
      </c>
      <c r="W48" s="124">
        <f>IF(AND(الجدول14[[#This Row],[نوع الجلسة]]=$BZ$3,الجدول14[[#This Row],[البرنامج]]="PLW"),الجدول14[[#This Row],[عدد الذكور]],0)</f>
        <v>0</v>
      </c>
      <c r="X48" s="124">
        <f>IF(AND(الجدول14[[#This Row],[نوع الجلسة]]=$BZ$3,الجدول14[[#This Row],[البرنامج]]="PLW"),الجدول14[[#This Row],[عدد الأناث]],0)</f>
        <v>0</v>
      </c>
      <c r="Y48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48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48" s="113">
        <f>IF(AND(الجدول14[[#This Row],[البرنامج]]="PLW",الجدول14[[#This Row],[نوع الجلسة]]=$BZ$4),1,0)</f>
        <v>0</v>
      </c>
      <c r="AB48" s="113">
        <f>IF(AND(الجدول14[[#This Row],[البرنامج]]="PLW",الجدول14[[#This Row],[نوع الجلسة]]=$BZ$4),الجدول14[[#This Row],[عدد الذكور]],0)</f>
        <v>0</v>
      </c>
      <c r="AC48" s="113">
        <f>IF(AND(الجدول14[[#This Row],[البرنامج]]="PLW",الجدول14[[#This Row],[نوع الجلسة]]=$BZ$4),الجدول14[[#This Row],[عدد الأناث]],0)</f>
        <v>0</v>
      </c>
      <c r="AD48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48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48" s="125">
        <f>IF(AND(الجدول14[[#This Row],[البرنامج]]="OOSCH",الجدول14[[#This Row],[نوع الجلسة]]=$BZ$7),1,0)</f>
        <v>0</v>
      </c>
      <c r="AG48" s="125">
        <f>IF(AND(الجدول14[[#This Row],[البرنامج]]="OOSCH",الجدول14[[#This Row],[نوع الجلسة]]=$BZ$7),الجدول14[[#This Row],[عدد الذكور]],0)</f>
        <v>0</v>
      </c>
      <c r="AH48" s="125">
        <f>IF(AND(الجدول14[[#This Row],[البرنامج]]="OOSCH",الجدول14[[#This Row],[نوع الجلسة]]=$BZ$7),الجدول14[[#This Row],[عدد الأناث]],0)</f>
        <v>0</v>
      </c>
      <c r="AI48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48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48" s="126">
        <f>IF(AND(الجدول14[[#This Row],[البرنامج]]="OOSCH",الجدول14[[#This Row],[نوع الجلسة]]=$BZ$4),1,0)</f>
        <v>0</v>
      </c>
      <c r="AL48" s="126">
        <f>IF(AND(الجدول14[[#This Row],[البرنامج]]="OOSCH",الجدول14[[#This Row],[نوع الجلسة]]=$BZ$4),الجدول14[[#This Row],[عدد الذكور]],0)</f>
        <v>0</v>
      </c>
      <c r="AM48" s="126">
        <f>IF(AND(الجدول14[[#This Row],[البرنامج]]="OOSCH",الجدول14[[#This Row],[نوع الجلسة]]=$BZ$4),الجدول14[[#This Row],[عدد الأناث]],0)</f>
        <v>0</v>
      </c>
      <c r="AN48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48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48" s="123">
        <f>IF(AND(الجدول14[[#This Row],[نوع الجلسة]]=$BZ$5,الجدول14[[#This Row],[البرنامج]]=$BX$3),1,0)</f>
        <v>0</v>
      </c>
      <c r="AQ48" s="123">
        <f>IF(AND(الجدول14[[#This Row],[البرنامج]]="PLW",الجدول14[[#This Row],[نوع الجلسة]]=$BZ$5),الجدول14[[#This Row],[عدد الذكور]],0)</f>
        <v>0</v>
      </c>
      <c r="AR48" s="123">
        <f>IF(AND(الجدول14[[#This Row],[البرنامج]]="PLW",الجدول14[[#This Row],[نوع الجلسة]]=$BZ$5),الجدول14[[#This Row],[عدد الأناث]],0)</f>
        <v>0</v>
      </c>
      <c r="AS48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48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48" s="127">
        <f>IF(AND(الجدول14[[#This Row],[نوع الجلسة]]=$BZ$5,الجدول14[[#This Row],[البرنامج]]=$BX$2),1,0)</f>
        <v>0</v>
      </c>
      <c r="AV48" s="127">
        <f>IF(AND(الجدول14[[#This Row],[البرنامج]]="OOSCH",الجدول14[[#This Row],[نوع الجلسة]]=$BZ$5),الجدول14[[#This Row],[عدد الذكور]],0)</f>
        <v>0</v>
      </c>
      <c r="AW48" s="127">
        <f>IF(AND(الجدول14[[#This Row],[البرنامج]]="OOSCH",الجدول14[[#This Row],[نوع الجلسة]]=$BZ$5),الجدول14[[#This Row],[عدد الأناث]],0)</f>
        <v>0</v>
      </c>
      <c r="AX48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48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48" s="121">
        <f>IF(AND(الجدول14[[#This Row],[نوع الجلسة]]=$BZ$6,الجدول14[[#This Row],[البرنامج]]=$BX$3),1,0)</f>
        <v>0</v>
      </c>
      <c r="BA48" s="121">
        <f>IF(AND(الجدول14[[#This Row],[البرنامج]]="PLW",الجدول14[[#This Row],[نوع الجلسة]]=$BZ$6),الجدول14[[#This Row],[عدد الذكور]],0)</f>
        <v>0</v>
      </c>
      <c r="BB48" s="121">
        <f>IF(AND(الجدول14[[#This Row],[البرنامج]]="PLW",الجدول14[[#This Row],[نوع الجلسة]]=$BZ$6),الجدول14[[#This Row],[عدد الأناث]],0)</f>
        <v>0</v>
      </c>
      <c r="BC48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48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48" s="122">
        <f>IF(AND(الجدول14[[#This Row],[نوع الجلسة]]=$BZ$6,الجدول14[[#This Row],[البرنامج]]=$BX$2),1,0)</f>
        <v>0</v>
      </c>
      <c r="BF48" s="122">
        <f>IF(AND(الجدول14[[#This Row],[البرنامج]]="OOSCH",الجدول14[[#This Row],[نوع الجلسة]]=$BZ$6),الجدول14[[#This Row],[عدد الذكور]],0)</f>
        <v>0</v>
      </c>
      <c r="BG48" s="122">
        <f>IF(AND(الجدول14[[#This Row],[البرنامج]]="OOSCH",الجدول14[[#This Row],[نوع الجلسة]]=$BZ$6),الجدول14[[#This Row],[عدد الأناث]],0)</f>
        <v>0</v>
      </c>
      <c r="BH48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48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49" spans="4:61" ht="31.5" customHeight="1" x14ac:dyDescent="0.25">
      <c r="D49" s="9"/>
      <c r="E49" s="9"/>
      <c r="F49" s="9"/>
      <c r="G49" s="9"/>
      <c r="H49" s="9"/>
      <c r="I49" s="9"/>
      <c r="J49" s="9"/>
      <c r="K49" s="9">
        <f>SUM(الجدول14[[#This Row],[عدد الذكور]:[عدد الأناث]])</f>
        <v>0</v>
      </c>
      <c r="L49" s="120">
        <f>IF(AND(الجدول14[[#This Row],[البرنامج]]="PLW",الجدول14[[#This Row],[نوع الجلسة]]=$BZ$2),1,0)</f>
        <v>0</v>
      </c>
      <c r="M49" s="120">
        <f>IF(AND(الجدول14[[#This Row],[نوع الجلسة]]=$BZ$2,الجدول14[[#This Row],[البرنامج]]="PLW"),الجدول14[[#This Row],[عدد الذكور]],0)</f>
        <v>0</v>
      </c>
      <c r="N49" s="120">
        <f>IF(AND(الجدول14[[#This Row],[نوع الجلسة]]=$BZ$2,الجدول14[[#This Row],[البرنامج]]="PLW"),الجدول14[[#This Row],[عدد الأناث]],0)</f>
        <v>0</v>
      </c>
      <c r="O49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49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49" s="123">
        <f>IF(AND(الجدول14[[#This Row],[البرنامج]]="OOSCH",الجدول14[[#This Row],[نوع الجلسة]]=$BZ$2),1,0)</f>
        <v>0</v>
      </c>
      <c r="R49" s="123">
        <f>IF(AND(الجدول14[[#This Row],[البرنامج]]="OOSCH",الجدول14[[#This Row],[نوع الجلسة]]=$BZ$2),الجدول14[[#This Row],[عدد الذكور]],0)</f>
        <v>0</v>
      </c>
      <c r="S49" s="123">
        <f>IF(AND(الجدول14[[#This Row],[البرنامج]]="OOSCH",الجدول14[[#This Row],[نوع الجلسة]]=$BZ$2),الجدول14[[#This Row],[عدد الأناث]],0)</f>
        <v>0</v>
      </c>
      <c r="T49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49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49" s="124">
        <f>IF(AND(الجدول14[[#This Row],[البرنامج]]="PLW",الجدول14[[#This Row],[نوع الجلسة]]="معلومات صحة تغذوية للسيدة الحامل"),1,0)</f>
        <v>0</v>
      </c>
      <c r="W49" s="124">
        <f>IF(AND(الجدول14[[#This Row],[نوع الجلسة]]=$BZ$3,الجدول14[[#This Row],[البرنامج]]="PLW"),الجدول14[[#This Row],[عدد الذكور]],0)</f>
        <v>0</v>
      </c>
      <c r="X49" s="124">
        <f>IF(AND(الجدول14[[#This Row],[نوع الجلسة]]=$BZ$3,الجدول14[[#This Row],[البرنامج]]="PLW"),الجدول14[[#This Row],[عدد الأناث]],0)</f>
        <v>0</v>
      </c>
      <c r="Y49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49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49" s="113">
        <f>IF(AND(الجدول14[[#This Row],[البرنامج]]="PLW",الجدول14[[#This Row],[نوع الجلسة]]=$BZ$4),1,0)</f>
        <v>0</v>
      </c>
      <c r="AB49" s="113">
        <f>IF(AND(الجدول14[[#This Row],[البرنامج]]="PLW",الجدول14[[#This Row],[نوع الجلسة]]=$BZ$4),الجدول14[[#This Row],[عدد الذكور]],0)</f>
        <v>0</v>
      </c>
      <c r="AC49" s="113">
        <f>IF(AND(الجدول14[[#This Row],[البرنامج]]="PLW",الجدول14[[#This Row],[نوع الجلسة]]=$BZ$4),الجدول14[[#This Row],[عدد الأناث]],0)</f>
        <v>0</v>
      </c>
      <c r="AD49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49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49" s="125">
        <f>IF(AND(الجدول14[[#This Row],[البرنامج]]="OOSCH",الجدول14[[#This Row],[نوع الجلسة]]=$BZ$7),1,0)</f>
        <v>0</v>
      </c>
      <c r="AG49" s="125">
        <f>IF(AND(الجدول14[[#This Row],[البرنامج]]="OOSCH",الجدول14[[#This Row],[نوع الجلسة]]=$BZ$7),الجدول14[[#This Row],[عدد الذكور]],0)</f>
        <v>0</v>
      </c>
      <c r="AH49" s="125">
        <f>IF(AND(الجدول14[[#This Row],[البرنامج]]="OOSCH",الجدول14[[#This Row],[نوع الجلسة]]=$BZ$7),الجدول14[[#This Row],[عدد الأناث]],0)</f>
        <v>0</v>
      </c>
      <c r="AI49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49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49" s="126">
        <f>IF(AND(الجدول14[[#This Row],[البرنامج]]="OOSCH",الجدول14[[#This Row],[نوع الجلسة]]=$BZ$4),1,0)</f>
        <v>0</v>
      </c>
      <c r="AL49" s="126">
        <f>IF(AND(الجدول14[[#This Row],[البرنامج]]="OOSCH",الجدول14[[#This Row],[نوع الجلسة]]=$BZ$4),الجدول14[[#This Row],[عدد الذكور]],0)</f>
        <v>0</v>
      </c>
      <c r="AM49" s="126">
        <f>IF(AND(الجدول14[[#This Row],[البرنامج]]="OOSCH",الجدول14[[#This Row],[نوع الجلسة]]=$BZ$4),الجدول14[[#This Row],[عدد الأناث]],0)</f>
        <v>0</v>
      </c>
      <c r="AN49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49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49" s="123">
        <f>IF(AND(الجدول14[[#This Row],[نوع الجلسة]]=$BZ$5,الجدول14[[#This Row],[البرنامج]]=$BX$3),1,0)</f>
        <v>0</v>
      </c>
      <c r="AQ49" s="123">
        <f>IF(AND(الجدول14[[#This Row],[البرنامج]]="PLW",الجدول14[[#This Row],[نوع الجلسة]]=$BZ$5),الجدول14[[#This Row],[عدد الذكور]],0)</f>
        <v>0</v>
      </c>
      <c r="AR49" s="123">
        <f>IF(AND(الجدول14[[#This Row],[البرنامج]]="PLW",الجدول14[[#This Row],[نوع الجلسة]]=$BZ$5),الجدول14[[#This Row],[عدد الأناث]],0)</f>
        <v>0</v>
      </c>
      <c r="AS49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49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49" s="127">
        <f>IF(AND(الجدول14[[#This Row],[نوع الجلسة]]=$BZ$5,الجدول14[[#This Row],[البرنامج]]=$BX$2),1,0)</f>
        <v>0</v>
      </c>
      <c r="AV49" s="127">
        <f>IF(AND(الجدول14[[#This Row],[البرنامج]]="OOSCH",الجدول14[[#This Row],[نوع الجلسة]]=$BZ$5),الجدول14[[#This Row],[عدد الذكور]],0)</f>
        <v>0</v>
      </c>
      <c r="AW49" s="127">
        <f>IF(AND(الجدول14[[#This Row],[البرنامج]]="OOSCH",الجدول14[[#This Row],[نوع الجلسة]]=$BZ$5),الجدول14[[#This Row],[عدد الأناث]],0)</f>
        <v>0</v>
      </c>
      <c r="AX49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49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49" s="121">
        <f>IF(AND(الجدول14[[#This Row],[نوع الجلسة]]=$BZ$6,الجدول14[[#This Row],[البرنامج]]=$BX$3),1,0)</f>
        <v>0</v>
      </c>
      <c r="BA49" s="121">
        <f>IF(AND(الجدول14[[#This Row],[البرنامج]]="PLW",الجدول14[[#This Row],[نوع الجلسة]]=$BZ$6),الجدول14[[#This Row],[عدد الذكور]],0)</f>
        <v>0</v>
      </c>
      <c r="BB49" s="121">
        <f>IF(AND(الجدول14[[#This Row],[البرنامج]]="PLW",الجدول14[[#This Row],[نوع الجلسة]]=$BZ$6),الجدول14[[#This Row],[عدد الأناث]],0)</f>
        <v>0</v>
      </c>
      <c r="BC49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49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49" s="122">
        <f>IF(AND(الجدول14[[#This Row],[نوع الجلسة]]=$BZ$6,الجدول14[[#This Row],[البرنامج]]=$BX$2),1,0)</f>
        <v>0</v>
      </c>
      <c r="BF49" s="122">
        <f>IF(AND(الجدول14[[#This Row],[البرنامج]]="OOSCH",الجدول14[[#This Row],[نوع الجلسة]]=$BZ$6),الجدول14[[#This Row],[عدد الذكور]],0)</f>
        <v>0</v>
      </c>
      <c r="BG49" s="122">
        <f>IF(AND(الجدول14[[#This Row],[البرنامج]]="OOSCH",الجدول14[[#This Row],[نوع الجلسة]]=$BZ$6),الجدول14[[#This Row],[عدد الأناث]],0)</f>
        <v>0</v>
      </c>
      <c r="BH49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49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50" spans="4:61" ht="31.5" customHeight="1" x14ac:dyDescent="0.25">
      <c r="D50" s="9"/>
      <c r="E50" s="9"/>
      <c r="F50" s="9"/>
      <c r="G50" s="9"/>
      <c r="H50" s="9"/>
      <c r="I50" s="9"/>
      <c r="J50" s="9"/>
      <c r="K50" s="9">
        <f>SUM(الجدول14[[#This Row],[عدد الذكور]:[عدد الأناث]])</f>
        <v>0</v>
      </c>
      <c r="L50" s="120">
        <f>IF(AND(الجدول14[[#This Row],[البرنامج]]="PLW",الجدول14[[#This Row],[نوع الجلسة]]=$BZ$2),1,0)</f>
        <v>0</v>
      </c>
      <c r="M50" s="120">
        <f>IF(AND(الجدول14[[#This Row],[نوع الجلسة]]=$BZ$2,الجدول14[[#This Row],[البرنامج]]="PLW"),الجدول14[[#This Row],[عدد الذكور]],0)</f>
        <v>0</v>
      </c>
      <c r="N50" s="120">
        <f>IF(AND(الجدول14[[#This Row],[نوع الجلسة]]=$BZ$2,الجدول14[[#This Row],[البرنامج]]="PLW"),الجدول14[[#This Row],[عدد الأناث]],0)</f>
        <v>0</v>
      </c>
      <c r="O50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50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50" s="123">
        <f>IF(AND(الجدول14[[#This Row],[البرنامج]]="OOSCH",الجدول14[[#This Row],[نوع الجلسة]]=$BZ$2),1,0)</f>
        <v>0</v>
      </c>
      <c r="R50" s="123">
        <f>IF(AND(الجدول14[[#This Row],[البرنامج]]="OOSCH",الجدول14[[#This Row],[نوع الجلسة]]=$BZ$2),الجدول14[[#This Row],[عدد الذكور]],0)</f>
        <v>0</v>
      </c>
      <c r="S50" s="123">
        <f>IF(AND(الجدول14[[#This Row],[البرنامج]]="OOSCH",الجدول14[[#This Row],[نوع الجلسة]]=$BZ$2),الجدول14[[#This Row],[عدد الأناث]],0)</f>
        <v>0</v>
      </c>
      <c r="T50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50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50" s="124">
        <f>IF(AND(الجدول14[[#This Row],[البرنامج]]="PLW",الجدول14[[#This Row],[نوع الجلسة]]="معلومات صحة تغذوية للسيدة الحامل"),1,0)</f>
        <v>0</v>
      </c>
      <c r="W50" s="124">
        <f>IF(AND(الجدول14[[#This Row],[نوع الجلسة]]=$BZ$3,الجدول14[[#This Row],[البرنامج]]="PLW"),الجدول14[[#This Row],[عدد الذكور]],0)</f>
        <v>0</v>
      </c>
      <c r="X50" s="124">
        <f>IF(AND(الجدول14[[#This Row],[نوع الجلسة]]=$BZ$3,الجدول14[[#This Row],[البرنامج]]="PLW"),الجدول14[[#This Row],[عدد الأناث]],0)</f>
        <v>0</v>
      </c>
      <c r="Y50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50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50" s="113">
        <f>IF(AND(الجدول14[[#This Row],[البرنامج]]="PLW",الجدول14[[#This Row],[نوع الجلسة]]=$BZ$4),1,0)</f>
        <v>0</v>
      </c>
      <c r="AB50" s="113">
        <f>IF(AND(الجدول14[[#This Row],[البرنامج]]="PLW",الجدول14[[#This Row],[نوع الجلسة]]=$BZ$4),الجدول14[[#This Row],[عدد الذكور]],0)</f>
        <v>0</v>
      </c>
      <c r="AC50" s="113">
        <f>IF(AND(الجدول14[[#This Row],[البرنامج]]="PLW",الجدول14[[#This Row],[نوع الجلسة]]=$BZ$4),الجدول14[[#This Row],[عدد الأناث]],0)</f>
        <v>0</v>
      </c>
      <c r="AD50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50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50" s="125">
        <f>IF(AND(الجدول14[[#This Row],[البرنامج]]="OOSCH",الجدول14[[#This Row],[نوع الجلسة]]=$BZ$7),1,0)</f>
        <v>0</v>
      </c>
      <c r="AG50" s="125">
        <f>IF(AND(الجدول14[[#This Row],[البرنامج]]="OOSCH",الجدول14[[#This Row],[نوع الجلسة]]=$BZ$7),الجدول14[[#This Row],[عدد الذكور]],0)</f>
        <v>0</v>
      </c>
      <c r="AH50" s="125">
        <f>IF(AND(الجدول14[[#This Row],[البرنامج]]="OOSCH",الجدول14[[#This Row],[نوع الجلسة]]=$BZ$7),الجدول14[[#This Row],[عدد الأناث]],0)</f>
        <v>0</v>
      </c>
      <c r="AI50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50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50" s="126">
        <f>IF(AND(الجدول14[[#This Row],[البرنامج]]="OOSCH",الجدول14[[#This Row],[نوع الجلسة]]=$BZ$4),1,0)</f>
        <v>0</v>
      </c>
      <c r="AL50" s="126">
        <f>IF(AND(الجدول14[[#This Row],[البرنامج]]="OOSCH",الجدول14[[#This Row],[نوع الجلسة]]=$BZ$4),الجدول14[[#This Row],[عدد الذكور]],0)</f>
        <v>0</v>
      </c>
      <c r="AM50" s="126">
        <f>IF(AND(الجدول14[[#This Row],[البرنامج]]="OOSCH",الجدول14[[#This Row],[نوع الجلسة]]=$BZ$4),الجدول14[[#This Row],[عدد الأناث]],0)</f>
        <v>0</v>
      </c>
      <c r="AN50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50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50" s="123">
        <f>IF(AND(الجدول14[[#This Row],[نوع الجلسة]]=$BZ$5,الجدول14[[#This Row],[البرنامج]]=$BX$3),1,0)</f>
        <v>0</v>
      </c>
      <c r="AQ50" s="123">
        <f>IF(AND(الجدول14[[#This Row],[البرنامج]]="PLW",الجدول14[[#This Row],[نوع الجلسة]]=$BZ$5),الجدول14[[#This Row],[عدد الذكور]],0)</f>
        <v>0</v>
      </c>
      <c r="AR50" s="123">
        <f>IF(AND(الجدول14[[#This Row],[البرنامج]]="PLW",الجدول14[[#This Row],[نوع الجلسة]]=$BZ$5),الجدول14[[#This Row],[عدد الأناث]],0)</f>
        <v>0</v>
      </c>
      <c r="AS50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50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50" s="127">
        <f>IF(AND(الجدول14[[#This Row],[نوع الجلسة]]=$BZ$5,الجدول14[[#This Row],[البرنامج]]=$BX$2),1,0)</f>
        <v>0</v>
      </c>
      <c r="AV50" s="127">
        <f>IF(AND(الجدول14[[#This Row],[البرنامج]]="OOSCH",الجدول14[[#This Row],[نوع الجلسة]]=$BZ$5),الجدول14[[#This Row],[عدد الذكور]],0)</f>
        <v>0</v>
      </c>
      <c r="AW50" s="127">
        <f>IF(AND(الجدول14[[#This Row],[البرنامج]]="OOSCH",الجدول14[[#This Row],[نوع الجلسة]]=$BZ$5),الجدول14[[#This Row],[عدد الأناث]],0)</f>
        <v>0</v>
      </c>
      <c r="AX50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50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50" s="121">
        <f>IF(AND(الجدول14[[#This Row],[نوع الجلسة]]=$BZ$6,الجدول14[[#This Row],[البرنامج]]=$BX$3),1,0)</f>
        <v>0</v>
      </c>
      <c r="BA50" s="121">
        <f>IF(AND(الجدول14[[#This Row],[البرنامج]]="PLW",الجدول14[[#This Row],[نوع الجلسة]]=$BZ$6),الجدول14[[#This Row],[عدد الذكور]],0)</f>
        <v>0</v>
      </c>
      <c r="BB50" s="121">
        <f>IF(AND(الجدول14[[#This Row],[البرنامج]]="PLW",الجدول14[[#This Row],[نوع الجلسة]]=$BZ$6),الجدول14[[#This Row],[عدد الأناث]],0)</f>
        <v>0</v>
      </c>
      <c r="BC50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50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50" s="122">
        <f>IF(AND(الجدول14[[#This Row],[نوع الجلسة]]=$BZ$6,الجدول14[[#This Row],[البرنامج]]=$BX$2),1,0)</f>
        <v>0</v>
      </c>
      <c r="BF50" s="122">
        <f>IF(AND(الجدول14[[#This Row],[البرنامج]]="OOSCH",الجدول14[[#This Row],[نوع الجلسة]]=$BZ$6),الجدول14[[#This Row],[عدد الذكور]],0)</f>
        <v>0</v>
      </c>
      <c r="BG50" s="122">
        <f>IF(AND(الجدول14[[#This Row],[البرنامج]]="OOSCH",الجدول14[[#This Row],[نوع الجلسة]]=$BZ$6),الجدول14[[#This Row],[عدد الأناث]],0)</f>
        <v>0</v>
      </c>
      <c r="BH50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50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51" spans="4:61" ht="31.5" customHeight="1" x14ac:dyDescent="0.25">
      <c r="D51" s="9"/>
      <c r="E51" s="9"/>
      <c r="F51" s="9"/>
      <c r="G51" s="9"/>
      <c r="H51" s="9"/>
      <c r="I51" s="9"/>
      <c r="J51" s="9"/>
      <c r="K51" s="9">
        <f>SUM(الجدول14[[#This Row],[عدد الذكور]:[عدد الأناث]])</f>
        <v>0</v>
      </c>
      <c r="L51" s="120">
        <f>IF(AND(الجدول14[[#This Row],[البرنامج]]="PLW",الجدول14[[#This Row],[نوع الجلسة]]=$BZ$2),1,0)</f>
        <v>0</v>
      </c>
      <c r="M51" s="120">
        <f>IF(AND(الجدول14[[#This Row],[نوع الجلسة]]=$BZ$2,الجدول14[[#This Row],[البرنامج]]="PLW"),الجدول14[[#This Row],[عدد الذكور]],0)</f>
        <v>0</v>
      </c>
      <c r="N51" s="120">
        <f>IF(AND(الجدول14[[#This Row],[نوع الجلسة]]=$BZ$2,الجدول14[[#This Row],[البرنامج]]="PLW"),الجدول14[[#This Row],[عدد الأناث]],0)</f>
        <v>0</v>
      </c>
      <c r="O51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51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51" s="123">
        <f>IF(AND(الجدول14[[#This Row],[البرنامج]]="OOSCH",الجدول14[[#This Row],[نوع الجلسة]]=$BZ$2),1,0)</f>
        <v>0</v>
      </c>
      <c r="R51" s="123">
        <f>IF(AND(الجدول14[[#This Row],[البرنامج]]="OOSCH",الجدول14[[#This Row],[نوع الجلسة]]=$BZ$2),الجدول14[[#This Row],[عدد الذكور]],0)</f>
        <v>0</v>
      </c>
      <c r="S51" s="123">
        <f>IF(AND(الجدول14[[#This Row],[البرنامج]]="OOSCH",الجدول14[[#This Row],[نوع الجلسة]]=$BZ$2),الجدول14[[#This Row],[عدد الأناث]],0)</f>
        <v>0</v>
      </c>
      <c r="T51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51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51" s="124">
        <f>IF(AND(الجدول14[[#This Row],[البرنامج]]="PLW",الجدول14[[#This Row],[نوع الجلسة]]="معلومات صحة تغذوية للسيدة الحامل"),1,0)</f>
        <v>0</v>
      </c>
      <c r="W51" s="124">
        <f>IF(AND(الجدول14[[#This Row],[نوع الجلسة]]=$BZ$3,الجدول14[[#This Row],[البرنامج]]="PLW"),الجدول14[[#This Row],[عدد الذكور]],0)</f>
        <v>0</v>
      </c>
      <c r="X51" s="124">
        <f>IF(AND(الجدول14[[#This Row],[نوع الجلسة]]=$BZ$3,الجدول14[[#This Row],[البرنامج]]="PLW"),الجدول14[[#This Row],[عدد الأناث]],0)</f>
        <v>0</v>
      </c>
      <c r="Y51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51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51" s="113">
        <f>IF(AND(الجدول14[[#This Row],[البرنامج]]="PLW",الجدول14[[#This Row],[نوع الجلسة]]=$BZ$4),1,0)</f>
        <v>0</v>
      </c>
      <c r="AB51" s="113">
        <f>IF(AND(الجدول14[[#This Row],[البرنامج]]="PLW",الجدول14[[#This Row],[نوع الجلسة]]=$BZ$4),الجدول14[[#This Row],[عدد الذكور]],0)</f>
        <v>0</v>
      </c>
      <c r="AC51" s="113">
        <f>IF(AND(الجدول14[[#This Row],[البرنامج]]="PLW",الجدول14[[#This Row],[نوع الجلسة]]=$BZ$4),الجدول14[[#This Row],[عدد الأناث]],0)</f>
        <v>0</v>
      </c>
      <c r="AD51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51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51" s="125">
        <f>IF(AND(الجدول14[[#This Row],[البرنامج]]="OOSCH",الجدول14[[#This Row],[نوع الجلسة]]=$BZ$7),1,0)</f>
        <v>0</v>
      </c>
      <c r="AG51" s="125">
        <f>IF(AND(الجدول14[[#This Row],[البرنامج]]="OOSCH",الجدول14[[#This Row],[نوع الجلسة]]=$BZ$7),الجدول14[[#This Row],[عدد الذكور]],0)</f>
        <v>0</v>
      </c>
      <c r="AH51" s="125">
        <f>IF(AND(الجدول14[[#This Row],[البرنامج]]="OOSCH",الجدول14[[#This Row],[نوع الجلسة]]=$BZ$7),الجدول14[[#This Row],[عدد الأناث]],0)</f>
        <v>0</v>
      </c>
      <c r="AI51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51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51" s="126">
        <f>IF(AND(الجدول14[[#This Row],[البرنامج]]="OOSCH",الجدول14[[#This Row],[نوع الجلسة]]=$BZ$4),1,0)</f>
        <v>0</v>
      </c>
      <c r="AL51" s="126">
        <f>IF(AND(الجدول14[[#This Row],[البرنامج]]="OOSCH",الجدول14[[#This Row],[نوع الجلسة]]=$BZ$4),الجدول14[[#This Row],[عدد الذكور]],0)</f>
        <v>0</v>
      </c>
      <c r="AM51" s="126">
        <f>IF(AND(الجدول14[[#This Row],[البرنامج]]="OOSCH",الجدول14[[#This Row],[نوع الجلسة]]=$BZ$4),الجدول14[[#This Row],[عدد الأناث]],0)</f>
        <v>0</v>
      </c>
      <c r="AN51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51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51" s="123">
        <f>IF(AND(الجدول14[[#This Row],[نوع الجلسة]]=$BZ$5,الجدول14[[#This Row],[البرنامج]]=$BX$3),1,0)</f>
        <v>0</v>
      </c>
      <c r="AQ51" s="123">
        <f>IF(AND(الجدول14[[#This Row],[البرنامج]]="PLW",الجدول14[[#This Row],[نوع الجلسة]]=$BZ$5),الجدول14[[#This Row],[عدد الذكور]],0)</f>
        <v>0</v>
      </c>
      <c r="AR51" s="123">
        <f>IF(AND(الجدول14[[#This Row],[البرنامج]]="PLW",الجدول14[[#This Row],[نوع الجلسة]]=$BZ$5),الجدول14[[#This Row],[عدد الأناث]],0)</f>
        <v>0</v>
      </c>
      <c r="AS51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51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51" s="127">
        <f>IF(AND(الجدول14[[#This Row],[نوع الجلسة]]=$BZ$5,الجدول14[[#This Row],[البرنامج]]=$BX$2),1,0)</f>
        <v>0</v>
      </c>
      <c r="AV51" s="127">
        <f>IF(AND(الجدول14[[#This Row],[البرنامج]]="OOSCH",الجدول14[[#This Row],[نوع الجلسة]]=$BZ$5),الجدول14[[#This Row],[عدد الذكور]],0)</f>
        <v>0</v>
      </c>
      <c r="AW51" s="127">
        <f>IF(AND(الجدول14[[#This Row],[البرنامج]]="OOSCH",الجدول14[[#This Row],[نوع الجلسة]]=$BZ$5),الجدول14[[#This Row],[عدد الأناث]],0)</f>
        <v>0</v>
      </c>
      <c r="AX51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51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51" s="121">
        <f>IF(AND(الجدول14[[#This Row],[نوع الجلسة]]=$BZ$6,الجدول14[[#This Row],[البرنامج]]=$BX$3),1,0)</f>
        <v>0</v>
      </c>
      <c r="BA51" s="121">
        <f>IF(AND(الجدول14[[#This Row],[البرنامج]]="PLW",الجدول14[[#This Row],[نوع الجلسة]]=$BZ$6),الجدول14[[#This Row],[عدد الذكور]],0)</f>
        <v>0</v>
      </c>
      <c r="BB51" s="121">
        <f>IF(AND(الجدول14[[#This Row],[البرنامج]]="PLW",الجدول14[[#This Row],[نوع الجلسة]]=$BZ$6),الجدول14[[#This Row],[عدد الأناث]],0)</f>
        <v>0</v>
      </c>
      <c r="BC51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51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51" s="122">
        <f>IF(AND(الجدول14[[#This Row],[نوع الجلسة]]=$BZ$6,الجدول14[[#This Row],[البرنامج]]=$BX$2),1,0)</f>
        <v>0</v>
      </c>
      <c r="BF51" s="122">
        <f>IF(AND(الجدول14[[#This Row],[البرنامج]]="OOSCH",الجدول14[[#This Row],[نوع الجلسة]]=$BZ$6),الجدول14[[#This Row],[عدد الذكور]],0)</f>
        <v>0</v>
      </c>
      <c r="BG51" s="122">
        <f>IF(AND(الجدول14[[#This Row],[البرنامج]]="OOSCH",الجدول14[[#This Row],[نوع الجلسة]]=$BZ$6),الجدول14[[#This Row],[عدد الأناث]],0)</f>
        <v>0</v>
      </c>
      <c r="BH51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51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52" spans="4:61" ht="31.5" customHeight="1" x14ac:dyDescent="0.25">
      <c r="D52" s="9"/>
      <c r="E52" s="9"/>
      <c r="F52" s="9"/>
      <c r="G52" s="9"/>
      <c r="H52" s="9"/>
      <c r="I52" s="9"/>
      <c r="J52" s="9"/>
      <c r="K52" s="9">
        <f>SUM(الجدول14[[#This Row],[عدد الذكور]:[عدد الأناث]])</f>
        <v>0</v>
      </c>
      <c r="L52" s="120">
        <f>IF(AND(الجدول14[[#This Row],[البرنامج]]="PLW",الجدول14[[#This Row],[نوع الجلسة]]=$BZ$2),1,0)</f>
        <v>0</v>
      </c>
      <c r="M52" s="120">
        <f>IF(AND(الجدول14[[#This Row],[نوع الجلسة]]=$BZ$2,الجدول14[[#This Row],[البرنامج]]="PLW"),الجدول14[[#This Row],[عدد الذكور]],0)</f>
        <v>0</v>
      </c>
      <c r="N52" s="120">
        <f>IF(AND(الجدول14[[#This Row],[نوع الجلسة]]=$BZ$2,الجدول14[[#This Row],[البرنامج]]="PLW"),الجدول14[[#This Row],[عدد الأناث]],0)</f>
        <v>0</v>
      </c>
      <c r="O52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52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52" s="123">
        <f>IF(AND(الجدول14[[#This Row],[البرنامج]]="OOSCH",الجدول14[[#This Row],[نوع الجلسة]]=$BZ$2),1,0)</f>
        <v>0</v>
      </c>
      <c r="R52" s="123">
        <f>IF(AND(الجدول14[[#This Row],[البرنامج]]="OOSCH",الجدول14[[#This Row],[نوع الجلسة]]=$BZ$2),الجدول14[[#This Row],[عدد الذكور]],0)</f>
        <v>0</v>
      </c>
      <c r="S52" s="123">
        <f>IF(AND(الجدول14[[#This Row],[البرنامج]]="OOSCH",الجدول14[[#This Row],[نوع الجلسة]]=$BZ$2),الجدول14[[#This Row],[عدد الأناث]],0)</f>
        <v>0</v>
      </c>
      <c r="T52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52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52" s="124">
        <f>IF(AND(الجدول14[[#This Row],[البرنامج]]="PLW",الجدول14[[#This Row],[نوع الجلسة]]="معلومات صحة تغذوية للسيدة الحامل"),1,0)</f>
        <v>0</v>
      </c>
      <c r="W52" s="124">
        <f>IF(AND(الجدول14[[#This Row],[نوع الجلسة]]=$BZ$3,الجدول14[[#This Row],[البرنامج]]="PLW"),الجدول14[[#This Row],[عدد الذكور]],0)</f>
        <v>0</v>
      </c>
      <c r="X52" s="124">
        <f>IF(AND(الجدول14[[#This Row],[نوع الجلسة]]=$BZ$3,الجدول14[[#This Row],[البرنامج]]="PLW"),الجدول14[[#This Row],[عدد الأناث]],0)</f>
        <v>0</v>
      </c>
      <c r="Y52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52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52" s="113">
        <f>IF(AND(الجدول14[[#This Row],[البرنامج]]="PLW",الجدول14[[#This Row],[نوع الجلسة]]=$BZ$4),1,0)</f>
        <v>0</v>
      </c>
      <c r="AB52" s="113">
        <f>IF(AND(الجدول14[[#This Row],[البرنامج]]="PLW",الجدول14[[#This Row],[نوع الجلسة]]=$BZ$4),الجدول14[[#This Row],[عدد الذكور]],0)</f>
        <v>0</v>
      </c>
      <c r="AC52" s="113">
        <f>IF(AND(الجدول14[[#This Row],[البرنامج]]="PLW",الجدول14[[#This Row],[نوع الجلسة]]=$BZ$4),الجدول14[[#This Row],[عدد الأناث]],0)</f>
        <v>0</v>
      </c>
      <c r="AD52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52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52" s="125">
        <f>IF(AND(الجدول14[[#This Row],[البرنامج]]="OOSCH",الجدول14[[#This Row],[نوع الجلسة]]=$BZ$7),1,0)</f>
        <v>0</v>
      </c>
      <c r="AG52" s="125">
        <f>IF(AND(الجدول14[[#This Row],[البرنامج]]="OOSCH",الجدول14[[#This Row],[نوع الجلسة]]=$BZ$7),الجدول14[[#This Row],[عدد الذكور]],0)</f>
        <v>0</v>
      </c>
      <c r="AH52" s="125">
        <f>IF(AND(الجدول14[[#This Row],[البرنامج]]="OOSCH",الجدول14[[#This Row],[نوع الجلسة]]=$BZ$7),الجدول14[[#This Row],[عدد الأناث]],0)</f>
        <v>0</v>
      </c>
      <c r="AI52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52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52" s="126">
        <f>IF(AND(الجدول14[[#This Row],[البرنامج]]="OOSCH",الجدول14[[#This Row],[نوع الجلسة]]=$BZ$4),1,0)</f>
        <v>0</v>
      </c>
      <c r="AL52" s="126">
        <f>IF(AND(الجدول14[[#This Row],[البرنامج]]="OOSCH",الجدول14[[#This Row],[نوع الجلسة]]=$BZ$4),الجدول14[[#This Row],[عدد الذكور]],0)</f>
        <v>0</v>
      </c>
      <c r="AM52" s="126">
        <f>IF(AND(الجدول14[[#This Row],[البرنامج]]="OOSCH",الجدول14[[#This Row],[نوع الجلسة]]=$BZ$4),الجدول14[[#This Row],[عدد الأناث]],0)</f>
        <v>0</v>
      </c>
      <c r="AN52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52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52" s="123">
        <f>IF(AND(الجدول14[[#This Row],[نوع الجلسة]]=$BZ$5,الجدول14[[#This Row],[البرنامج]]=$BX$3),1,0)</f>
        <v>0</v>
      </c>
      <c r="AQ52" s="123">
        <f>IF(AND(الجدول14[[#This Row],[البرنامج]]="PLW",الجدول14[[#This Row],[نوع الجلسة]]=$BZ$5),الجدول14[[#This Row],[عدد الذكور]],0)</f>
        <v>0</v>
      </c>
      <c r="AR52" s="123">
        <f>IF(AND(الجدول14[[#This Row],[البرنامج]]="PLW",الجدول14[[#This Row],[نوع الجلسة]]=$BZ$5),الجدول14[[#This Row],[عدد الأناث]],0)</f>
        <v>0</v>
      </c>
      <c r="AS52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52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52" s="127">
        <f>IF(AND(الجدول14[[#This Row],[نوع الجلسة]]=$BZ$5,الجدول14[[#This Row],[البرنامج]]=$BX$2),1,0)</f>
        <v>0</v>
      </c>
      <c r="AV52" s="127">
        <f>IF(AND(الجدول14[[#This Row],[البرنامج]]="OOSCH",الجدول14[[#This Row],[نوع الجلسة]]=$BZ$5),الجدول14[[#This Row],[عدد الذكور]],0)</f>
        <v>0</v>
      </c>
      <c r="AW52" s="127">
        <f>IF(AND(الجدول14[[#This Row],[البرنامج]]="OOSCH",الجدول14[[#This Row],[نوع الجلسة]]=$BZ$5),الجدول14[[#This Row],[عدد الأناث]],0)</f>
        <v>0</v>
      </c>
      <c r="AX52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52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52" s="121">
        <f>IF(AND(الجدول14[[#This Row],[نوع الجلسة]]=$BZ$6,الجدول14[[#This Row],[البرنامج]]=$BX$3),1,0)</f>
        <v>0</v>
      </c>
      <c r="BA52" s="121">
        <f>IF(AND(الجدول14[[#This Row],[البرنامج]]="PLW",الجدول14[[#This Row],[نوع الجلسة]]=$BZ$6),الجدول14[[#This Row],[عدد الذكور]],0)</f>
        <v>0</v>
      </c>
      <c r="BB52" s="121">
        <f>IF(AND(الجدول14[[#This Row],[البرنامج]]="PLW",الجدول14[[#This Row],[نوع الجلسة]]=$BZ$6),الجدول14[[#This Row],[عدد الأناث]],0)</f>
        <v>0</v>
      </c>
      <c r="BC52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52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52" s="122">
        <f>IF(AND(الجدول14[[#This Row],[نوع الجلسة]]=$BZ$6,الجدول14[[#This Row],[البرنامج]]=$BX$2),1,0)</f>
        <v>0</v>
      </c>
      <c r="BF52" s="122">
        <f>IF(AND(الجدول14[[#This Row],[البرنامج]]="OOSCH",الجدول14[[#This Row],[نوع الجلسة]]=$BZ$6),الجدول14[[#This Row],[عدد الذكور]],0)</f>
        <v>0</v>
      </c>
      <c r="BG52" s="122">
        <f>IF(AND(الجدول14[[#This Row],[البرنامج]]="OOSCH",الجدول14[[#This Row],[نوع الجلسة]]=$BZ$6),الجدول14[[#This Row],[عدد الأناث]],0)</f>
        <v>0</v>
      </c>
      <c r="BH52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52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53" spans="4:61" ht="31.5" customHeight="1" x14ac:dyDescent="0.25">
      <c r="D53" s="9"/>
      <c r="E53" s="9"/>
      <c r="F53" s="9"/>
      <c r="G53" s="9"/>
      <c r="H53" s="9"/>
      <c r="I53" s="9"/>
      <c r="J53" s="9"/>
      <c r="K53" s="9">
        <f>SUM(الجدول14[[#This Row],[عدد الذكور]:[عدد الأناث]])</f>
        <v>0</v>
      </c>
      <c r="L53" s="120">
        <f>IF(AND(الجدول14[[#This Row],[البرنامج]]="PLW",الجدول14[[#This Row],[نوع الجلسة]]=$BZ$2),1,0)</f>
        <v>0</v>
      </c>
      <c r="M53" s="120">
        <f>IF(AND(الجدول14[[#This Row],[نوع الجلسة]]=$BZ$2,الجدول14[[#This Row],[البرنامج]]="PLW"),الجدول14[[#This Row],[عدد الذكور]],0)</f>
        <v>0</v>
      </c>
      <c r="N53" s="120">
        <f>IF(AND(الجدول14[[#This Row],[نوع الجلسة]]=$BZ$2,الجدول14[[#This Row],[البرنامج]]="PLW"),الجدول14[[#This Row],[عدد الأناث]],0)</f>
        <v>0</v>
      </c>
      <c r="O53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53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53" s="123">
        <f>IF(AND(الجدول14[[#This Row],[البرنامج]]="OOSCH",الجدول14[[#This Row],[نوع الجلسة]]=$BZ$2),1,0)</f>
        <v>0</v>
      </c>
      <c r="R53" s="123">
        <f>IF(AND(الجدول14[[#This Row],[البرنامج]]="OOSCH",الجدول14[[#This Row],[نوع الجلسة]]=$BZ$2),الجدول14[[#This Row],[عدد الذكور]],0)</f>
        <v>0</v>
      </c>
      <c r="S53" s="123">
        <f>IF(AND(الجدول14[[#This Row],[البرنامج]]="OOSCH",الجدول14[[#This Row],[نوع الجلسة]]=$BZ$2),الجدول14[[#This Row],[عدد الأناث]],0)</f>
        <v>0</v>
      </c>
      <c r="T53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53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53" s="124">
        <f>IF(AND(الجدول14[[#This Row],[البرنامج]]="PLW",الجدول14[[#This Row],[نوع الجلسة]]="معلومات صحة تغذوية للسيدة الحامل"),1,0)</f>
        <v>0</v>
      </c>
      <c r="W53" s="124">
        <f>IF(AND(الجدول14[[#This Row],[نوع الجلسة]]=$BZ$3,الجدول14[[#This Row],[البرنامج]]="PLW"),الجدول14[[#This Row],[عدد الذكور]],0)</f>
        <v>0</v>
      </c>
      <c r="X53" s="124">
        <f>IF(AND(الجدول14[[#This Row],[نوع الجلسة]]=$BZ$3,الجدول14[[#This Row],[البرنامج]]="PLW"),الجدول14[[#This Row],[عدد الأناث]],0)</f>
        <v>0</v>
      </c>
      <c r="Y53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53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53" s="113">
        <f>IF(AND(الجدول14[[#This Row],[البرنامج]]="PLW",الجدول14[[#This Row],[نوع الجلسة]]=$BZ$4),1,0)</f>
        <v>0</v>
      </c>
      <c r="AB53" s="113">
        <f>IF(AND(الجدول14[[#This Row],[البرنامج]]="PLW",الجدول14[[#This Row],[نوع الجلسة]]=$BZ$4),الجدول14[[#This Row],[عدد الذكور]],0)</f>
        <v>0</v>
      </c>
      <c r="AC53" s="113">
        <f>IF(AND(الجدول14[[#This Row],[البرنامج]]="PLW",الجدول14[[#This Row],[نوع الجلسة]]=$BZ$4),الجدول14[[#This Row],[عدد الأناث]],0)</f>
        <v>0</v>
      </c>
      <c r="AD53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53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53" s="125">
        <f>IF(AND(الجدول14[[#This Row],[البرنامج]]="OOSCH",الجدول14[[#This Row],[نوع الجلسة]]=$BZ$7),1,0)</f>
        <v>0</v>
      </c>
      <c r="AG53" s="125">
        <f>IF(AND(الجدول14[[#This Row],[البرنامج]]="OOSCH",الجدول14[[#This Row],[نوع الجلسة]]=$BZ$7),الجدول14[[#This Row],[عدد الذكور]],0)</f>
        <v>0</v>
      </c>
      <c r="AH53" s="125">
        <f>IF(AND(الجدول14[[#This Row],[البرنامج]]="OOSCH",الجدول14[[#This Row],[نوع الجلسة]]=$BZ$7),الجدول14[[#This Row],[عدد الأناث]],0)</f>
        <v>0</v>
      </c>
      <c r="AI53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53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53" s="126">
        <f>IF(AND(الجدول14[[#This Row],[البرنامج]]="OOSCH",الجدول14[[#This Row],[نوع الجلسة]]=$BZ$4),1,0)</f>
        <v>0</v>
      </c>
      <c r="AL53" s="126">
        <f>IF(AND(الجدول14[[#This Row],[البرنامج]]="OOSCH",الجدول14[[#This Row],[نوع الجلسة]]=$BZ$4),الجدول14[[#This Row],[عدد الذكور]],0)</f>
        <v>0</v>
      </c>
      <c r="AM53" s="126">
        <f>IF(AND(الجدول14[[#This Row],[البرنامج]]="OOSCH",الجدول14[[#This Row],[نوع الجلسة]]=$BZ$4),الجدول14[[#This Row],[عدد الأناث]],0)</f>
        <v>0</v>
      </c>
      <c r="AN53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53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53" s="123">
        <f>IF(AND(الجدول14[[#This Row],[نوع الجلسة]]=$BZ$5,الجدول14[[#This Row],[البرنامج]]=$BX$3),1,0)</f>
        <v>0</v>
      </c>
      <c r="AQ53" s="123">
        <f>IF(AND(الجدول14[[#This Row],[البرنامج]]="PLW",الجدول14[[#This Row],[نوع الجلسة]]=$BZ$5),الجدول14[[#This Row],[عدد الذكور]],0)</f>
        <v>0</v>
      </c>
      <c r="AR53" s="123">
        <f>IF(AND(الجدول14[[#This Row],[البرنامج]]="PLW",الجدول14[[#This Row],[نوع الجلسة]]=$BZ$5),الجدول14[[#This Row],[عدد الأناث]],0)</f>
        <v>0</v>
      </c>
      <c r="AS53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53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53" s="127">
        <f>IF(AND(الجدول14[[#This Row],[نوع الجلسة]]=$BZ$5,الجدول14[[#This Row],[البرنامج]]=$BX$2),1,0)</f>
        <v>0</v>
      </c>
      <c r="AV53" s="127">
        <f>IF(AND(الجدول14[[#This Row],[البرنامج]]="OOSCH",الجدول14[[#This Row],[نوع الجلسة]]=$BZ$5),الجدول14[[#This Row],[عدد الذكور]],0)</f>
        <v>0</v>
      </c>
      <c r="AW53" s="127">
        <f>IF(AND(الجدول14[[#This Row],[البرنامج]]="OOSCH",الجدول14[[#This Row],[نوع الجلسة]]=$BZ$5),الجدول14[[#This Row],[عدد الأناث]],0)</f>
        <v>0</v>
      </c>
      <c r="AX53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53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53" s="121">
        <f>IF(AND(الجدول14[[#This Row],[نوع الجلسة]]=$BZ$6,الجدول14[[#This Row],[البرنامج]]=$BX$3),1,0)</f>
        <v>0</v>
      </c>
      <c r="BA53" s="121">
        <f>IF(AND(الجدول14[[#This Row],[البرنامج]]="PLW",الجدول14[[#This Row],[نوع الجلسة]]=$BZ$6),الجدول14[[#This Row],[عدد الذكور]],0)</f>
        <v>0</v>
      </c>
      <c r="BB53" s="121">
        <f>IF(AND(الجدول14[[#This Row],[البرنامج]]="PLW",الجدول14[[#This Row],[نوع الجلسة]]=$BZ$6),الجدول14[[#This Row],[عدد الأناث]],0)</f>
        <v>0</v>
      </c>
      <c r="BC53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53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53" s="122">
        <f>IF(AND(الجدول14[[#This Row],[نوع الجلسة]]=$BZ$6,الجدول14[[#This Row],[البرنامج]]=$BX$2),1,0)</f>
        <v>0</v>
      </c>
      <c r="BF53" s="122">
        <f>IF(AND(الجدول14[[#This Row],[البرنامج]]="OOSCH",الجدول14[[#This Row],[نوع الجلسة]]=$BZ$6),الجدول14[[#This Row],[عدد الذكور]],0)</f>
        <v>0</v>
      </c>
      <c r="BG53" s="122">
        <f>IF(AND(الجدول14[[#This Row],[البرنامج]]="OOSCH",الجدول14[[#This Row],[نوع الجلسة]]=$BZ$6),الجدول14[[#This Row],[عدد الأناث]],0)</f>
        <v>0</v>
      </c>
      <c r="BH53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53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54" spans="4:61" ht="31.5" customHeight="1" x14ac:dyDescent="0.25">
      <c r="D54" s="9"/>
      <c r="E54" s="9"/>
      <c r="F54" s="9"/>
      <c r="G54" s="9"/>
      <c r="H54" s="9"/>
      <c r="I54" s="9"/>
      <c r="J54" s="9"/>
      <c r="K54" s="9">
        <f>SUM(الجدول14[[#This Row],[عدد الذكور]:[عدد الأناث]])</f>
        <v>0</v>
      </c>
      <c r="L54" s="120">
        <f>IF(AND(الجدول14[[#This Row],[البرنامج]]="PLW",الجدول14[[#This Row],[نوع الجلسة]]=$BZ$2),1,0)</f>
        <v>0</v>
      </c>
      <c r="M54" s="120">
        <f>IF(AND(الجدول14[[#This Row],[نوع الجلسة]]=$BZ$2,الجدول14[[#This Row],[البرنامج]]="PLW"),الجدول14[[#This Row],[عدد الذكور]],0)</f>
        <v>0</v>
      </c>
      <c r="N54" s="120">
        <f>IF(AND(الجدول14[[#This Row],[نوع الجلسة]]=$BZ$2,الجدول14[[#This Row],[البرنامج]]="PLW"),الجدول14[[#This Row],[عدد الأناث]],0)</f>
        <v>0</v>
      </c>
      <c r="O54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54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54" s="123">
        <f>IF(AND(الجدول14[[#This Row],[البرنامج]]="OOSCH",الجدول14[[#This Row],[نوع الجلسة]]=$BZ$2),1,0)</f>
        <v>0</v>
      </c>
      <c r="R54" s="123">
        <f>IF(AND(الجدول14[[#This Row],[البرنامج]]="OOSCH",الجدول14[[#This Row],[نوع الجلسة]]=$BZ$2),الجدول14[[#This Row],[عدد الذكور]],0)</f>
        <v>0</v>
      </c>
      <c r="S54" s="123">
        <f>IF(AND(الجدول14[[#This Row],[البرنامج]]="OOSCH",الجدول14[[#This Row],[نوع الجلسة]]=$BZ$2),الجدول14[[#This Row],[عدد الأناث]],0)</f>
        <v>0</v>
      </c>
      <c r="T54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54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54" s="124">
        <f>IF(AND(الجدول14[[#This Row],[البرنامج]]="PLW",الجدول14[[#This Row],[نوع الجلسة]]="معلومات صحة تغذوية للسيدة الحامل"),1,0)</f>
        <v>0</v>
      </c>
      <c r="W54" s="124">
        <f>IF(AND(الجدول14[[#This Row],[نوع الجلسة]]=$BZ$3,الجدول14[[#This Row],[البرنامج]]="PLW"),الجدول14[[#This Row],[عدد الذكور]],0)</f>
        <v>0</v>
      </c>
      <c r="X54" s="124">
        <f>IF(AND(الجدول14[[#This Row],[نوع الجلسة]]=$BZ$3,الجدول14[[#This Row],[البرنامج]]="PLW"),الجدول14[[#This Row],[عدد الأناث]],0)</f>
        <v>0</v>
      </c>
      <c r="Y54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54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54" s="113">
        <f>IF(AND(الجدول14[[#This Row],[البرنامج]]="PLW",الجدول14[[#This Row],[نوع الجلسة]]=$BZ$4),1,0)</f>
        <v>0</v>
      </c>
      <c r="AB54" s="113">
        <f>IF(AND(الجدول14[[#This Row],[البرنامج]]="PLW",الجدول14[[#This Row],[نوع الجلسة]]=$BZ$4),الجدول14[[#This Row],[عدد الذكور]],0)</f>
        <v>0</v>
      </c>
      <c r="AC54" s="113">
        <f>IF(AND(الجدول14[[#This Row],[البرنامج]]="PLW",الجدول14[[#This Row],[نوع الجلسة]]=$BZ$4),الجدول14[[#This Row],[عدد الأناث]],0)</f>
        <v>0</v>
      </c>
      <c r="AD54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54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54" s="125">
        <f>IF(AND(الجدول14[[#This Row],[البرنامج]]="OOSCH",الجدول14[[#This Row],[نوع الجلسة]]=$BZ$7),1,0)</f>
        <v>0</v>
      </c>
      <c r="AG54" s="125">
        <f>IF(AND(الجدول14[[#This Row],[البرنامج]]="OOSCH",الجدول14[[#This Row],[نوع الجلسة]]=$BZ$7),الجدول14[[#This Row],[عدد الذكور]],0)</f>
        <v>0</v>
      </c>
      <c r="AH54" s="125">
        <f>IF(AND(الجدول14[[#This Row],[البرنامج]]="OOSCH",الجدول14[[#This Row],[نوع الجلسة]]=$BZ$7),الجدول14[[#This Row],[عدد الأناث]],0)</f>
        <v>0</v>
      </c>
      <c r="AI54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54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54" s="126">
        <f>IF(AND(الجدول14[[#This Row],[البرنامج]]="OOSCH",الجدول14[[#This Row],[نوع الجلسة]]=$BZ$4),1,0)</f>
        <v>0</v>
      </c>
      <c r="AL54" s="126">
        <f>IF(AND(الجدول14[[#This Row],[البرنامج]]="OOSCH",الجدول14[[#This Row],[نوع الجلسة]]=$BZ$4),الجدول14[[#This Row],[عدد الذكور]],0)</f>
        <v>0</v>
      </c>
      <c r="AM54" s="126">
        <f>IF(AND(الجدول14[[#This Row],[البرنامج]]="OOSCH",الجدول14[[#This Row],[نوع الجلسة]]=$BZ$4),الجدول14[[#This Row],[عدد الأناث]],0)</f>
        <v>0</v>
      </c>
      <c r="AN54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54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54" s="123">
        <f>IF(AND(الجدول14[[#This Row],[نوع الجلسة]]=$BZ$5,الجدول14[[#This Row],[البرنامج]]=$BX$3),1,0)</f>
        <v>0</v>
      </c>
      <c r="AQ54" s="123">
        <f>IF(AND(الجدول14[[#This Row],[البرنامج]]="PLW",الجدول14[[#This Row],[نوع الجلسة]]=$BZ$5),الجدول14[[#This Row],[عدد الذكور]],0)</f>
        <v>0</v>
      </c>
      <c r="AR54" s="123">
        <f>IF(AND(الجدول14[[#This Row],[البرنامج]]="PLW",الجدول14[[#This Row],[نوع الجلسة]]=$BZ$5),الجدول14[[#This Row],[عدد الأناث]],0)</f>
        <v>0</v>
      </c>
      <c r="AS54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54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54" s="127">
        <f>IF(AND(الجدول14[[#This Row],[نوع الجلسة]]=$BZ$5,الجدول14[[#This Row],[البرنامج]]=$BX$2),1,0)</f>
        <v>0</v>
      </c>
      <c r="AV54" s="127">
        <f>IF(AND(الجدول14[[#This Row],[البرنامج]]="OOSCH",الجدول14[[#This Row],[نوع الجلسة]]=$BZ$5),الجدول14[[#This Row],[عدد الذكور]],0)</f>
        <v>0</v>
      </c>
      <c r="AW54" s="127">
        <f>IF(AND(الجدول14[[#This Row],[البرنامج]]="OOSCH",الجدول14[[#This Row],[نوع الجلسة]]=$BZ$5),الجدول14[[#This Row],[عدد الأناث]],0)</f>
        <v>0</v>
      </c>
      <c r="AX54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54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54" s="121">
        <f>IF(AND(الجدول14[[#This Row],[نوع الجلسة]]=$BZ$6,الجدول14[[#This Row],[البرنامج]]=$BX$3),1,0)</f>
        <v>0</v>
      </c>
      <c r="BA54" s="121">
        <f>IF(AND(الجدول14[[#This Row],[البرنامج]]="PLW",الجدول14[[#This Row],[نوع الجلسة]]=$BZ$6),الجدول14[[#This Row],[عدد الذكور]],0)</f>
        <v>0</v>
      </c>
      <c r="BB54" s="121">
        <f>IF(AND(الجدول14[[#This Row],[البرنامج]]="PLW",الجدول14[[#This Row],[نوع الجلسة]]=$BZ$6),الجدول14[[#This Row],[عدد الأناث]],0)</f>
        <v>0</v>
      </c>
      <c r="BC54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54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54" s="122">
        <f>IF(AND(الجدول14[[#This Row],[نوع الجلسة]]=$BZ$6,الجدول14[[#This Row],[البرنامج]]=$BX$2),1,0)</f>
        <v>0</v>
      </c>
      <c r="BF54" s="122">
        <f>IF(AND(الجدول14[[#This Row],[البرنامج]]="OOSCH",الجدول14[[#This Row],[نوع الجلسة]]=$BZ$6),الجدول14[[#This Row],[عدد الذكور]],0)</f>
        <v>0</v>
      </c>
      <c r="BG54" s="122">
        <f>IF(AND(الجدول14[[#This Row],[البرنامج]]="OOSCH",الجدول14[[#This Row],[نوع الجلسة]]=$BZ$6),الجدول14[[#This Row],[عدد الأناث]],0)</f>
        <v>0</v>
      </c>
      <c r="BH54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54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55" spans="4:61" ht="31.5" customHeight="1" x14ac:dyDescent="0.25">
      <c r="D55" s="9"/>
      <c r="E55" s="9"/>
      <c r="F55" s="9"/>
      <c r="G55" s="9"/>
      <c r="H55" s="9"/>
      <c r="I55" s="9"/>
      <c r="J55" s="9"/>
      <c r="K55" s="9">
        <f>SUM(الجدول14[[#This Row],[عدد الذكور]:[عدد الأناث]])</f>
        <v>0</v>
      </c>
      <c r="L55" s="120">
        <f>IF(AND(الجدول14[[#This Row],[البرنامج]]="PLW",الجدول14[[#This Row],[نوع الجلسة]]=$BZ$2),1,0)</f>
        <v>0</v>
      </c>
      <c r="M55" s="120">
        <f>IF(AND(الجدول14[[#This Row],[نوع الجلسة]]=$BZ$2,الجدول14[[#This Row],[البرنامج]]="PLW"),الجدول14[[#This Row],[عدد الذكور]],0)</f>
        <v>0</v>
      </c>
      <c r="N55" s="120">
        <f>IF(AND(الجدول14[[#This Row],[نوع الجلسة]]=$BZ$2,الجدول14[[#This Row],[البرنامج]]="PLW"),الجدول14[[#This Row],[عدد الأناث]],0)</f>
        <v>0</v>
      </c>
      <c r="O55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55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55" s="123">
        <f>IF(AND(الجدول14[[#This Row],[البرنامج]]="OOSCH",الجدول14[[#This Row],[نوع الجلسة]]=$BZ$2),1,0)</f>
        <v>0</v>
      </c>
      <c r="R55" s="123">
        <f>IF(AND(الجدول14[[#This Row],[البرنامج]]="OOSCH",الجدول14[[#This Row],[نوع الجلسة]]=$BZ$2),الجدول14[[#This Row],[عدد الذكور]],0)</f>
        <v>0</v>
      </c>
      <c r="S55" s="123">
        <f>IF(AND(الجدول14[[#This Row],[البرنامج]]="OOSCH",الجدول14[[#This Row],[نوع الجلسة]]=$BZ$2),الجدول14[[#This Row],[عدد الأناث]],0)</f>
        <v>0</v>
      </c>
      <c r="T55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55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55" s="124">
        <f>IF(AND(الجدول14[[#This Row],[البرنامج]]="PLW",الجدول14[[#This Row],[نوع الجلسة]]="معلومات صحة تغذوية للسيدة الحامل"),1,0)</f>
        <v>0</v>
      </c>
      <c r="W55" s="124">
        <f>IF(AND(الجدول14[[#This Row],[نوع الجلسة]]=$BZ$3,الجدول14[[#This Row],[البرنامج]]="PLW"),الجدول14[[#This Row],[عدد الذكور]],0)</f>
        <v>0</v>
      </c>
      <c r="X55" s="124">
        <f>IF(AND(الجدول14[[#This Row],[نوع الجلسة]]=$BZ$3,الجدول14[[#This Row],[البرنامج]]="PLW"),الجدول14[[#This Row],[عدد الأناث]],0)</f>
        <v>0</v>
      </c>
      <c r="Y55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55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55" s="113">
        <f>IF(AND(الجدول14[[#This Row],[البرنامج]]="PLW",الجدول14[[#This Row],[نوع الجلسة]]=$BZ$4),1,0)</f>
        <v>0</v>
      </c>
      <c r="AB55" s="113">
        <f>IF(AND(الجدول14[[#This Row],[البرنامج]]="PLW",الجدول14[[#This Row],[نوع الجلسة]]=$BZ$4),الجدول14[[#This Row],[عدد الذكور]],0)</f>
        <v>0</v>
      </c>
      <c r="AC55" s="113">
        <f>IF(AND(الجدول14[[#This Row],[البرنامج]]="PLW",الجدول14[[#This Row],[نوع الجلسة]]=$BZ$4),الجدول14[[#This Row],[عدد الأناث]],0)</f>
        <v>0</v>
      </c>
      <c r="AD55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55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55" s="125">
        <f>IF(AND(الجدول14[[#This Row],[البرنامج]]="OOSCH",الجدول14[[#This Row],[نوع الجلسة]]=$BZ$7),1,0)</f>
        <v>0</v>
      </c>
      <c r="AG55" s="125">
        <f>IF(AND(الجدول14[[#This Row],[البرنامج]]="OOSCH",الجدول14[[#This Row],[نوع الجلسة]]=$BZ$7),الجدول14[[#This Row],[عدد الذكور]],0)</f>
        <v>0</v>
      </c>
      <c r="AH55" s="125">
        <f>IF(AND(الجدول14[[#This Row],[البرنامج]]="OOSCH",الجدول14[[#This Row],[نوع الجلسة]]=$BZ$7),الجدول14[[#This Row],[عدد الأناث]],0)</f>
        <v>0</v>
      </c>
      <c r="AI55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55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55" s="126">
        <f>IF(AND(الجدول14[[#This Row],[البرنامج]]="OOSCH",الجدول14[[#This Row],[نوع الجلسة]]=$BZ$4),1,0)</f>
        <v>0</v>
      </c>
      <c r="AL55" s="126">
        <f>IF(AND(الجدول14[[#This Row],[البرنامج]]="OOSCH",الجدول14[[#This Row],[نوع الجلسة]]=$BZ$4),الجدول14[[#This Row],[عدد الذكور]],0)</f>
        <v>0</v>
      </c>
      <c r="AM55" s="126">
        <f>IF(AND(الجدول14[[#This Row],[البرنامج]]="OOSCH",الجدول14[[#This Row],[نوع الجلسة]]=$BZ$4),الجدول14[[#This Row],[عدد الأناث]],0)</f>
        <v>0</v>
      </c>
      <c r="AN55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55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55" s="123">
        <f>IF(AND(الجدول14[[#This Row],[نوع الجلسة]]=$BZ$5,الجدول14[[#This Row],[البرنامج]]=$BX$3),1,0)</f>
        <v>0</v>
      </c>
      <c r="AQ55" s="123">
        <f>IF(AND(الجدول14[[#This Row],[البرنامج]]="PLW",الجدول14[[#This Row],[نوع الجلسة]]=$BZ$5),الجدول14[[#This Row],[عدد الذكور]],0)</f>
        <v>0</v>
      </c>
      <c r="AR55" s="123">
        <f>IF(AND(الجدول14[[#This Row],[البرنامج]]="PLW",الجدول14[[#This Row],[نوع الجلسة]]=$BZ$5),الجدول14[[#This Row],[عدد الأناث]],0)</f>
        <v>0</v>
      </c>
      <c r="AS55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55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55" s="127">
        <f>IF(AND(الجدول14[[#This Row],[نوع الجلسة]]=$BZ$5,الجدول14[[#This Row],[البرنامج]]=$BX$2),1,0)</f>
        <v>0</v>
      </c>
      <c r="AV55" s="127">
        <f>IF(AND(الجدول14[[#This Row],[البرنامج]]="OOSCH",الجدول14[[#This Row],[نوع الجلسة]]=$BZ$5),الجدول14[[#This Row],[عدد الذكور]],0)</f>
        <v>0</v>
      </c>
      <c r="AW55" s="127">
        <f>IF(AND(الجدول14[[#This Row],[البرنامج]]="OOSCH",الجدول14[[#This Row],[نوع الجلسة]]=$BZ$5),الجدول14[[#This Row],[عدد الأناث]],0)</f>
        <v>0</v>
      </c>
      <c r="AX55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55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55" s="121">
        <f>IF(AND(الجدول14[[#This Row],[نوع الجلسة]]=$BZ$6,الجدول14[[#This Row],[البرنامج]]=$BX$3),1,0)</f>
        <v>0</v>
      </c>
      <c r="BA55" s="121">
        <f>IF(AND(الجدول14[[#This Row],[البرنامج]]="PLW",الجدول14[[#This Row],[نوع الجلسة]]=$BZ$6),الجدول14[[#This Row],[عدد الذكور]],0)</f>
        <v>0</v>
      </c>
      <c r="BB55" s="121">
        <f>IF(AND(الجدول14[[#This Row],[البرنامج]]="PLW",الجدول14[[#This Row],[نوع الجلسة]]=$BZ$6),الجدول14[[#This Row],[عدد الأناث]],0)</f>
        <v>0</v>
      </c>
      <c r="BC55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55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55" s="122">
        <f>IF(AND(الجدول14[[#This Row],[نوع الجلسة]]=$BZ$6,الجدول14[[#This Row],[البرنامج]]=$BX$2),1,0)</f>
        <v>0</v>
      </c>
      <c r="BF55" s="122">
        <f>IF(AND(الجدول14[[#This Row],[البرنامج]]="OOSCH",الجدول14[[#This Row],[نوع الجلسة]]=$BZ$6),الجدول14[[#This Row],[عدد الذكور]],0)</f>
        <v>0</v>
      </c>
      <c r="BG55" s="122">
        <f>IF(AND(الجدول14[[#This Row],[البرنامج]]="OOSCH",الجدول14[[#This Row],[نوع الجلسة]]=$BZ$6),الجدول14[[#This Row],[عدد الأناث]],0)</f>
        <v>0</v>
      </c>
      <c r="BH55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55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56" spans="4:61" ht="31.5" customHeight="1" x14ac:dyDescent="0.25">
      <c r="D56" s="9"/>
      <c r="E56" s="9"/>
      <c r="F56" s="9"/>
      <c r="G56" s="9"/>
      <c r="H56" s="9"/>
      <c r="I56" s="9"/>
      <c r="J56" s="9"/>
      <c r="K56" s="9">
        <f>SUM(الجدول14[[#This Row],[عدد الذكور]:[عدد الأناث]])</f>
        <v>0</v>
      </c>
      <c r="L56" s="120">
        <f>IF(AND(الجدول14[[#This Row],[البرنامج]]="PLW",الجدول14[[#This Row],[نوع الجلسة]]=$BZ$2),1,0)</f>
        <v>0</v>
      </c>
      <c r="M56" s="120">
        <f>IF(AND(الجدول14[[#This Row],[نوع الجلسة]]=$BZ$2,الجدول14[[#This Row],[البرنامج]]="PLW"),الجدول14[[#This Row],[عدد الذكور]],0)</f>
        <v>0</v>
      </c>
      <c r="N56" s="120">
        <f>IF(AND(الجدول14[[#This Row],[نوع الجلسة]]=$BZ$2,الجدول14[[#This Row],[البرنامج]]="PLW"),الجدول14[[#This Row],[عدد الأناث]],0)</f>
        <v>0</v>
      </c>
      <c r="O56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56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56" s="123">
        <f>IF(AND(الجدول14[[#This Row],[البرنامج]]="OOSCH",الجدول14[[#This Row],[نوع الجلسة]]=$BZ$2),1,0)</f>
        <v>0</v>
      </c>
      <c r="R56" s="123">
        <f>IF(AND(الجدول14[[#This Row],[البرنامج]]="OOSCH",الجدول14[[#This Row],[نوع الجلسة]]=$BZ$2),الجدول14[[#This Row],[عدد الذكور]],0)</f>
        <v>0</v>
      </c>
      <c r="S56" s="123">
        <f>IF(AND(الجدول14[[#This Row],[البرنامج]]="OOSCH",الجدول14[[#This Row],[نوع الجلسة]]=$BZ$2),الجدول14[[#This Row],[عدد الأناث]],0)</f>
        <v>0</v>
      </c>
      <c r="T56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56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56" s="124">
        <f>IF(AND(الجدول14[[#This Row],[البرنامج]]="PLW",الجدول14[[#This Row],[نوع الجلسة]]="معلومات صحة تغذوية للسيدة الحامل"),1,0)</f>
        <v>0</v>
      </c>
      <c r="W56" s="124">
        <f>IF(AND(الجدول14[[#This Row],[نوع الجلسة]]=$BZ$3,الجدول14[[#This Row],[البرنامج]]="PLW"),الجدول14[[#This Row],[عدد الذكور]],0)</f>
        <v>0</v>
      </c>
      <c r="X56" s="124">
        <f>IF(AND(الجدول14[[#This Row],[نوع الجلسة]]=$BZ$3,الجدول14[[#This Row],[البرنامج]]="PLW"),الجدول14[[#This Row],[عدد الأناث]],0)</f>
        <v>0</v>
      </c>
      <c r="Y56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56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56" s="113">
        <f>IF(AND(الجدول14[[#This Row],[البرنامج]]="PLW",الجدول14[[#This Row],[نوع الجلسة]]=$BZ$4),1,0)</f>
        <v>0</v>
      </c>
      <c r="AB56" s="113">
        <f>IF(AND(الجدول14[[#This Row],[البرنامج]]="PLW",الجدول14[[#This Row],[نوع الجلسة]]=$BZ$4),الجدول14[[#This Row],[عدد الذكور]],0)</f>
        <v>0</v>
      </c>
      <c r="AC56" s="113">
        <f>IF(AND(الجدول14[[#This Row],[البرنامج]]="PLW",الجدول14[[#This Row],[نوع الجلسة]]=$BZ$4),الجدول14[[#This Row],[عدد الأناث]],0)</f>
        <v>0</v>
      </c>
      <c r="AD56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56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56" s="125">
        <f>IF(AND(الجدول14[[#This Row],[البرنامج]]="OOSCH",الجدول14[[#This Row],[نوع الجلسة]]=$BZ$7),1,0)</f>
        <v>0</v>
      </c>
      <c r="AG56" s="125">
        <f>IF(AND(الجدول14[[#This Row],[البرنامج]]="OOSCH",الجدول14[[#This Row],[نوع الجلسة]]=$BZ$7),الجدول14[[#This Row],[عدد الذكور]],0)</f>
        <v>0</v>
      </c>
      <c r="AH56" s="125">
        <f>IF(AND(الجدول14[[#This Row],[البرنامج]]="OOSCH",الجدول14[[#This Row],[نوع الجلسة]]=$BZ$7),الجدول14[[#This Row],[عدد الأناث]],0)</f>
        <v>0</v>
      </c>
      <c r="AI56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56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56" s="126">
        <f>IF(AND(الجدول14[[#This Row],[البرنامج]]="OOSCH",الجدول14[[#This Row],[نوع الجلسة]]=$BZ$4),1,0)</f>
        <v>0</v>
      </c>
      <c r="AL56" s="126">
        <f>IF(AND(الجدول14[[#This Row],[البرنامج]]="OOSCH",الجدول14[[#This Row],[نوع الجلسة]]=$BZ$4),الجدول14[[#This Row],[عدد الذكور]],0)</f>
        <v>0</v>
      </c>
      <c r="AM56" s="126">
        <f>IF(AND(الجدول14[[#This Row],[البرنامج]]="OOSCH",الجدول14[[#This Row],[نوع الجلسة]]=$BZ$4),الجدول14[[#This Row],[عدد الأناث]],0)</f>
        <v>0</v>
      </c>
      <c r="AN56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56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56" s="123">
        <f>IF(AND(الجدول14[[#This Row],[نوع الجلسة]]=$BZ$5,الجدول14[[#This Row],[البرنامج]]=$BX$3),1,0)</f>
        <v>0</v>
      </c>
      <c r="AQ56" s="123">
        <f>IF(AND(الجدول14[[#This Row],[البرنامج]]="PLW",الجدول14[[#This Row],[نوع الجلسة]]=$BZ$5),الجدول14[[#This Row],[عدد الذكور]],0)</f>
        <v>0</v>
      </c>
      <c r="AR56" s="123">
        <f>IF(AND(الجدول14[[#This Row],[البرنامج]]="PLW",الجدول14[[#This Row],[نوع الجلسة]]=$BZ$5),الجدول14[[#This Row],[عدد الأناث]],0)</f>
        <v>0</v>
      </c>
      <c r="AS56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56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56" s="127">
        <f>IF(AND(الجدول14[[#This Row],[نوع الجلسة]]=$BZ$5,الجدول14[[#This Row],[البرنامج]]=$BX$2),1,0)</f>
        <v>0</v>
      </c>
      <c r="AV56" s="127">
        <f>IF(AND(الجدول14[[#This Row],[البرنامج]]="OOSCH",الجدول14[[#This Row],[نوع الجلسة]]=$BZ$5),الجدول14[[#This Row],[عدد الذكور]],0)</f>
        <v>0</v>
      </c>
      <c r="AW56" s="127">
        <f>IF(AND(الجدول14[[#This Row],[البرنامج]]="OOSCH",الجدول14[[#This Row],[نوع الجلسة]]=$BZ$5),الجدول14[[#This Row],[عدد الأناث]],0)</f>
        <v>0</v>
      </c>
      <c r="AX56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56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56" s="121">
        <f>IF(AND(الجدول14[[#This Row],[نوع الجلسة]]=$BZ$6,الجدول14[[#This Row],[البرنامج]]=$BX$3),1,0)</f>
        <v>0</v>
      </c>
      <c r="BA56" s="121">
        <f>IF(AND(الجدول14[[#This Row],[البرنامج]]="PLW",الجدول14[[#This Row],[نوع الجلسة]]=$BZ$6),الجدول14[[#This Row],[عدد الذكور]],0)</f>
        <v>0</v>
      </c>
      <c r="BB56" s="121">
        <f>IF(AND(الجدول14[[#This Row],[البرنامج]]="PLW",الجدول14[[#This Row],[نوع الجلسة]]=$BZ$6),الجدول14[[#This Row],[عدد الأناث]],0)</f>
        <v>0</v>
      </c>
      <c r="BC56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56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56" s="122">
        <f>IF(AND(الجدول14[[#This Row],[نوع الجلسة]]=$BZ$6,الجدول14[[#This Row],[البرنامج]]=$BX$2),1,0)</f>
        <v>0</v>
      </c>
      <c r="BF56" s="122">
        <f>IF(AND(الجدول14[[#This Row],[البرنامج]]="OOSCH",الجدول14[[#This Row],[نوع الجلسة]]=$BZ$6),الجدول14[[#This Row],[عدد الذكور]],0)</f>
        <v>0</v>
      </c>
      <c r="BG56" s="122">
        <f>IF(AND(الجدول14[[#This Row],[البرنامج]]="OOSCH",الجدول14[[#This Row],[نوع الجلسة]]=$BZ$6),الجدول14[[#This Row],[عدد الأناث]],0)</f>
        <v>0</v>
      </c>
      <c r="BH56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56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57" spans="4:61" ht="31.5" customHeight="1" x14ac:dyDescent="0.25">
      <c r="D57" s="9"/>
      <c r="E57" s="9"/>
      <c r="F57" s="9"/>
      <c r="G57" s="9"/>
      <c r="H57" s="9"/>
      <c r="I57" s="9"/>
      <c r="J57" s="9"/>
      <c r="K57" s="9">
        <f>SUM(الجدول14[[#This Row],[عدد الذكور]:[عدد الأناث]])</f>
        <v>0</v>
      </c>
      <c r="L57" s="120">
        <f>IF(AND(الجدول14[[#This Row],[البرنامج]]="PLW",الجدول14[[#This Row],[نوع الجلسة]]=$BZ$2),1,0)</f>
        <v>0</v>
      </c>
      <c r="M57" s="120">
        <f>IF(AND(الجدول14[[#This Row],[نوع الجلسة]]=$BZ$2,الجدول14[[#This Row],[البرنامج]]="PLW"),الجدول14[[#This Row],[عدد الذكور]],0)</f>
        <v>0</v>
      </c>
      <c r="N57" s="120">
        <f>IF(AND(الجدول14[[#This Row],[نوع الجلسة]]=$BZ$2,الجدول14[[#This Row],[البرنامج]]="PLW"),الجدول14[[#This Row],[عدد الأناث]],0)</f>
        <v>0</v>
      </c>
      <c r="O57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57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57" s="123">
        <f>IF(AND(الجدول14[[#This Row],[البرنامج]]="OOSCH",الجدول14[[#This Row],[نوع الجلسة]]=$BZ$2),1,0)</f>
        <v>0</v>
      </c>
      <c r="R57" s="123">
        <f>IF(AND(الجدول14[[#This Row],[البرنامج]]="OOSCH",الجدول14[[#This Row],[نوع الجلسة]]=$BZ$2),الجدول14[[#This Row],[عدد الذكور]],0)</f>
        <v>0</v>
      </c>
      <c r="S57" s="123">
        <f>IF(AND(الجدول14[[#This Row],[البرنامج]]="OOSCH",الجدول14[[#This Row],[نوع الجلسة]]=$BZ$2),الجدول14[[#This Row],[عدد الأناث]],0)</f>
        <v>0</v>
      </c>
      <c r="T57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57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57" s="124">
        <f>IF(AND(الجدول14[[#This Row],[البرنامج]]="PLW",الجدول14[[#This Row],[نوع الجلسة]]="معلومات صحة تغذوية للسيدة الحامل"),1,0)</f>
        <v>0</v>
      </c>
      <c r="W57" s="124">
        <f>IF(AND(الجدول14[[#This Row],[نوع الجلسة]]=$BZ$3,الجدول14[[#This Row],[البرنامج]]="PLW"),الجدول14[[#This Row],[عدد الذكور]],0)</f>
        <v>0</v>
      </c>
      <c r="X57" s="124">
        <f>IF(AND(الجدول14[[#This Row],[نوع الجلسة]]=$BZ$3,الجدول14[[#This Row],[البرنامج]]="PLW"),الجدول14[[#This Row],[عدد الأناث]],0)</f>
        <v>0</v>
      </c>
      <c r="Y57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57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57" s="113">
        <f>IF(AND(الجدول14[[#This Row],[البرنامج]]="PLW",الجدول14[[#This Row],[نوع الجلسة]]=$BZ$4),1,0)</f>
        <v>0</v>
      </c>
      <c r="AB57" s="113">
        <f>IF(AND(الجدول14[[#This Row],[البرنامج]]="PLW",الجدول14[[#This Row],[نوع الجلسة]]=$BZ$4),الجدول14[[#This Row],[عدد الذكور]],0)</f>
        <v>0</v>
      </c>
      <c r="AC57" s="113">
        <f>IF(AND(الجدول14[[#This Row],[البرنامج]]="PLW",الجدول14[[#This Row],[نوع الجلسة]]=$BZ$4),الجدول14[[#This Row],[عدد الأناث]],0)</f>
        <v>0</v>
      </c>
      <c r="AD57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57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57" s="125">
        <f>IF(AND(الجدول14[[#This Row],[البرنامج]]="OOSCH",الجدول14[[#This Row],[نوع الجلسة]]=$BZ$7),1,0)</f>
        <v>0</v>
      </c>
      <c r="AG57" s="125">
        <f>IF(AND(الجدول14[[#This Row],[البرنامج]]="OOSCH",الجدول14[[#This Row],[نوع الجلسة]]=$BZ$7),الجدول14[[#This Row],[عدد الذكور]],0)</f>
        <v>0</v>
      </c>
      <c r="AH57" s="125">
        <f>IF(AND(الجدول14[[#This Row],[البرنامج]]="OOSCH",الجدول14[[#This Row],[نوع الجلسة]]=$BZ$7),الجدول14[[#This Row],[عدد الأناث]],0)</f>
        <v>0</v>
      </c>
      <c r="AI57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57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57" s="126">
        <f>IF(AND(الجدول14[[#This Row],[البرنامج]]="OOSCH",الجدول14[[#This Row],[نوع الجلسة]]=$BZ$4),1,0)</f>
        <v>0</v>
      </c>
      <c r="AL57" s="126">
        <f>IF(AND(الجدول14[[#This Row],[البرنامج]]="OOSCH",الجدول14[[#This Row],[نوع الجلسة]]=$BZ$4),الجدول14[[#This Row],[عدد الذكور]],0)</f>
        <v>0</v>
      </c>
      <c r="AM57" s="126">
        <f>IF(AND(الجدول14[[#This Row],[البرنامج]]="OOSCH",الجدول14[[#This Row],[نوع الجلسة]]=$BZ$4),الجدول14[[#This Row],[عدد الأناث]],0)</f>
        <v>0</v>
      </c>
      <c r="AN57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57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57" s="123">
        <f>IF(AND(الجدول14[[#This Row],[نوع الجلسة]]=$BZ$5,الجدول14[[#This Row],[البرنامج]]=$BX$3),1,0)</f>
        <v>0</v>
      </c>
      <c r="AQ57" s="123">
        <f>IF(AND(الجدول14[[#This Row],[البرنامج]]="PLW",الجدول14[[#This Row],[نوع الجلسة]]=$BZ$5),الجدول14[[#This Row],[عدد الذكور]],0)</f>
        <v>0</v>
      </c>
      <c r="AR57" s="123">
        <f>IF(AND(الجدول14[[#This Row],[البرنامج]]="PLW",الجدول14[[#This Row],[نوع الجلسة]]=$BZ$5),الجدول14[[#This Row],[عدد الأناث]],0)</f>
        <v>0</v>
      </c>
      <c r="AS57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57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57" s="127">
        <f>IF(AND(الجدول14[[#This Row],[نوع الجلسة]]=$BZ$5,الجدول14[[#This Row],[البرنامج]]=$BX$2),1,0)</f>
        <v>0</v>
      </c>
      <c r="AV57" s="127">
        <f>IF(AND(الجدول14[[#This Row],[البرنامج]]="OOSCH",الجدول14[[#This Row],[نوع الجلسة]]=$BZ$5),الجدول14[[#This Row],[عدد الذكور]],0)</f>
        <v>0</v>
      </c>
      <c r="AW57" s="127">
        <f>IF(AND(الجدول14[[#This Row],[البرنامج]]="OOSCH",الجدول14[[#This Row],[نوع الجلسة]]=$BZ$5),الجدول14[[#This Row],[عدد الأناث]],0)</f>
        <v>0</v>
      </c>
      <c r="AX57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57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57" s="121">
        <f>IF(AND(الجدول14[[#This Row],[نوع الجلسة]]=$BZ$6,الجدول14[[#This Row],[البرنامج]]=$BX$3),1,0)</f>
        <v>0</v>
      </c>
      <c r="BA57" s="121">
        <f>IF(AND(الجدول14[[#This Row],[البرنامج]]="PLW",الجدول14[[#This Row],[نوع الجلسة]]=$BZ$6),الجدول14[[#This Row],[عدد الذكور]],0)</f>
        <v>0</v>
      </c>
      <c r="BB57" s="121">
        <f>IF(AND(الجدول14[[#This Row],[البرنامج]]="PLW",الجدول14[[#This Row],[نوع الجلسة]]=$BZ$6),الجدول14[[#This Row],[عدد الأناث]],0)</f>
        <v>0</v>
      </c>
      <c r="BC57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57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57" s="122">
        <f>IF(AND(الجدول14[[#This Row],[نوع الجلسة]]=$BZ$6,الجدول14[[#This Row],[البرنامج]]=$BX$2),1,0)</f>
        <v>0</v>
      </c>
      <c r="BF57" s="122">
        <f>IF(AND(الجدول14[[#This Row],[البرنامج]]="OOSCH",الجدول14[[#This Row],[نوع الجلسة]]=$BZ$6),الجدول14[[#This Row],[عدد الذكور]],0)</f>
        <v>0</v>
      </c>
      <c r="BG57" s="122">
        <f>IF(AND(الجدول14[[#This Row],[البرنامج]]="OOSCH",الجدول14[[#This Row],[نوع الجلسة]]=$BZ$6),الجدول14[[#This Row],[عدد الأناث]],0)</f>
        <v>0</v>
      </c>
      <c r="BH57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57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58" spans="4:61" ht="31.5" customHeight="1" x14ac:dyDescent="0.25">
      <c r="D58" s="9"/>
      <c r="E58" s="9"/>
      <c r="F58" s="9"/>
      <c r="G58" s="9"/>
      <c r="H58" s="9"/>
      <c r="I58" s="9"/>
      <c r="J58" s="9"/>
      <c r="K58" s="9">
        <f>SUM(الجدول14[[#This Row],[عدد الذكور]:[عدد الأناث]])</f>
        <v>0</v>
      </c>
      <c r="L58" s="120">
        <f>IF(AND(الجدول14[[#This Row],[البرنامج]]="PLW",الجدول14[[#This Row],[نوع الجلسة]]=$BZ$2),1,0)</f>
        <v>0</v>
      </c>
      <c r="M58" s="120">
        <f>IF(AND(الجدول14[[#This Row],[نوع الجلسة]]=$BZ$2,الجدول14[[#This Row],[البرنامج]]="PLW"),الجدول14[[#This Row],[عدد الذكور]],0)</f>
        <v>0</v>
      </c>
      <c r="N58" s="120">
        <f>IF(AND(الجدول14[[#This Row],[نوع الجلسة]]=$BZ$2,الجدول14[[#This Row],[البرنامج]]="PLW"),الجدول14[[#This Row],[عدد الأناث]],0)</f>
        <v>0</v>
      </c>
      <c r="O58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58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58" s="123">
        <f>IF(AND(الجدول14[[#This Row],[البرنامج]]="OOSCH",الجدول14[[#This Row],[نوع الجلسة]]=$BZ$2),1,0)</f>
        <v>0</v>
      </c>
      <c r="R58" s="123">
        <f>IF(AND(الجدول14[[#This Row],[البرنامج]]="OOSCH",الجدول14[[#This Row],[نوع الجلسة]]=$BZ$2),الجدول14[[#This Row],[عدد الذكور]],0)</f>
        <v>0</v>
      </c>
      <c r="S58" s="123">
        <f>IF(AND(الجدول14[[#This Row],[البرنامج]]="OOSCH",الجدول14[[#This Row],[نوع الجلسة]]=$BZ$2),الجدول14[[#This Row],[عدد الأناث]],0)</f>
        <v>0</v>
      </c>
      <c r="T58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58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58" s="124">
        <f>IF(AND(الجدول14[[#This Row],[البرنامج]]="PLW",الجدول14[[#This Row],[نوع الجلسة]]="معلومات صحة تغذوية للسيدة الحامل"),1,0)</f>
        <v>0</v>
      </c>
      <c r="W58" s="124">
        <f>IF(AND(الجدول14[[#This Row],[نوع الجلسة]]=$BZ$3,الجدول14[[#This Row],[البرنامج]]="PLW"),الجدول14[[#This Row],[عدد الذكور]],0)</f>
        <v>0</v>
      </c>
      <c r="X58" s="124">
        <f>IF(AND(الجدول14[[#This Row],[نوع الجلسة]]=$BZ$3,الجدول14[[#This Row],[البرنامج]]="PLW"),الجدول14[[#This Row],[عدد الأناث]],0)</f>
        <v>0</v>
      </c>
      <c r="Y58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58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58" s="113">
        <f>IF(AND(الجدول14[[#This Row],[البرنامج]]="PLW",الجدول14[[#This Row],[نوع الجلسة]]=$BZ$4),1,0)</f>
        <v>0</v>
      </c>
      <c r="AB58" s="113">
        <f>IF(AND(الجدول14[[#This Row],[البرنامج]]="PLW",الجدول14[[#This Row],[نوع الجلسة]]=$BZ$4),الجدول14[[#This Row],[عدد الذكور]],0)</f>
        <v>0</v>
      </c>
      <c r="AC58" s="113">
        <f>IF(AND(الجدول14[[#This Row],[البرنامج]]="PLW",الجدول14[[#This Row],[نوع الجلسة]]=$BZ$4),الجدول14[[#This Row],[عدد الأناث]],0)</f>
        <v>0</v>
      </c>
      <c r="AD58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58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58" s="125">
        <f>IF(AND(الجدول14[[#This Row],[البرنامج]]="OOSCH",الجدول14[[#This Row],[نوع الجلسة]]=$BZ$7),1,0)</f>
        <v>0</v>
      </c>
      <c r="AG58" s="125">
        <f>IF(AND(الجدول14[[#This Row],[البرنامج]]="OOSCH",الجدول14[[#This Row],[نوع الجلسة]]=$BZ$7),الجدول14[[#This Row],[عدد الذكور]],0)</f>
        <v>0</v>
      </c>
      <c r="AH58" s="125">
        <f>IF(AND(الجدول14[[#This Row],[البرنامج]]="OOSCH",الجدول14[[#This Row],[نوع الجلسة]]=$BZ$7),الجدول14[[#This Row],[عدد الأناث]],0)</f>
        <v>0</v>
      </c>
      <c r="AI58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58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58" s="126">
        <f>IF(AND(الجدول14[[#This Row],[البرنامج]]="OOSCH",الجدول14[[#This Row],[نوع الجلسة]]=$BZ$4),1,0)</f>
        <v>0</v>
      </c>
      <c r="AL58" s="126">
        <f>IF(AND(الجدول14[[#This Row],[البرنامج]]="OOSCH",الجدول14[[#This Row],[نوع الجلسة]]=$BZ$4),الجدول14[[#This Row],[عدد الذكور]],0)</f>
        <v>0</v>
      </c>
      <c r="AM58" s="126">
        <f>IF(AND(الجدول14[[#This Row],[البرنامج]]="OOSCH",الجدول14[[#This Row],[نوع الجلسة]]=$BZ$4),الجدول14[[#This Row],[عدد الأناث]],0)</f>
        <v>0</v>
      </c>
      <c r="AN58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58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58" s="123">
        <f>IF(AND(الجدول14[[#This Row],[نوع الجلسة]]=$BZ$5,الجدول14[[#This Row],[البرنامج]]=$BX$3),1,0)</f>
        <v>0</v>
      </c>
      <c r="AQ58" s="123">
        <f>IF(AND(الجدول14[[#This Row],[البرنامج]]="PLW",الجدول14[[#This Row],[نوع الجلسة]]=$BZ$5),الجدول14[[#This Row],[عدد الذكور]],0)</f>
        <v>0</v>
      </c>
      <c r="AR58" s="123">
        <f>IF(AND(الجدول14[[#This Row],[البرنامج]]="PLW",الجدول14[[#This Row],[نوع الجلسة]]=$BZ$5),الجدول14[[#This Row],[عدد الأناث]],0)</f>
        <v>0</v>
      </c>
      <c r="AS58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58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58" s="127">
        <f>IF(AND(الجدول14[[#This Row],[نوع الجلسة]]=$BZ$5,الجدول14[[#This Row],[البرنامج]]=$BX$2),1,0)</f>
        <v>0</v>
      </c>
      <c r="AV58" s="127">
        <f>IF(AND(الجدول14[[#This Row],[البرنامج]]="OOSCH",الجدول14[[#This Row],[نوع الجلسة]]=$BZ$5),الجدول14[[#This Row],[عدد الذكور]],0)</f>
        <v>0</v>
      </c>
      <c r="AW58" s="127">
        <f>IF(AND(الجدول14[[#This Row],[البرنامج]]="OOSCH",الجدول14[[#This Row],[نوع الجلسة]]=$BZ$5),الجدول14[[#This Row],[عدد الأناث]],0)</f>
        <v>0</v>
      </c>
      <c r="AX58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58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58" s="121">
        <f>IF(AND(الجدول14[[#This Row],[نوع الجلسة]]=$BZ$6,الجدول14[[#This Row],[البرنامج]]=$BX$3),1,0)</f>
        <v>0</v>
      </c>
      <c r="BA58" s="121">
        <f>IF(AND(الجدول14[[#This Row],[البرنامج]]="PLW",الجدول14[[#This Row],[نوع الجلسة]]=$BZ$6),الجدول14[[#This Row],[عدد الذكور]],0)</f>
        <v>0</v>
      </c>
      <c r="BB58" s="121">
        <f>IF(AND(الجدول14[[#This Row],[البرنامج]]="PLW",الجدول14[[#This Row],[نوع الجلسة]]=$BZ$6),الجدول14[[#This Row],[عدد الأناث]],0)</f>
        <v>0</v>
      </c>
      <c r="BC58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58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58" s="122">
        <f>IF(AND(الجدول14[[#This Row],[نوع الجلسة]]=$BZ$6,الجدول14[[#This Row],[البرنامج]]=$BX$2),1,0)</f>
        <v>0</v>
      </c>
      <c r="BF58" s="122">
        <f>IF(AND(الجدول14[[#This Row],[البرنامج]]="OOSCH",الجدول14[[#This Row],[نوع الجلسة]]=$BZ$6),الجدول14[[#This Row],[عدد الذكور]],0)</f>
        <v>0</v>
      </c>
      <c r="BG58" s="122">
        <f>IF(AND(الجدول14[[#This Row],[البرنامج]]="OOSCH",الجدول14[[#This Row],[نوع الجلسة]]=$BZ$6),الجدول14[[#This Row],[عدد الأناث]],0)</f>
        <v>0</v>
      </c>
      <c r="BH58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58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59" spans="4:61" ht="31.5" customHeight="1" x14ac:dyDescent="0.25">
      <c r="D59" s="9"/>
      <c r="E59" s="9"/>
      <c r="F59" s="9"/>
      <c r="G59" s="9"/>
      <c r="H59" s="9"/>
      <c r="I59" s="9"/>
      <c r="J59" s="9"/>
      <c r="K59" s="9">
        <f>SUM(الجدول14[[#This Row],[عدد الذكور]:[عدد الأناث]])</f>
        <v>0</v>
      </c>
      <c r="L59" s="120">
        <f>IF(AND(الجدول14[[#This Row],[البرنامج]]="PLW",الجدول14[[#This Row],[نوع الجلسة]]=$BZ$2),1,0)</f>
        <v>0</v>
      </c>
      <c r="M59" s="120">
        <f>IF(AND(الجدول14[[#This Row],[نوع الجلسة]]=$BZ$2,الجدول14[[#This Row],[البرنامج]]="PLW"),الجدول14[[#This Row],[عدد الذكور]],0)</f>
        <v>0</v>
      </c>
      <c r="N59" s="120">
        <f>IF(AND(الجدول14[[#This Row],[نوع الجلسة]]=$BZ$2,الجدول14[[#This Row],[البرنامج]]="PLW"),الجدول14[[#This Row],[عدد الأناث]],0)</f>
        <v>0</v>
      </c>
      <c r="O59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59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59" s="123">
        <f>IF(AND(الجدول14[[#This Row],[البرنامج]]="OOSCH",الجدول14[[#This Row],[نوع الجلسة]]=$BZ$2),1,0)</f>
        <v>0</v>
      </c>
      <c r="R59" s="123">
        <f>IF(AND(الجدول14[[#This Row],[البرنامج]]="OOSCH",الجدول14[[#This Row],[نوع الجلسة]]=$BZ$2),الجدول14[[#This Row],[عدد الذكور]],0)</f>
        <v>0</v>
      </c>
      <c r="S59" s="123">
        <f>IF(AND(الجدول14[[#This Row],[البرنامج]]="OOSCH",الجدول14[[#This Row],[نوع الجلسة]]=$BZ$2),الجدول14[[#This Row],[عدد الأناث]],0)</f>
        <v>0</v>
      </c>
      <c r="T59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59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59" s="124">
        <f>IF(AND(الجدول14[[#This Row],[البرنامج]]="PLW",الجدول14[[#This Row],[نوع الجلسة]]="معلومات صحة تغذوية للسيدة الحامل"),1,0)</f>
        <v>0</v>
      </c>
      <c r="W59" s="124">
        <f>IF(AND(الجدول14[[#This Row],[نوع الجلسة]]=$BZ$3,الجدول14[[#This Row],[البرنامج]]="PLW"),الجدول14[[#This Row],[عدد الذكور]],0)</f>
        <v>0</v>
      </c>
      <c r="X59" s="124">
        <f>IF(AND(الجدول14[[#This Row],[نوع الجلسة]]=$BZ$3,الجدول14[[#This Row],[البرنامج]]="PLW"),الجدول14[[#This Row],[عدد الأناث]],0)</f>
        <v>0</v>
      </c>
      <c r="Y59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59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59" s="113">
        <f>IF(AND(الجدول14[[#This Row],[البرنامج]]="PLW",الجدول14[[#This Row],[نوع الجلسة]]=$BZ$4),1,0)</f>
        <v>0</v>
      </c>
      <c r="AB59" s="113">
        <f>IF(AND(الجدول14[[#This Row],[البرنامج]]="PLW",الجدول14[[#This Row],[نوع الجلسة]]=$BZ$4),الجدول14[[#This Row],[عدد الذكور]],0)</f>
        <v>0</v>
      </c>
      <c r="AC59" s="113">
        <f>IF(AND(الجدول14[[#This Row],[البرنامج]]="PLW",الجدول14[[#This Row],[نوع الجلسة]]=$BZ$4),الجدول14[[#This Row],[عدد الأناث]],0)</f>
        <v>0</v>
      </c>
      <c r="AD59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59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59" s="125">
        <f>IF(AND(الجدول14[[#This Row],[البرنامج]]="OOSCH",الجدول14[[#This Row],[نوع الجلسة]]=$BZ$7),1,0)</f>
        <v>0</v>
      </c>
      <c r="AG59" s="125">
        <f>IF(AND(الجدول14[[#This Row],[البرنامج]]="OOSCH",الجدول14[[#This Row],[نوع الجلسة]]=$BZ$7),الجدول14[[#This Row],[عدد الذكور]],0)</f>
        <v>0</v>
      </c>
      <c r="AH59" s="125">
        <f>IF(AND(الجدول14[[#This Row],[البرنامج]]="OOSCH",الجدول14[[#This Row],[نوع الجلسة]]=$BZ$7),الجدول14[[#This Row],[عدد الأناث]],0)</f>
        <v>0</v>
      </c>
      <c r="AI59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59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59" s="126">
        <f>IF(AND(الجدول14[[#This Row],[البرنامج]]="OOSCH",الجدول14[[#This Row],[نوع الجلسة]]=$BZ$4),1,0)</f>
        <v>0</v>
      </c>
      <c r="AL59" s="126">
        <f>IF(AND(الجدول14[[#This Row],[البرنامج]]="OOSCH",الجدول14[[#This Row],[نوع الجلسة]]=$BZ$4),الجدول14[[#This Row],[عدد الذكور]],0)</f>
        <v>0</v>
      </c>
      <c r="AM59" s="126">
        <f>IF(AND(الجدول14[[#This Row],[البرنامج]]="OOSCH",الجدول14[[#This Row],[نوع الجلسة]]=$BZ$4),الجدول14[[#This Row],[عدد الأناث]],0)</f>
        <v>0</v>
      </c>
      <c r="AN59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59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59" s="123">
        <f>IF(AND(الجدول14[[#This Row],[نوع الجلسة]]=$BZ$5,الجدول14[[#This Row],[البرنامج]]=$BX$3),1,0)</f>
        <v>0</v>
      </c>
      <c r="AQ59" s="123">
        <f>IF(AND(الجدول14[[#This Row],[البرنامج]]="PLW",الجدول14[[#This Row],[نوع الجلسة]]=$BZ$5),الجدول14[[#This Row],[عدد الذكور]],0)</f>
        <v>0</v>
      </c>
      <c r="AR59" s="123">
        <f>IF(AND(الجدول14[[#This Row],[البرنامج]]="PLW",الجدول14[[#This Row],[نوع الجلسة]]=$BZ$5),الجدول14[[#This Row],[عدد الأناث]],0)</f>
        <v>0</v>
      </c>
      <c r="AS59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59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59" s="127">
        <f>IF(AND(الجدول14[[#This Row],[نوع الجلسة]]=$BZ$5,الجدول14[[#This Row],[البرنامج]]=$BX$2),1,0)</f>
        <v>0</v>
      </c>
      <c r="AV59" s="127">
        <f>IF(AND(الجدول14[[#This Row],[البرنامج]]="OOSCH",الجدول14[[#This Row],[نوع الجلسة]]=$BZ$5),الجدول14[[#This Row],[عدد الذكور]],0)</f>
        <v>0</v>
      </c>
      <c r="AW59" s="127">
        <f>IF(AND(الجدول14[[#This Row],[البرنامج]]="OOSCH",الجدول14[[#This Row],[نوع الجلسة]]=$BZ$5),الجدول14[[#This Row],[عدد الأناث]],0)</f>
        <v>0</v>
      </c>
      <c r="AX59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59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59" s="121">
        <f>IF(AND(الجدول14[[#This Row],[نوع الجلسة]]=$BZ$6,الجدول14[[#This Row],[البرنامج]]=$BX$3),1,0)</f>
        <v>0</v>
      </c>
      <c r="BA59" s="121">
        <f>IF(AND(الجدول14[[#This Row],[البرنامج]]="PLW",الجدول14[[#This Row],[نوع الجلسة]]=$BZ$6),الجدول14[[#This Row],[عدد الذكور]],0)</f>
        <v>0</v>
      </c>
      <c r="BB59" s="121">
        <f>IF(AND(الجدول14[[#This Row],[البرنامج]]="PLW",الجدول14[[#This Row],[نوع الجلسة]]=$BZ$6),الجدول14[[#This Row],[عدد الأناث]],0)</f>
        <v>0</v>
      </c>
      <c r="BC59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59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59" s="122">
        <f>IF(AND(الجدول14[[#This Row],[نوع الجلسة]]=$BZ$6,الجدول14[[#This Row],[البرنامج]]=$BX$2),1,0)</f>
        <v>0</v>
      </c>
      <c r="BF59" s="122">
        <f>IF(AND(الجدول14[[#This Row],[البرنامج]]="OOSCH",الجدول14[[#This Row],[نوع الجلسة]]=$BZ$6),الجدول14[[#This Row],[عدد الذكور]],0)</f>
        <v>0</v>
      </c>
      <c r="BG59" s="122">
        <f>IF(AND(الجدول14[[#This Row],[البرنامج]]="OOSCH",الجدول14[[#This Row],[نوع الجلسة]]=$BZ$6),الجدول14[[#This Row],[عدد الأناث]],0)</f>
        <v>0</v>
      </c>
      <c r="BH59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59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60" spans="4:61" ht="31.5" customHeight="1" x14ac:dyDescent="0.25">
      <c r="D60" s="9"/>
      <c r="E60" s="9"/>
      <c r="F60" s="9"/>
      <c r="G60" s="9"/>
      <c r="H60" s="9"/>
      <c r="I60" s="9"/>
      <c r="J60" s="9"/>
      <c r="K60" s="9">
        <f>SUM(الجدول14[[#This Row],[عدد الذكور]:[عدد الأناث]])</f>
        <v>0</v>
      </c>
      <c r="L60" s="120">
        <f>IF(AND(الجدول14[[#This Row],[البرنامج]]="PLW",الجدول14[[#This Row],[نوع الجلسة]]=$BZ$2),1,0)</f>
        <v>0</v>
      </c>
      <c r="M60" s="120">
        <f>IF(AND(الجدول14[[#This Row],[نوع الجلسة]]=$BZ$2,الجدول14[[#This Row],[البرنامج]]="PLW"),الجدول14[[#This Row],[عدد الذكور]],0)</f>
        <v>0</v>
      </c>
      <c r="N60" s="120">
        <f>IF(AND(الجدول14[[#This Row],[نوع الجلسة]]=$BZ$2,الجدول14[[#This Row],[البرنامج]]="PLW"),الجدول14[[#This Row],[عدد الأناث]],0)</f>
        <v>0</v>
      </c>
      <c r="O60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60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60" s="123">
        <f>IF(AND(الجدول14[[#This Row],[البرنامج]]="OOSCH",الجدول14[[#This Row],[نوع الجلسة]]=$BZ$2),1,0)</f>
        <v>0</v>
      </c>
      <c r="R60" s="123">
        <f>IF(AND(الجدول14[[#This Row],[البرنامج]]="OOSCH",الجدول14[[#This Row],[نوع الجلسة]]=$BZ$2),الجدول14[[#This Row],[عدد الذكور]],0)</f>
        <v>0</v>
      </c>
      <c r="S60" s="123">
        <f>IF(AND(الجدول14[[#This Row],[البرنامج]]="OOSCH",الجدول14[[#This Row],[نوع الجلسة]]=$BZ$2),الجدول14[[#This Row],[عدد الأناث]],0)</f>
        <v>0</v>
      </c>
      <c r="T60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60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60" s="124">
        <f>IF(AND(الجدول14[[#This Row],[البرنامج]]="PLW",الجدول14[[#This Row],[نوع الجلسة]]="معلومات صحة تغذوية للسيدة الحامل"),1,0)</f>
        <v>0</v>
      </c>
      <c r="W60" s="124">
        <f>IF(AND(الجدول14[[#This Row],[نوع الجلسة]]=$BZ$3,الجدول14[[#This Row],[البرنامج]]="PLW"),الجدول14[[#This Row],[عدد الذكور]],0)</f>
        <v>0</v>
      </c>
      <c r="X60" s="124">
        <f>IF(AND(الجدول14[[#This Row],[نوع الجلسة]]=$BZ$3,الجدول14[[#This Row],[البرنامج]]="PLW"),الجدول14[[#This Row],[عدد الأناث]],0)</f>
        <v>0</v>
      </c>
      <c r="Y60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60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60" s="113">
        <f>IF(AND(الجدول14[[#This Row],[البرنامج]]="PLW",الجدول14[[#This Row],[نوع الجلسة]]=$BZ$4),1,0)</f>
        <v>0</v>
      </c>
      <c r="AB60" s="113">
        <f>IF(AND(الجدول14[[#This Row],[البرنامج]]="PLW",الجدول14[[#This Row],[نوع الجلسة]]=$BZ$4),الجدول14[[#This Row],[عدد الذكور]],0)</f>
        <v>0</v>
      </c>
      <c r="AC60" s="113">
        <f>IF(AND(الجدول14[[#This Row],[البرنامج]]="PLW",الجدول14[[#This Row],[نوع الجلسة]]=$BZ$4),الجدول14[[#This Row],[عدد الأناث]],0)</f>
        <v>0</v>
      </c>
      <c r="AD60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60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60" s="125">
        <f>IF(AND(الجدول14[[#This Row],[البرنامج]]="OOSCH",الجدول14[[#This Row],[نوع الجلسة]]=$BZ$7),1,0)</f>
        <v>0</v>
      </c>
      <c r="AG60" s="125">
        <f>IF(AND(الجدول14[[#This Row],[البرنامج]]="OOSCH",الجدول14[[#This Row],[نوع الجلسة]]=$BZ$7),الجدول14[[#This Row],[عدد الذكور]],0)</f>
        <v>0</v>
      </c>
      <c r="AH60" s="125">
        <f>IF(AND(الجدول14[[#This Row],[البرنامج]]="OOSCH",الجدول14[[#This Row],[نوع الجلسة]]=$BZ$7),الجدول14[[#This Row],[عدد الأناث]],0)</f>
        <v>0</v>
      </c>
      <c r="AI60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60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60" s="126">
        <f>IF(AND(الجدول14[[#This Row],[البرنامج]]="OOSCH",الجدول14[[#This Row],[نوع الجلسة]]=$BZ$4),1,0)</f>
        <v>0</v>
      </c>
      <c r="AL60" s="126">
        <f>IF(AND(الجدول14[[#This Row],[البرنامج]]="OOSCH",الجدول14[[#This Row],[نوع الجلسة]]=$BZ$4),الجدول14[[#This Row],[عدد الذكور]],0)</f>
        <v>0</v>
      </c>
      <c r="AM60" s="126">
        <f>IF(AND(الجدول14[[#This Row],[البرنامج]]="OOSCH",الجدول14[[#This Row],[نوع الجلسة]]=$BZ$4),الجدول14[[#This Row],[عدد الأناث]],0)</f>
        <v>0</v>
      </c>
      <c r="AN60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60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60" s="123">
        <f>IF(AND(الجدول14[[#This Row],[نوع الجلسة]]=$BZ$5,الجدول14[[#This Row],[البرنامج]]=$BX$3),1,0)</f>
        <v>0</v>
      </c>
      <c r="AQ60" s="123">
        <f>IF(AND(الجدول14[[#This Row],[البرنامج]]="PLW",الجدول14[[#This Row],[نوع الجلسة]]=$BZ$5),الجدول14[[#This Row],[عدد الذكور]],0)</f>
        <v>0</v>
      </c>
      <c r="AR60" s="123">
        <f>IF(AND(الجدول14[[#This Row],[البرنامج]]="PLW",الجدول14[[#This Row],[نوع الجلسة]]=$BZ$5),الجدول14[[#This Row],[عدد الأناث]],0)</f>
        <v>0</v>
      </c>
      <c r="AS60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60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60" s="127">
        <f>IF(AND(الجدول14[[#This Row],[نوع الجلسة]]=$BZ$5,الجدول14[[#This Row],[البرنامج]]=$BX$2),1,0)</f>
        <v>0</v>
      </c>
      <c r="AV60" s="127">
        <f>IF(AND(الجدول14[[#This Row],[البرنامج]]="OOSCH",الجدول14[[#This Row],[نوع الجلسة]]=$BZ$5),الجدول14[[#This Row],[عدد الذكور]],0)</f>
        <v>0</v>
      </c>
      <c r="AW60" s="127">
        <f>IF(AND(الجدول14[[#This Row],[البرنامج]]="OOSCH",الجدول14[[#This Row],[نوع الجلسة]]=$BZ$5),الجدول14[[#This Row],[عدد الأناث]],0)</f>
        <v>0</v>
      </c>
      <c r="AX60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60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60" s="121">
        <f>IF(AND(الجدول14[[#This Row],[نوع الجلسة]]=$BZ$6,الجدول14[[#This Row],[البرنامج]]=$BX$3),1,0)</f>
        <v>0</v>
      </c>
      <c r="BA60" s="121">
        <f>IF(AND(الجدول14[[#This Row],[البرنامج]]="PLW",الجدول14[[#This Row],[نوع الجلسة]]=$BZ$6),الجدول14[[#This Row],[عدد الذكور]],0)</f>
        <v>0</v>
      </c>
      <c r="BB60" s="121">
        <f>IF(AND(الجدول14[[#This Row],[البرنامج]]="PLW",الجدول14[[#This Row],[نوع الجلسة]]=$BZ$6),الجدول14[[#This Row],[عدد الأناث]],0)</f>
        <v>0</v>
      </c>
      <c r="BC60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60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60" s="122">
        <f>IF(AND(الجدول14[[#This Row],[نوع الجلسة]]=$BZ$6,الجدول14[[#This Row],[البرنامج]]=$BX$2),1,0)</f>
        <v>0</v>
      </c>
      <c r="BF60" s="122">
        <f>IF(AND(الجدول14[[#This Row],[البرنامج]]="OOSCH",الجدول14[[#This Row],[نوع الجلسة]]=$BZ$6),الجدول14[[#This Row],[عدد الذكور]],0)</f>
        <v>0</v>
      </c>
      <c r="BG60" s="122">
        <f>IF(AND(الجدول14[[#This Row],[البرنامج]]="OOSCH",الجدول14[[#This Row],[نوع الجلسة]]=$BZ$6),الجدول14[[#This Row],[عدد الأناث]],0)</f>
        <v>0</v>
      </c>
      <c r="BH60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60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61" spans="4:61" ht="31.5" customHeight="1" x14ac:dyDescent="0.25">
      <c r="D61" s="9"/>
      <c r="E61" s="9"/>
      <c r="F61" s="9"/>
      <c r="G61" s="9"/>
      <c r="H61" s="9"/>
      <c r="I61" s="9"/>
      <c r="J61" s="9"/>
      <c r="K61" s="9">
        <f>SUM(الجدول14[[#This Row],[عدد الذكور]:[عدد الأناث]])</f>
        <v>0</v>
      </c>
      <c r="L61" s="120">
        <f>IF(AND(الجدول14[[#This Row],[البرنامج]]="PLW",الجدول14[[#This Row],[نوع الجلسة]]=$BZ$2),1,0)</f>
        <v>0</v>
      </c>
      <c r="M61" s="120">
        <f>IF(AND(الجدول14[[#This Row],[نوع الجلسة]]=$BZ$2,الجدول14[[#This Row],[البرنامج]]="PLW"),الجدول14[[#This Row],[عدد الذكور]],0)</f>
        <v>0</v>
      </c>
      <c r="N61" s="120">
        <f>IF(AND(الجدول14[[#This Row],[نوع الجلسة]]=$BZ$2,الجدول14[[#This Row],[البرنامج]]="PLW"),الجدول14[[#This Row],[عدد الأناث]],0)</f>
        <v>0</v>
      </c>
      <c r="O61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61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61" s="123">
        <f>IF(AND(الجدول14[[#This Row],[البرنامج]]="OOSCH",الجدول14[[#This Row],[نوع الجلسة]]=$BZ$2),1,0)</f>
        <v>0</v>
      </c>
      <c r="R61" s="123">
        <f>IF(AND(الجدول14[[#This Row],[البرنامج]]="OOSCH",الجدول14[[#This Row],[نوع الجلسة]]=$BZ$2),الجدول14[[#This Row],[عدد الذكور]],0)</f>
        <v>0</v>
      </c>
      <c r="S61" s="123">
        <f>IF(AND(الجدول14[[#This Row],[البرنامج]]="OOSCH",الجدول14[[#This Row],[نوع الجلسة]]=$BZ$2),الجدول14[[#This Row],[عدد الأناث]],0)</f>
        <v>0</v>
      </c>
      <c r="T61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61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61" s="124">
        <f>IF(AND(الجدول14[[#This Row],[البرنامج]]="PLW",الجدول14[[#This Row],[نوع الجلسة]]="معلومات صحة تغذوية للسيدة الحامل"),1,0)</f>
        <v>0</v>
      </c>
      <c r="W61" s="124">
        <f>IF(AND(الجدول14[[#This Row],[نوع الجلسة]]=$BZ$3,الجدول14[[#This Row],[البرنامج]]="PLW"),الجدول14[[#This Row],[عدد الذكور]],0)</f>
        <v>0</v>
      </c>
      <c r="X61" s="124">
        <f>IF(AND(الجدول14[[#This Row],[نوع الجلسة]]=$BZ$3,الجدول14[[#This Row],[البرنامج]]="PLW"),الجدول14[[#This Row],[عدد الأناث]],0)</f>
        <v>0</v>
      </c>
      <c r="Y61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61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61" s="113">
        <f>IF(AND(الجدول14[[#This Row],[البرنامج]]="PLW",الجدول14[[#This Row],[نوع الجلسة]]=$BZ$4),1,0)</f>
        <v>0</v>
      </c>
      <c r="AB61" s="113">
        <f>IF(AND(الجدول14[[#This Row],[البرنامج]]="PLW",الجدول14[[#This Row],[نوع الجلسة]]=$BZ$4),الجدول14[[#This Row],[عدد الذكور]],0)</f>
        <v>0</v>
      </c>
      <c r="AC61" s="113">
        <f>IF(AND(الجدول14[[#This Row],[البرنامج]]="PLW",الجدول14[[#This Row],[نوع الجلسة]]=$BZ$4),الجدول14[[#This Row],[عدد الأناث]],0)</f>
        <v>0</v>
      </c>
      <c r="AD61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61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61" s="125">
        <f>IF(AND(الجدول14[[#This Row],[البرنامج]]="OOSCH",الجدول14[[#This Row],[نوع الجلسة]]=$BZ$7),1,0)</f>
        <v>0</v>
      </c>
      <c r="AG61" s="125">
        <f>IF(AND(الجدول14[[#This Row],[البرنامج]]="OOSCH",الجدول14[[#This Row],[نوع الجلسة]]=$BZ$7),الجدول14[[#This Row],[عدد الذكور]],0)</f>
        <v>0</v>
      </c>
      <c r="AH61" s="125">
        <f>IF(AND(الجدول14[[#This Row],[البرنامج]]="OOSCH",الجدول14[[#This Row],[نوع الجلسة]]=$BZ$7),الجدول14[[#This Row],[عدد الأناث]],0)</f>
        <v>0</v>
      </c>
      <c r="AI61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61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61" s="126">
        <f>IF(AND(الجدول14[[#This Row],[البرنامج]]="OOSCH",الجدول14[[#This Row],[نوع الجلسة]]=$BZ$4),1,0)</f>
        <v>0</v>
      </c>
      <c r="AL61" s="126">
        <f>IF(AND(الجدول14[[#This Row],[البرنامج]]="OOSCH",الجدول14[[#This Row],[نوع الجلسة]]=$BZ$4),الجدول14[[#This Row],[عدد الذكور]],0)</f>
        <v>0</v>
      </c>
      <c r="AM61" s="126">
        <f>IF(AND(الجدول14[[#This Row],[البرنامج]]="OOSCH",الجدول14[[#This Row],[نوع الجلسة]]=$BZ$4),الجدول14[[#This Row],[عدد الأناث]],0)</f>
        <v>0</v>
      </c>
      <c r="AN61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61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61" s="123">
        <f>IF(AND(الجدول14[[#This Row],[نوع الجلسة]]=$BZ$5,الجدول14[[#This Row],[البرنامج]]=$BX$3),1,0)</f>
        <v>0</v>
      </c>
      <c r="AQ61" s="123">
        <f>IF(AND(الجدول14[[#This Row],[البرنامج]]="PLW",الجدول14[[#This Row],[نوع الجلسة]]=$BZ$5),الجدول14[[#This Row],[عدد الذكور]],0)</f>
        <v>0</v>
      </c>
      <c r="AR61" s="123">
        <f>IF(AND(الجدول14[[#This Row],[البرنامج]]="PLW",الجدول14[[#This Row],[نوع الجلسة]]=$BZ$5),الجدول14[[#This Row],[عدد الأناث]],0)</f>
        <v>0</v>
      </c>
      <c r="AS61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61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61" s="127">
        <f>IF(AND(الجدول14[[#This Row],[نوع الجلسة]]=$BZ$5,الجدول14[[#This Row],[البرنامج]]=$BX$2),1,0)</f>
        <v>0</v>
      </c>
      <c r="AV61" s="127">
        <f>IF(AND(الجدول14[[#This Row],[البرنامج]]="OOSCH",الجدول14[[#This Row],[نوع الجلسة]]=$BZ$5),الجدول14[[#This Row],[عدد الذكور]],0)</f>
        <v>0</v>
      </c>
      <c r="AW61" s="127">
        <f>IF(AND(الجدول14[[#This Row],[البرنامج]]="OOSCH",الجدول14[[#This Row],[نوع الجلسة]]=$BZ$5),الجدول14[[#This Row],[عدد الأناث]],0)</f>
        <v>0</v>
      </c>
      <c r="AX61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61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61" s="121">
        <f>IF(AND(الجدول14[[#This Row],[نوع الجلسة]]=$BZ$6,الجدول14[[#This Row],[البرنامج]]=$BX$3),1,0)</f>
        <v>0</v>
      </c>
      <c r="BA61" s="121">
        <f>IF(AND(الجدول14[[#This Row],[البرنامج]]="PLW",الجدول14[[#This Row],[نوع الجلسة]]=$BZ$6),الجدول14[[#This Row],[عدد الذكور]],0)</f>
        <v>0</v>
      </c>
      <c r="BB61" s="121">
        <f>IF(AND(الجدول14[[#This Row],[البرنامج]]="PLW",الجدول14[[#This Row],[نوع الجلسة]]=$BZ$6),الجدول14[[#This Row],[عدد الأناث]],0)</f>
        <v>0</v>
      </c>
      <c r="BC61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61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61" s="122">
        <f>IF(AND(الجدول14[[#This Row],[نوع الجلسة]]=$BZ$6,الجدول14[[#This Row],[البرنامج]]=$BX$2),1,0)</f>
        <v>0</v>
      </c>
      <c r="BF61" s="122">
        <f>IF(AND(الجدول14[[#This Row],[البرنامج]]="OOSCH",الجدول14[[#This Row],[نوع الجلسة]]=$BZ$6),الجدول14[[#This Row],[عدد الذكور]],0)</f>
        <v>0</v>
      </c>
      <c r="BG61" s="122">
        <f>IF(AND(الجدول14[[#This Row],[البرنامج]]="OOSCH",الجدول14[[#This Row],[نوع الجلسة]]=$BZ$6),الجدول14[[#This Row],[عدد الأناث]],0)</f>
        <v>0</v>
      </c>
      <c r="BH61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61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62" spans="4:61" ht="31.5" customHeight="1" x14ac:dyDescent="0.25">
      <c r="D62" s="9"/>
      <c r="E62" s="9"/>
      <c r="F62" s="9"/>
      <c r="G62" s="9"/>
      <c r="H62" s="9"/>
      <c r="I62" s="9"/>
      <c r="J62" s="9"/>
      <c r="K62" s="9">
        <f>SUM(الجدول14[[#This Row],[عدد الذكور]:[عدد الأناث]])</f>
        <v>0</v>
      </c>
      <c r="L62" s="120">
        <f>IF(AND(الجدول14[[#This Row],[البرنامج]]="PLW",الجدول14[[#This Row],[نوع الجلسة]]=$BZ$2),1,0)</f>
        <v>0</v>
      </c>
      <c r="M62" s="120">
        <f>IF(AND(الجدول14[[#This Row],[نوع الجلسة]]=$BZ$2,الجدول14[[#This Row],[البرنامج]]="PLW"),الجدول14[[#This Row],[عدد الذكور]],0)</f>
        <v>0</v>
      </c>
      <c r="N62" s="120">
        <f>IF(AND(الجدول14[[#This Row],[نوع الجلسة]]=$BZ$2,الجدول14[[#This Row],[البرنامج]]="PLW"),الجدول14[[#This Row],[عدد الأناث]],0)</f>
        <v>0</v>
      </c>
      <c r="O62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62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62" s="123">
        <f>IF(AND(الجدول14[[#This Row],[البرنامج]]="OOSCH",الجدول14[[#This Row],[نوع الجلسة]]=$BZ$2),1,0)</f>
        <v>0</v>
      </c>
      <c r="R62" s="123">
        <f>IF(AND(الجدول14[[#This Row],[البرنامج]]="OOSCH",الجدول14[[#This Row],[نوع الجلسة]]=$BZ$2),الجدول14[[#This Row],[عدد الذكور]],0)</f>
        <v>0</v>
      </c>
      <c r="S62" s="123">
        <f>IF(AND(الجدول14[[#This Row],[البرنامج]]="OOSCH",الجدول14[[#This Row],[نوع الجلسة]]=$BZ$2),الجدول14[[#This Row],[عدد الأناث]],0)</f>
        <v>0</v>
      </c>
      <c r="T62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62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62" s="124">
        <f>IF(AND(الجدول14[[#This Row],[البرنامج]]="PLW",الجدول14[[#This Row],[نوع الجلسة]]="معلومات صحة تغذوية للسيدة الحامل"),1,0)</f>
        <v>0</v>
      </c>
      <c r="W62" s="124">
        <f>IF(AND(الجدول14[[#This Row],[نوع الجلسة]]=$BZ$3,الجدول14[[#This Row],[البرنامج]]="PLW"),الجدول14[[#This Row],[عدد الذكور]],0)</f>
        <v>0</v>
      </c>
      <c r="X62" s="124">
        <f>IF(AND(الجدول14[[#This Row],[نوع الجلسة]]=$BZ$3,الجدول14[[#This Row],[البرنامج]]="PLW"),الجدول14[[#This Row],[عدد الأناث]],0)</f>
        <v>0</v>
      </c>
      <c r="Y62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62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62" s="113">
        <f>IF(AND(الجدول14[[#This Row],[البرنامج]]="PLW",الجدول14[[#This Row],[نوع الجلسة]]=$BZ$4),1,0)</f>
        <v>0</v>
      </c>
      <c r="AB62" s="113">
        <f>IF(AND(الجدول14[[#This Row],[البرنامج]]="PLW",الجدول14[[#This Row],[نوع الجلسة]]=$BZ$4),الجدول14[[#This Row],[عدد الذكور]],0)</f>
        <v>0</v>
      </c>
      <c r="AC62" s="113">
        <f>IF(AND(الجدول14[[#This Row],[البرنامج]]="PLW",الجدول14[[#This Row],[نوع الجلسة]]=$BZ$4),الجدول14[[#This Row],[عدد الأناث]],0)</f>
        <v>0</v>
      </c>
      <c r="AD62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62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62" s="125">
        <f>IF(AND(الجدول14[[#This Row],[البرنامج]]="OOSCH",الجدول14[[#This Row],[نوع الجلسة]]=$BZ$7),1,0)</f>
        <v>0</v>
      </c>
      <c r="AG62" s="125">
        <f>IF(AND(الجدول14[[#This Row],[البرنامج]]="OOSCH",الجدول14[[#This Row],[نوع الجلسة]]=$BZ$7),الجدول14[[#This Row],[عدد الذكور]],0)</f>
        <v>0</v>
      </c>
      <c r="AH62" s="125">
        <f>IF(AND(الجدول14[[#This Row],[البرنامج]]="OOSCH",الجدول14[[#This Row],[نوع الجلسة]]=$BZ$7),الجدول14[[#This Row],[عدد الأناث]],0)</f>
        <v>0</v>
      </c>
      <c r="AI62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62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62" s="126">
        <f>IF(AND(الجدول14[[#This Row],[البرنامج]]="OOSCH",الجدول14[[#This Row],[نوع الجلسة]]=$BZ$4),1,0)</f>
        <v>0</v>
      </c>
      <c r="AL62" s="126">
        <f>IF(AND(الجدول14[[#This Row],[البرنامج]]="OOSCH",الجدول14[[#This Row],[نوع الجلسة]]=$BZ$4),الجدول14[[#This Row],[عدد الذكور]],0)</f>
        <v>0</v>
      </c>
      <c r="AM62" s="126">
        <f>IF(AND(الجدول14[[#This Row],[البرنامج]]="OOSCH",الجدول14[[#This Row],[نوع الجلسة]]=$BZ$4),الجدول14[[#This Row],[عدد الأناث]],0)</f>
        <v>0</v>
      </c>
      <c r="AN62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62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62" s="123">
        <f>IF(AND(الجدول14[[#This Row],[نوع الجلسة]]=$BZ$5,الجدول14[[#This Row],[البرنامج]]=$BX$3),1,0)</f>
        <v>0</v>
      </c>
      <c r="AQ62" s="123">
        <f>IF(AND(الجدول14[[#This Row],[البرنامج]]="PLW",الجدول14[[#This Row],[نوع الجلسة]]=$BZ$5),الجدول14[[#This Row],[عدد الذكور]],0)</f>
        <v>0</v>
      </c>
      <c r="AR62" s="123">
        <f>IF(AND(الجدول14[[#This Row],[البرنامج]]="PLW",الجدول14[[#This Row],[نوع الجلسة]]=$BZ$5),الجدول14[[#This Row],[عدد الأناث]],0)</f>
        <v>0</v>
      </c>
      <c r="AS62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62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62" s="127">
        <f>IF(AND(الجدول14[[#This Row],[نوع الجلسة]]=$BZ$5,الجدول14[[#This Row],[البرنامج]]=$BX$2),1,0)</f>
        <v>0</v>
      </c>
      <c r="AV62" s="127">
        <f>IF(AND(الجدول14[[#This Row],[البرنامج]]="OOSCH",الجدول14[[#This Row],[نوع الجلسة]]=$BZ$5),الجدول14[[#This Row],[عدد الذكور]],0)</f>
        <v>0</v>
      </c>
      <c r="AW62" s="127">
        <f>IF(AND(الجدول14[[#This Row],[البرنامج]]="OOSCH",الجدول14[[#This Row],[نوع الجلسة]]=$BZ$5),الجدول14[[#This Row],[عدد الأناث]],0)</f>
        <v>0</v>
      </c>
      <c r="AX62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62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62" s="121">
        <f>IF(AND(الجدول14[[#This Row],[نوع الجلسة]]=$BZ$6,الجدول14[[#This Row],[البرنامج]]=$BX$3),1,0)</f>
        <v>0</v>
      </c>
      <c r="BA62" s="121">
        <f>IF(AND(الجدول14[[#This Row],[البرنامج]]="PLW",الجدول14[[#This Row],[نوع الجلسة]]=$BZ$6),الجدول14[[#This Row],[عدد الذكور]],0)</f>
        <v>0</v>
      </c>
      <c r="BB62" s="121">
        <f>IF(AND(الجدول14[[#This Row],[البرنامج]]="PLW",الجدول14[[#This Row],[نوع الجلسة]]=$BZ$6),الجدول14[[#This Row],[عدد الأناث]],0)</f>
        <v>0</v>
      </c>
      <c r="BC62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62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62" s="122">
        <f>IF(AND(الجدول14[[#This Row],[نوع الجلسة]]=$BZ$6,الجدول14[[#This Row],[البرنامج]]=$BX$2),1,0)</f>
        <v>0</v>
      </c>
      <c r="BF62" s="122">
        <f>IF(AND(الجدول14[[#This Row],[البرنامج]]="OOSCH",الجدول14[[#This Row],[نوع الجلسة]]=$BZ$6),الجدول14[[#This Row],[عدد الذكور]],0)</f>
        <v>0</v>
      </c>
      <c r="BG62" s="122">
        <f>IF(AND(الجدول14[[#This Row],[البرنامج]]="OOSCH",الجدول14[[#This Row],[نوع الجلسة]]=$BZ$6),الجدول14[[#This Row],[عدد الأناث]],0)</f>
        <v>0</v>
      </c>
      <c r="BH62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62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63" spans="4:61" ht="31.5" customHeight="1" x14ac:dyDescent="0.25">
      <c r="D63" s="9"/>
      <c r="E63" s="9"/>
      <c r="F63" s="9"/>
      <c r="G63" s="9"/>
      <c r="H63" s="9"/>
      <c r="I63" s="9"/>
      <c r="J63" s="9"/>
      <c r="K63" s="9">
        <f>SUM(الجدول14[[#This Row],[عدد الذكور]:[عدد الأناث]])</f>
        <v>0</v>
      </c>
      <c r="L63" s="120">
        <f>IF(AND(الجدول14[[#This Row],[البرنامج]]="PLW",الجدول14[[#This Row],[نوع الجلسة]]=$BZ$2),1,0)</f>
        <v>0</v>
      </c>
      <c r="M63" s="120">
        <f>IF(AND(الجدول14[[#This Row],[نوع الجلسة]]=$BZ$2,الجدول14[[#This Row],[البرنامج]]="PLW"),الجدول14[[#This Row],[عدد الذكور]],0)</f>
        <v>0</v>
      </c>
      <c r="N63" s="120">
        <f>IF(AND(الجدول14[[#This Row],[نوع الجلسة]]=$BZ$2,الجدول14[[#This Row],[البرنامج]]="PLW"),الجدول14[[#This Row],[عدد الأناث]],0)</f>
        <v>0</v>
      </c>
      <c r="O63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63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63" s="123">
        <f>IF(AND(الجدول14[[#This Row],[البرنامج]]="OOSCH",الجدول14[[#This Row],[نوع الجلسة]]=$BZ$2),1,0)</f>
        <v>0</v>
      </c>
      <c r="R63" s="123">
        <f>IF(AND(الجدول14[[#This Row],[البرنامج]]="OOSCH",الجدول14[[#This Row],[نوع الجلسة]]=$BZ$2),الجدول14[[#This Row],[عدد الذكور]],0)</f>
        <v>0</v>
      </c>
      <c r="S63" s="123">
        <f>IF(AND(الجدول14[[#This Row],[البرنامج]]="OOSCH",الجدول14[[#This Row],[نوع الجلسة]]=$BZ$2),الجدول14[[#This Row],[عدد الأناث]],0)</f>
        <v>0</v>
      </c>
      <c r="T63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63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63" s="124">
        <f>IF(AND(الجدول14[[#This Row],[البرنامج]]="PLW",الجدول14[[#This Row],[نوع الجلسة]]="معلومات صحة تغذوية للسيدة الحامل"),1,0)</f>
        <v>0</v>
      </c>
      <c r="W63" s="124">
        <f>IF(AND(الجدول14[[#This Row],[نوع الجلسة]]=$BZ$3,الجدول14[[#This Row],[البرنامج]]="PLW"),الجدول14[[#This Row],[عدد الذكور]],0)</f>
        <v>0</v>
      </c>
      <c r="X63" s="124">
        <f>IF(AND(الجدول14[[#This Row],[نوع الجلسة]]=$BZ$3,الجدول14[[#This Row],[البرنامج]]="PLW"),الجدول14[[#This Row],[عدد الأناث]],0)</f>
        <v>0</v>
      </c>
      <c r="Y63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63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63" s="113">
        <f>IF(AND(الجدول14[[#This Row],[البرنامج]]="PLW",الجدول14[[#This Row],[نوع الجلسة]]=$BZ$4),1,0)</f>
        <v>0</v>
      </c>
      <c r="AB63" s="113">
        <f>IF(AND(الجدول14[[#This Row],[البرنامج]]="PLW",الجدول14[[#This Row],[نوع الجلسة]]=$BZ$4),الجدول14[[#This Row],[عدد الذكور]],0)</f>
        <v>0</v>
      </c>
      <c r="AC63" s="113">
        <f>IF(AND(الجدول14[[#This Row],[البرنامج]]="PLW",الجدول14[[#This Row],[نوع الجلسة]]=$BZ$4),الجدول14[[#This Row],[عدد الأناث]],0)</f>
        <v>0</v>
      </c>
      <c r="AD63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63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63" s="125">
        <f>IF(AND(الجدول14[[#This Row],[البرنامج]]="OOSCH",الجدول14[[#This Row],[نوع الجلسة]]=$BZ$7),1,0)</f>
        <v>0</v>
      </c>
      <c r="AG63" s="125">
        <f>IF(AND(الجدول14[[#This Row],[البرنامج]]="OOSCH",الجدول14[[#This Row],[نوع الجلسة]]=$BZ$7),الجدول14[[#This Row],[عدد الذكور]],0)</f>
        <v>0</v>
      </c>
      <c r="AH63" s="125">
        <f>IF(AND(الجدول14[[#This Row],[البرنامج]]="OOSCH",الجدول14[[#This Row],[نوع الجلسة]]=$BZ$7),الجدول14[[#This Row],[عدد الأناث]],0)</f>
        <v>0</v>
      </c>
      <c r="AI63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63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63" s="126">
        <f>IF(AND(الجدول14[[#This Row],[البرنامج]]="OOSCH",الجدول14[[#This Row],[نوع الجلسة]]=$BZ$4),1,0)</f>
        <v>0</v>
      </c>
      <c r="AL63" s="126">
        <f>IF(AND(الجدول14[[#This Row],[البرنامج]]="OOSCH",الجدول14[[#This Row],[نوع الجلسة]]=$BZ$4),الجدول14[[#This Row],[عدد الذكور]],0)</f>
        <v>0</v>
      </c>
      <c r="AM63" s="126">
        <f>IF(AND(الجدول14[[#This Row],[البرنامج]]="OOSCH",الجدول14[[#This Row],[نوع الجلسة]]=$BZ$4),الجدول14[[#This Row],[عدد الأناث]],0)</f>
        <v>0</v>
      </c>
      <c r="AN63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63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63" s="123">
        <f>IF(AND(الجدول14[[#This Row],[نوع الجلسة]]=$BZ$5,الجدول14[[#This Row],[البرنامج]]=$BX$3),1,0)</f>
        <v>0</v>
      </c>
      <c r="AQ63" s="123">
        <f>IF(AND(الجدول14[[#This Row],[البرنامج]]="PLW",الجدول14[[#This Row],[نوع الجلسة]]=$BZ$5),الجدول14[[#This Row],[عدد الذكور]],0)</f>
        <v>0</v>
      </c>
      <c r="AR63" s="123">
        <f>IF(AND(الجدول14[[#This Row],[البرنامج]]="PLW",الجدول14[[#This Row],[نوع الجلسة]]=$BZ$5),الجدول14[[#This Row],[عدد الأناث]],0)</f>
        <v>0</v>
      </c>
      <c r="AS63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63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63" s="127">
        <f>IF(AND(الجدول14[[#This Row],[نوع الجلسة]]=$BZ$5,الجدول14[[#This Row],[البرنامج]]=$BX$2),1,0)</f>
        <v>0</v>
      </c>
      <c r="AV63" s="127">
        <f>IF(AND(الجدول14[[#This Row],[البرنامج]]="OOSCH",الجدول14[[#This Row],[نوع الجلسة]]=$BZ$5),الجدول14[[#This Row],[عدد الذكور]],0)</f>
        <v>0</v>
      </c>
      <c r="AW63" s="127">
        <f>IF(AND(الجدول14[[#This Row],[البرنامج]]="OOSCH",الجدول14[[#This Row],[نوع الجلسة]]=$BZ$5),الجدول14[[#This Row],[عدد الأناث]],0)</f>
        <v>0</v>
      </c>
      <c r="AX63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63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63" s="121">
        <f>IF(AND(الجدول14[[#This Row],[نوع الجلسة]]=$BZ$6,الجدول14[[#This Row],[البرنامج]]=$BX$3),1,0)</f>
        <v>0</v>
      </c>
      <c r="BA63" s="121">
        <f>IF(AND(الجدول14[[#This Row],[البرنامج]]="PLW",الجدول14[[#This Row],[نوع الجلسة]]=$BZ$6),الجدول14[[#This Row],[عدد الذكور]],0)</f>
        <v>0</v>
      </c>
      <c r="BB63" s="121">
        <f>IF(AND(الجدول14[[#This Row],[البرنامج]]="PLW",الجدول14[[#This Row],[نوع الجلسة]]=$BZ$6),الجدول14[[#This Row],[عدد الأناث]],0)</f>
        <v>0</v>
      </c>
      <c r="BC63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63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63" s="122">
        <f>IF(AND(الجدول14[[#This Row],[نوع الجلسة]]=$BZ$6,الجدول14[[#This Row],[البرنامج]]=$BX$2),1,0)</f>
        <v>0</v>
      </c>
      <c r="BF63" s="122">
        <f>IF(AND(الجدول14[[#This Row],[البرنامج]]="OOSCH",الجدول14[[#This Row],[نوع الجلسة]]=$BZ$6),الجدول14[[#This Row],[عدد الذكور]],0)</f>
        <v>0</v>
      </c>
      <c r="BG63" s="122">
        <f>IF(AND(الجدول14[[#This Row],[البرنامج]]="OOSCH",الجدول14[[#This Row],[نوع الجلسة]]=$BZ$6),الجدول14[[#This Row],[عدد الأناث]],0)</f>
        <v>0</v>
      </c>
      <c r="BH63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63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64" spans="4:61" ht="31.5" customHeight="1" x14ac:dyDescent="0.25">
      <c r="D64" s="9"/>
      <c r="E64" s="9"/>
      <c r="F64" s="9"/>
      <c r="G64" s="9"/>
      <c r="H64" s="9"/>
      <c r="I64" s="9"/>
      <c r="J64" s="9"/>
      <c r="K64" s="9">
        <f>SUM(الجدول14[[#This Row],[عدد الذكور]:[عدد الأناث]])</f>
        <v>0</v>
      </c>
      <c r="L64" s="120">
        <f>IF(AND(الجدول14[[#This Row],[البرنامج]]="PLW",الجدول14[[#This Row],[نوع الجلسة]]=$BZ$2),1,0)</f>
        <v>0</v>
      </c>
      <c r="M64" s="120">
        <f>IF(AND(الجدول14[[#This Row],[نوع الجلسة]]=$BZ$2,الجدول14[[#This Row],[البرنامج]]="PLW"),الجدول14[[#This Row],[عدد الذكور]],0)</f>
        <v>0</v>
      </c>
      <c r="N64" s="120">
        <f>IF(AND(الجدول14[[#This Row],[نوع الجلسة]]=$BZ$2,الجدول14[[#This Row],[البرنامج]]="PLW"),الجدول14[[#This Row],[عدد الأناث]],0)</f>
        <v>0</v>
      </c>
      <c r="O64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64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64" s="123">
        <f>IF(AND(الجدول14[[#This Row],[البرنامج]]="OOSCH",الجدول14[[#This Row],[نوع الجلسة]]=$BZ$2),1,0)</f>
        <v>0</v>
      </c>
      <c r="R64" s="123">
        <f>IF(AND(الجدول14[[#This Row],[البرنامج]]="OOSCH",الجدول14[[#This Row],[نوع الجلسة]]=$BZ$2),الجدول14[[#This Row],[عدد الذكور]],0)</f>
        <v>0</v>
      </c>
      <c r="S64" s="123">
        <f>IF(AND(الجدول14[[#This Row],[البرنامج]]="OOSCH",الجدول14[[#This Row],[نوع الجلسة]]=$BZ$2),الجدول14[[#This Row],[عدد الأناث]],0)</f>
        <v>0</v>
      </c>
      <c r="T64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64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64" s="124">
        <f>IF(AND(الجدول14[[#This Row],[البرنامج]]="PLW",الجدول14[[#This Row],[نوع الجلسة]]="معلومات صحة تغذوية للسيدة الحامل"),1,0)</f>
        <v>0</v>
      </c>
      <c r="W64" s="124">
        <f>IF(AND(الجدول14[[#This Row],[نوع الجلسة]]=$BZ$3,الجدول14[[#This Row],[البرنامج]]="PLW"),الجدول14[[#This Row],[عدد الذكور]],0)</f>
        <v>0</v>
      </c>
      <c r="X64" s="124">
        <f>IF(AND(الجدول14[[#This Row],[نوع الجلسة]]=$BZ$3,الجدول14[[#This Row],[البرنامج]]="PLW"),الجدول14[[#This Row],[عدد الأناث]],0)</f>
        <v>0</v>
      </c>
      <c r="Y64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64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64" s="113">
        <f>IF(AND(الجدول14[[#This Row],[البرنامج]]="PLW",الجدول14[[#This Row],[نوع الجلسة]]=$BZ$4),1,0)</f>
        <v>0</v>
      </c>
      <c r="AB64" s="113">
        <f>IF(AND(الجدول14[[#This Row],[البرنامج]]="PLW",الجدول14[[#This Row],[نوع الجلسة]]=$BZ$4),الجدول14[[#This Row],[عدد الذكور]],0)</f>
        <v>0</v>
      </c>
      <c r="AC64" s="113">
        <f>IF(AND(الجدول14[[#This Row],[البرنامج]]="PLW",الجدول14[[#This Row],[نوع الجلسة]]=$BZ$4),الجدول14[[#This Row],[عدد الأناث]],0)</f>
        <v>0</v>
      </c>
      <c r="AD64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64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64" s="125">
        <f>IF(AND(الجدول14[[#This Row],[البرنامج]]="OOSCH",الجدول14[[#This Row],[نوع الجلسة]]=$BZ$7),1,0)</f>
        <v>0</v>
      </c>
      <c r="AG64" s="125">
        <f>IF(AND(الجدول14[[#This Row],[البرنامج]]="OOSCH",الجدول14[[#This Row],[نوع الجلسة]]=$BZ$7),الجدول14[[#This Row],[عدد الذكور]],0)</f>
        <v>0</v>
      </c>
      <c r="AH64" s="125">
        <f>IF(AND(الجدول14[[#This Row],[البرنامج]]="OOSCH",الجدول14[[#This Row],[نوع الجلسة]]=$BZ$7),الجدول14[[#This Row],[عدد الأناث]],0)</f>
        <v>0</v>
      </c>
      <c r="AI64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64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64" s="126">
        <f>IF(AND(الجدول14[[#This Row],[البرنامج]]="OOSCH",الجدول14[[#This Row],[نوع الجلسة]]=$BZ$4),1,0)</f>
        <v>0</v>
      </c>
      <c r="AL64" s="126">
        <f>IF(AND(الجدول14[[#This Row],[البرنامج]]="OOSCH",الجدول14[[#This Row],[نوع الجلسة]]=$BZ$4),الجدول14[[#This Row],[عدد الذكور]],0)</f>
        <v>0</v>
      </c>
      <c r="AM64" s="126">
        <f>IF(AND(الجدول14[[#This Row],[البرنامج]]="OOSCH",الجدول14[[#This Row],[نوع الجلسة]]=$BZ$4),الجدول14[[#This Row],[عدد الأناث]],0)</f>
        <v>0</v>
      </c>
      <c r="AN64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64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64" s="123">
        <f>IF(AND(الجدول14[[#This Row],[نوع الجلسة]]=$BZ$5,الجدول14[[#This Row],[البرنامج]]=$BX$3),1,0)</f>
        <v>0</v>
      </c>
      <c r="AQ64" s="123">
        <f>IF(AND(الجدول14[[#This Row],[البرنامج]]="PLW",الجدول14[[#This Row],[نوع الجلسة]]=$BZ$5),الجدول14[[#This Row],[عدد الذكور]],0)</f>
        <v>0</v>
      </c>
      <c r="AR64" s="123">
        <f>IF(AND(الجدول14[[#This Row],[البرنامج]]="PLW",الجدول14[[#This Row],[نوع الجلسة]]=$BZ$5),الجدول14[[#This Row],[عدد الأناث]],0)</f>
        <v>0</v>
      </c>
      <c r="AS64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64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64" s="127">
        <f>IF(AND(الجدول14[[#This Row],[نوع الجلسة]]=$BZ$5,الجدول14[[#This Row],[البرنامج]]=$BX$2),1,0)</f>
        <v>0</v>
      </c>
      <c r="AV64" s="127">
        <f>IF(AND(الجدول14[[#This Row],[البرنامج]]="OOSCH",الجدول14[[#This Row],[نوع الجلسة]]=$BZ$5),الجدول14[[#This Row],[عدد الذكور]],0)</f>
        <v>0</v>
      </c>
      <c r="AW64" s="127">
        <f>IF(AND(الجدول14[[#This Row],[البرنامج]]="OOSCH",الجدول14[[#This Row],[نوع الجلسة]]=$BZ$5),الجدول14[[#This Row],[عدد الأناث]],0)</f>
        <v>0</v>
      </c>
      <c r="AX64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64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64" s="121">
        <f>IF(AND(الجدول14[[#This Row],[نوع الجلسة]]=$BZ$6,الجدول14[[#This Row],[البرنامج]]=$BX$3),1,0)</f>
        <v>0</v>
      </c>
      <c r="BA64" s="121">
        <f>IF(AND(الجدول14[[#This Row],[البرنامج]]="PLW",الجدول14[[#This Row],[نوع الجلسة]]=$BZ$6),الجدول14[[#This Row],[عدد الذكور]],0)</f>
        <v>0</v>
      </c>
      <c r="BB64" s="121">
        <f>IF(AND(الجدول14[[#This Row],[البرنامج]]="PLW",الجدول14[[#This Row],[نوع الجلسة]]=$BZ$6),الجدول14[[#This Row],[عدد الأناث]],0)</f>
        <v>0</v>
      </c>
      <c r="BC64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64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64" s="122">
        <f>IF(AND(الجدول14[[#This Row],[نوع الجلسة]]=$BZ$6,الجدول14[[#This Row],[البرنامج]]=$BX$2),1,0)</f>
        <v>0</v>
      </c>
      <c r="BF64" s="122">
        <f>IF(AND(الجدول14[[#This Row],[البرنامج]]="OOSCH",الجدول14[[#This Row],[نوع الجلسة]]=$BZ$6),الجدول14[[#This Row],[عدد الذكور]],0)</f>
        <v>0</v>
      </c>
      <c r="BG64" s="122">
        <f>IF(AND(الجدول14[[#This Row],[البرنامج]]="OOSCH",الجدول14[[#This Row],[نوع الجلسة]]=$BZ$6),الجدول14[[#This Row],[عدد الأناث]],0)</f>
        <v>0</v>
      </c>
      <c r="BH64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64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65" spans="4:61" ht="31.5" customHeight="1" x14ac:dyDescent="0.25">
      <c r="D65" s="9"/>
      <c r="E65" s="9"/>
      <c r="F65" s="9"/>
      <c r="G65" s="9"/>
      <c r="H65" s="9"/>
      <c r="I65" s="9"/>
      <c r="J65" s="9"/>
      <c r="K65" s="9">
        <f>SUM(الجدول14[[#This Row],[عدد الذكور]:[عدد الأناث]])</f>
        <v>0</v>
      </c>
      <c r="L65" s="120">
        <f>IF(AND(الجدول14[[#This Row],[البرنامج]]="PLW",الجدول14[[#This Row],[نوع الجلسة]]=$BZ$2),1,0)</f>
        <v>0</v>
      </c>
      <c r="M65" s="120">
        <f>IF(AND(الجدول14[[#This Row],[نوع الجلسة]]=$BZ$2,الجدول14[[#This Row],[البرنامج]]="PLW"),الجدول14[[#This Row],[عدد الذكور]],0)</f>
        <v>0</v>
      </c>
      <c r="N65" s="120">
        <f>IF(AND(الجدول14[[#This Row],[نوع الجلسة]]=$BZ$2,الجدول14[[#This Row],[البرنامج]]="PLW"),الجدول14[[#This Row],[عدد الأناث]],0)</f>
        <v>0</v>
      </c>
      <c r="O65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65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65" s="123">
        <f>IF(AND(الجدول14[[#This Row],[البرنامج]]="OOSCH",الجدول14[[#This Row],[نوع الجلسة]]=$BZ$2),1,0)</f>
        <v>0</v>
      </c>
      <c r="R65" s="123">
        <f>IF(AND(الجدول14[[#This Row],[البرنامج]]="OOSCH",الجدول14[[#This Row],[نوع الجلسة]]=$BZ$2),الجدول14[[#This Row],[عدد الذكور]],0)</f>
        <v>0</v>
      </c>
      <c r="S65" s="123">
        <f>IF(AND(الجدول14[[#This Row],[البرنامج]]="OOSCH",الجدول14[[#This Row],[نوع الجلسة]]=$BZ$2),الجدول14[[#This Row],[عدد الأناث]],0)</f>
        <v>0</v>
      </c>
      <c r="T65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65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65" s="124">
        <f>IF(AND(الجدول14[[#This Row],[البرنامج]]="PLW",الجدول14[[#This Row],[نوع الجلسة]]="معلومات صحة تغذوية للسيدة الحامل"),1,0)</f>
        <v>0</v>
      </c>
      <c r="W65" s="124">
        <f>IF(AND(الجدول14[[#This Row],[نوع الجلسة]]=$BZ$3,الجدول14[[#This Row],[البرنامج]]="PLW"),الجدول14[[#This Row],[عدد الذكور]],0)</f>
        <v>0</v>
      </c>
      <c r="X65" s="124">
        <f>IF(AND(الجدول14[[#This Row],[نوع الجلسة]]=$BZ$3,الجدول14[[#This Row],[البرنامج]]="PLW"),الجدول14[[#This Row],[عدد الأناث]],0)</f>
        <v>0</v>
      </c>
      <c r="Y65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65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65" s="113">
        <f>IF(AND(الجدول14[[#This Row],[البرنامج]]="PLW",الجدول14[[#This Row],[نوع الجلسة]]=$BZ$4),1,0)</f>
        <v>0</v>
      </c>
      <c r="AB65" s="113">
        <f>IF(AND(الجدول14[[#This Row],[البرنامج]]="PLW",الجدول14[[#This Row],[نوع الجلسة]]=$BZ$4),الجدول14[[#This Row],[عدد الذكور]],0)</f>
        <v>0</v>
      </c>
      <c r="AC65" s="113">
        <f>IF(AND(الجدول14[[#This Row],[البرنامج]]="PLW",الجدول14[[#This Row],[نوع الجلسة]]=$BZ$4),الجدول14[[#This Row],[عدد الأناث]],0)</f>
        <v>0</v>
      </c>
      <c r="AD65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65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65" s="125">
        <f>IF(AND(الجدول14[[#This Row],[البرنامج]]="OOSCH",الجدول14[[#This Row],[نوع الجلسة]]=$BZ$7),1,0)</f>
        <v>0</v>
      </c>
      <c r="AG65" s="125">
        <f>IF(AND(الجدول14[[#This Row],[البرنامج]]="OOSCH",الجدول14[[#This Row],[نوع الجلسة]]=$BZ$7),الجدول14[[#This Row],[عدد الذكور]],0)</f>
        <v>0</v>
      </c>
      <c r="AH65" s="125">
        <f>IF(AND(الجدول14[[#This Row],[البرنامج]]="OOSCH",الجدول14[[#This Row],[نوع الجلسة]]=$BZ$7),الجدول14[[#This Row],[عدد الأناث]],0)</f>
        <v>0</v>
      </c>
      <c r="AI65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65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65" s="126">
        <f>IF(AND(الجدول14[[#This Row],[البرنامج]]="OOSCH",الجدول14[[#This Row],[نوع الجلسة]]=$BZ$4),1,0)</f>
        <v>0</v>
      </c>
      <c r="AL65" s="126">
        <f>IF(AND(الجدول14[[#This Row],[البرنامج]]="OOSCH",الجدول14[[#This Row],[نوع الجلسة]]=$BZ$4),الجدول14[[#This Row],[عدد الذكور]],0)</f>
        <v>0</v>
      </c>
      <c r="AM65" s="126">
        <f>IF(AND(الجدول14[[#This Row],[البرنامج]]="OOSCH",الجدول14[[#This Row],[نوع الجلسة]]=$BZ$4),الجدول14[[#This Row],[عدد الأناث]],0)</f>
        <v>0</v>
      </c>
      <c r="AN65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65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65" s="123">
        <f>IF(AND(الجدول14[[#This Row],[نوع الجلسة]]=$BZ$5,الجدول14[[#This Row],[البرنامج]]=$BX$3),1,0)</f>
        <v>0</v>
      </c>
      <c r="AQ65" s="123">
        <f>IF(AND(الجدول14[[#This Row],[البرنامج]]="PLW",الجدول14[[#This Row],[نوع الجلسة]]=$BZ$5),الجدول14[[#This Row],[عدد الذكور]],0)</f>
        <v>0</v>
      </c>
      <c r="AR65" s="123">
        <f>IF(AND(الجدول14[[#This Row],[البرنامج]]="PLW",الجدول14[[#This Row],[نوع الجلسة]]=$BZ$5),الجدول14[[#This Row],[عدد الأناث]],0)</f>
        <v>0</v>
      </c>
      <c r="AS65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65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65" s="127">
        <f>IF(AND(الجدول14[[#This Row],[نوع الجلسة]]=$BZ$5,الجدول14[[#This Row],[البرنامج]]=$BX$2),1,0)</f>
        <v>0</v>
      </c>
      <c r="AV65" s="127">
        <f>IF(AND(الجدول14[[#This Row],[البرنامج]]="OOSCH",الجدول14[[#This Row],[نوع الجلسة]]=$BZ$5),الجدول14[[#This Row],[عدد الذكور]],0)</f>
        <v>0</v>
      </c>
      <c r="AW65" s="127">
        <f>IF(AND(الجدول14[[#This Row],[البرنامج]]="OOSCH",الجدول14[[#This Row],[نوع الجلسة]]=$BZ$5),الجدول14[[#This Row],[عدد الأناث]],0)</f>
        <v>0</v>
      </c>
      <c r="AX65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65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65" s="121">
        <f>IF(AND(الجدول14[[#This Row],[نوع الجلسة]]=$BZ$6,الجدول14[[#This Row],[البرنامج]]=$BX$3),1,0)</f>
        <v>0</v>
      </c>
      <c r="BA65" s="121">
        <f>IF(AND(الجدول14[[#This Row],[البرنامج]]="PLW",الجدول14[[#This Row],[نوع الجلسة]]=$BZ$6),الجدول14[[#This Row],[عدد الذكور]],0)</f>
        <v>0</v>
      </c>
      <c r="BB65" s="121">
        <f>IF(AND(الجدول14[[#This Row],[البرنامج]]="PLW",الجدول14[[#This Row],[نوع الجلسة]]=$BZ$6),الجدول14[[#This Row],[عدد الأناث]],0)</f>
        <v>0</v>
      </c>
      <c r="BC65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65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65" s="122">
        <f>IF(AND(الجدول14[[#This Row],[نوع الجلسة]]=$BZ$6,الجدول14[[#This Row],[البرنامج]]=$BX$2),1,0)</f>
        <v>0</v>
      </c>
      <c r="BF65" s="122">
        <f>IF(AND(الجدول14[[#This Row],[البرنامج]]="OOSCH",الجدول14[[#This Row],[نوع الجلسة]]=$BZ$6),الجدول14[[#This Row],[عدد الذكور]],0)</f>
        <v>0</v>
      </c>
      <c r="BG65" s="122">
        <f>IF(AND(الجدول14[[#This Row],[البرنامج]]="OOSCH",الجدول14[[#This Row],[نوع الجلسة]]=$BZ$6),الجدول14[[#This Row],[عدد الأناث]],0)</f>
        <v>0</v>
      </c>
      <c r="BH65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65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66" spans="4:61" ht="31.5" customHeight="1" x14ac:dyDescent="0.25">
      <c r="D66" s="9"/>
      <c r="E66" s="9"/>
      <c r="F66" s="9"/>
      <c r="G66" s="9"/>
      <c r="H66" s="9"/>
      <c r="I66" s="9"/>
      <c r="J66" s="9"/>
      <c r="K66" s="9">
        <f>SUM(الجدول14[[#This Row],[عدد الذكور]:[عدد الأناث]])</f>
        <v>0</v>
      </c>
      <c r="L66" s="120">
        <f>IF(AND(الجدول14[[#This Row],[البرنامج]]="PLW",الجدول14[[#This Row],[نوع الجلسة]]=$BZ$2),1,0)</f>
        <v>0</v>
      </c>
      <c r="M66" s="120">
        <f>IF(AND(الجدول14[[#This Row],[نوع الجلسة]]=$BZ$2,الجدول14[[#This Row],[البرنامج]]="PLW"),الجدول14[[#This Row],[عدد الذكور]],0)</f>
        <v>0</v>
      </c>
      <c r="N66" s="120">
        <f>IF(AND(الجدول14[[#This Row],[نوع الجلسة]]=$BZ$2,الجدول14[[#This Row],[البرنامج]]="PLW"),الجدول14[[#This Row],[عدد الأناث]],0)</f>
        <v>0</v>
      </c>
      <c r="O66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66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66" s="123">
        <f>IF(AND(الجدول14[[#This Row],[البرنامج]]="OOSCH",الجدول14[[#This Row],[نوع الجلسة]]=$BZ$2),1,0)</f>
        <v>0</v>
      </c>
      <c r="R66" s="123">
        <f>IF(AND(الجدول14[[#This Row],[البرنامج]]="OOSCH",الجدول14[[#This Row],[نوع الجلسة]]=$BZ$2),الجدول14[[#This Row],[عدد الذكور]],0)</f>
        <v>0</v>
      </c>
      <c r="S66" s="123">
        <f>IF(AND(الجدول14[[#This Row],[البرنامج]]="OOSCH",الجدول14[[#This Row],[نوع الجلسة]]=$BZ$2),الجدول14[[#This Row],[عدد الأناث]],0)</f>
        <v>0</v>
      </c>
      <c r="T66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66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66" s="124">
        <f>IF(AND(الجدول14[[#This Row],[البرنامج]]="PLW",الجدول14[[#This Row],[نوع الجلسة]]="معلومات صحة تغذوية للسيدة الحامل"),1,0)</f>
        <v>0</v>
      </c>
      <c r="W66" s="124">
        <f>IF(AND(الجدول14[[#This Row],[نوع الجلسة]]=$BZ$3,الجدول14[[#This Row],[البرنامج]]="PLW"),الجدول14[[#This Row],[عدد الذكور]],0)</f>
        <v>0</v>
      </c>
      <c r="X66" s="124">
        <f>IF(AND(الجدول14[[#This Row],[نوع الجلسة]]=$BZ$3,الجدول14[[#This Row],[البرنامج]]="PLW"),الجدول14[[#This Row],[عدد الأناث]],0)</f>
        <v>0</v>
      </c>
      <c r="Y66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66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66" s="113">
        <f>IF(AND(الجدول14[[#This Row],[البرنامج]]="PLW",الجدول14[[#This Row],[نوع الجلسة]]=$BZ$4),1,0)</f>
        <v>0</v>
      </c>
      <c r="AB66" s="113">
        <f>IF(AND(الجدول14[[#This Row],[البرنامج]]="PLW",الجدول14[[#This Row],[نوع الجلسة]]=$BZ$4),الجدول14[[#This Row],[عدد الذكور]],0)</f>
        <v>0</v>
      </c>
      <c r="AC66" s="113">
        <f>IF(AND(الجدول14[[#This Row],[البرنامج]]="PLW",الجدول14[[#This Row],[نوع الجلسة]]=$BZ$4),الجدول14[[#This Row],[عدد الأناث]],0)</f>
        <v>0</v>
      </c>
      <c r="AD66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66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66" s="125">
        <f>IF(AND(الجدول14[[#This Row],[البرنامج]]="OOSCH",الجدول14[[#This Row],[نوع الجلسة]]=$BZ$7),1,0)</f>
        <v>0</v>
      </c>
      <c r="AG66" s="125">
        <f>IF(AND(الجدول14[[#This Row],[البرنامج]]="OOSCH",الجدول14[[#This Row],[نوع الجلسة]]=$BZ$7),الجدول14[[#This Row],[عدد الذكور]],0)</f>
        <v>0</v>
      </c>
      <c r="AH66" s="125">
        <f>IF(AND(الجدول14[[#This Row],[البرنامج]]="OOSCH",الجدول14[[#This Row],[نوع الجلسة]]=$BZ$7),الجدول14[[#This Row],[عدد الأناث]],0)</f>
        <v>0</v>
      </c>
      <c r="AI66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66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66" s="126">
        <f>IF(AND(الجدول14[[#This Row],[البرنامج]]="OOSCH",الجدول14[[#This Row],[نوع الجلسة]]=$BZ$4),1,0)</f>
        <v>0</v>
      </c>
      <c r="AL66" s="126">
        <f>IF(AND(الجدول14[[#This Row],[البرنامج]]="OOSCH",الجدول14[[#This Row],[نوع الجلسة]]=$BZ$4),الجدول14[[#This Row],[عدد الذكور]],0)</f>
        <v>0</v>
      </c>
      <c r="AM66" s="126">
        <f>IF(AND(الجدول14[[#This Row],[البرنامج]]="OOSCH",الجدول14[[#This Row],[نوع الجلسة]]=$BZ$4),الجدول14[[#This Row],[عدد الأناث]],0)</f>
        <v>0</v>
      </c>
      <c r="AN66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66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66" s="123">
        <f>IF(AND(الجدول14[[#This Row],[نوع الجلسة]]=$BZ$5,الجدول14[[#This Row],[البرنامج]]=$BX$3),1,0)</f>
        <v>0</v>
      </c>
      <c r="AQ66" s="123">
        <f>IF(AND(الجدول14[[#This Row],[البرنامج]]="PLW",الجدول14[[#This Row],[نوع الجلسة]]=$BZ$5),الجدول14[[#This Row],[عدد الذكور]],0)</f>
        <v>0</v>
      </c>
      <c r="AR66" s="123">
        <f>IF(AND(الجدول14[[#This Row],[البرنامج]]="PLW",الجدول14[[#This Row],[نوع الجلسة]]=$BZ$5),الجدول14[[#This Row],[عدد الأناث]],0)</f>
        <v>0</v>
      </c>
      <c r="AS66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66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66" s="127">
        <f>IF(AND(الجدول14[[#This Row],[نوع الجلسة]]=$BZ$5,الجدول14[[#This Row],[البرنامج]]=$BX$2),1,0)</f>
        <v>0</v>
      </c>
      <c r="AV66" s="127">
        <f>IF(AND(الجدول14[[#This Row],[البرنامج]]="OOSCH",الجدول14[[#This Row],[نوع الجلسة]]=$BZ$5),الجدول14[[#This Row],[عدد الذكور]],0)</f>
        <v>0</v>
      </c>
      <c r="AW66" s="127">
        <f>IF(AND(الجدول14[[#This Row],[البرنامج]]="OOSCH",الجدول14[[#This Row],[نوع الجلسة]]=$BZ$5),الجدول14[[#This Row],[عدد الأناث]],0)</f>
        <v>0</v>
      </c>
      <c r="AX66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66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66" s="121">
        <f>IF(AND(الجدول14[[#This Row],[نوع الجلسة]]=$BZ$6,الجدول14[[#This Row],[البرنامج]]=$BX$3),1,0)</f>
        <v>0</v>
      </c>
      <c r="BA66" s="121">
        <f>IF(AND(الجدول14[[#This Row],[البرنامج]]="PLW",الجدول14[[#This Row],[نوع الجلسة]]=$BZ$6),الجدول14[[#This Row],[عدد الذكور]],0)</f>
        <v>0</v>
      </c>
      <c r="BB66" s="121">
        <f>IF(AND(الجدول14[[#This Row],[البرنامج]]="PLW",الجدول14[[#This Row],[نوع الجلسة]]=$BZ$6),الجدول14[[#This Row],[عدد الأناث]],0)</f>
        <v>0</v>
      </c>
      <c r="BC66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66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66" s="122">
        <f>IF(AND(الجدول14[[#This Row],[نوع الجلسة]]=$BZ$6,الجدول14[[#This Row],[البرنامج]]=$BX$2),1,0)</f>
        <v>0</v>
      </c>
      <c r="BF66" s="122">
        <f>IF(AND(الجدول14[[#This Row],[البرنامج]]="OOSCH",الجدول14[[#This Row],[نوع الجلسة]]=$BZ$6),الجدول14[[#This Row],[عدد الذكور]],0)</f>
        <v>0</v>
      </c>
      <c r="BG66" s="122">
        <f>IF(AND(الجدول14[[#This Row],[البرنامج]]="OOSCH",الجدول14[[#This Row],[نوع الجلسة]]=$BZ$6),الجدول14[[#This Row],[عدد الأناث]],0)</f>
        <v>0</v>
      </c>
      <c r="BH66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66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67" spans="4:61" ht="31.5" customHeight="1" x14ac:dyDescent="0.25">
      <c r="D67" s="9"/>
      <c r="E67" s="9"/>
      <c r="F67" s="9"/>
      <c r="G67" s="9"/>
      <c r="H67" s="9"/>
      <c r="I67" s="9"/>
      <c r="J67" s="9"/>
      <c r="K67" s="9">
        <f>SUM(الجدول14[[#This Row],[عدد الذكور]:[عدد الأناث]])</f>
        <v>0</v>
      </c>
      <c r="L67" s="120">
        <f>IF(AND(الجدول14[[#This Row],[البرنامج]]="PLW",الجدول14[[#This Row],[نوع الجلسة]]=$BZ$2),1,0)</f>
        <v>0</v>
      </c>
      <c r="M67" s="120">
        <f>IF(AND(الجدول14[[#This Row],[نوع الجلسة]]=$BZ$2,الجدول14[[#This Row],[البرنامج]]="PLW"),الجدول14[[#This Row],[عدد الذكور]],0)</f>
        <v>0</v>
      </c>
      <c r="N67" s="120">
        <f>IF(AND(الجدول14[[#This Row],[نوع الجلسة]]=$BZ$2,الجدول14[[#This Row],[البرنامج]]="PLW"),الجدول14[[#This Row],[عدد الأناث]],0)</f>
        <v>0</v>
      </c>
      <c r="O67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67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67" s="123">
        <f>IF(AND(الجدول14[[#This Row],[البرنامج]]="OOSCH",الجدول14[[#This Row],[نوع الجلسة]]=$BZ$2),1,0)</f>
        <v>0</v>
      </c>
      <c r="R67" s="123">
        <f>IF(AND(الجدول14[[#This Row],[البرنامج]]="OOSCH",الجدول14[[#This Row],[نوع الجلسة]]=$BZ$2),الجدول14[[#This Row],[عدد الذكور]],0)</f>
        <v>0</v>
      </c>
      <c r="S67" s="123">
        <f>IF(AND(الجدول14[[#This Row],[البرنامج]]="OOSCH",الجدول14[[#This Row],[نوع الجلسة]]=$BZ$2),الجدول14[[#This Row],[عدد الأناث]],0)</f>
        <v>0</v>
      </c>
      <c r="T67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67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67" s="124">
        <f>IF(AND(الجدول14[[#This Row],[البرنامج]]="PLW",الجدول14[[#This Row],[نوع الجلسة]]="معلومات صحة تغذوية للسيدة الحامل"),1,0)</f>
        <v>0</v>
      </c>
      <c r="W67" s="124">
        <f>IF(AND(الجدول14[[#This Row],[نوع الجلسة]]=$BZ$3,الجدول14[[#This Row],[البرنامج]]="PLW"),الجدول14[[#This Row],[عدد الذكور]],0)</f>
        <v>0</v>
      </c>
      <c r="X67" s="124">
        <f>IF(AND(الجدول14[[#This Row],[نوع الجلسة]]=$BZ$3,الجدول14[[#This Row],[البرنامج]]="PLW"),الجدول14[[#This Row],[عدد الأناث]],0)</f>
        <v>0</v>
      </c>
      <c r="Y67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67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67" s="113">
        <f>IF(AND(الجدول14[[#This Row],[البرنامج]]="PLW",الجدول14[[#This Row],[نوع الجلسة]]=$BZ$4),1,0)</f>
        <v>0</v>
      </c>
      <c r="AB67" s="113">
        <f>IF(AND(الجدول14[[#This Row],[البرنامج]]="PLW",الجدول14[[#This Row],[نوع الجلسة]]=$BZ$4),الجدول14[[#This Row],[عدد الذكور]],0)</f>
        <v>0</v>
      </c>
      <c r="AC67" s="113">
        <f>IF(AND(الجدول14[[#This Row],[البرنامج]]="PLW",الجدول14[[#This Row],[نوع الجلسة]]=$BZ$4),الجدول14[[#This Row],[عدد الأناث]],0)</f>
        <v>0</v>
      </c>
      <c r="AD67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67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67" s="125">
        <f>IF(AND(الجدول14[[#This Row],[البرنامج]]="OOSCH",الجدول14[[#This Row],[نوع الجلسة]]=$BZ$7),1,0)</f>
        <v>0</v>
      </c>
      <c r="AG67" s="125">
        <f>IF(AND(الجدول14[[#This Row],[البرنامج]]="OOSCH",الجدول14[[#This Row],[نوع الجلسة]]=$BZ$7),الجدول14[[#This Row],[عدد الذكور]],0)</f>
        <v>0</v>
      </c>
      <c r="AH67" s="125">
        <f>IF(AND(الجدول14[[#This Row],[البرنامج]]="OOSCH",الجدول14[[#This Row],[نوع الجلسة]]=$BZ$7),الجدول14[[#This Row],[عدد الأناث]],0)</f>
        <v>0</v>
      </c>
      <c r="AI67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67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67" s="126">
        <f>IF(AND(الجدول14[[#This Row],[البرنامج]]="OOSCH",الجدول14[[#This Row],[نوع الجلسة]]=$BZ$4),1,0)</f>
        <v>0</v>
      </c>
      <c r="AL67" s="126">
        <f>IF(AND(الجدول14[[#This Row],[البرنامج]]="OOSCH",الجدول14[[#This Row],[نوع الجلسة]]=$BZ$4),الجدول14[[#This Row],[عدد الذكور]],0)</f>
        <v>0</v>
      </c>
      <c r="AM67" s="126">
        <f>IF(AND(الجدول14[[#This Row],[البرنامج]]="OOSCH",الجدول14[[#This Row],[نوع الجلسة]]=$BZ$4),الجدول14[[#This Row],[عدد الأناث]],0)</f>
        <v>0</v>
      </c>
      <c r="AN67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67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67" s="123">
        <f>IF(AND(الجدول14[[#This Row],[نوع الجلسة]]=$BZ$5,الجدول14[[#This Row],[البرنامج]]=$BX$3),1,0)</f>
        <v>0</v>
      </c>
      <c r="AQ67" s="123">
        <f>IF(AND(الجدول14[[#This Row],[البرنامج]]="PLW",الجدول14[[#This Row],[نوع الجلسة]]=$BZ$5),الجدول14[[#This Row],[عدد الذكور]],0)</f>
        <v>0</v>
      </c>
      <c r="AR67" s="123">
        <f>IF(AND(الجدول14[[#This Row],[البرنامج]]="PLW",الجدول14[[#This Row],[نوع الجلسة]]=$BZ$5),الجدول14[[#This Row],[عدد الأناث]],0)</f>
        <v>0</v>
      </c>
      <c r="AS67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67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67" s="127">
        <f>IF(AND(الجدول14[[#This Row],[نوع الجلسة]]=$BZ$5,الجدول14[[#This Row],[البرنامج]]=$BX$2),1,0)</f>
        <v>0</v>
      </c>
      <c r="AV67" s="127">
        <f>IF(AND(الجدول14[[#This Row],[البرنامج]]="OOSCH",الجدول14[[#This Row],[نوع الجلسة]]=$BZ$5),الجدول14[[#This Row],[عدد الذكور]],0)</f>
        <v>0</v>
      </c>
      <c r="AW67" s="127">
        <f>IF(AND(الجدول14[[#This Row],[البرنامج]]="OOSCH",الجدول14[[#This Row],[نوع الجلسة]]=$BZ$5),الجدول14[[#This Row],[عدد الأناث]],0)</f>
        <v>0</v>
      </c>
      <c r="AX67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67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67" s="121">
        <f>IF(AND(الجدول14[[#This Row],[نوع الجلسة]]=$BZ$6,الجدول14[[#This Row],[البرنامج]]=$BX$3),1,0)</f>
        <v>0</v>
      </c>
      <c r="BA67" s="121">
        <f>IF(AND(الجدول14[[#This Row],[البرنامج]]="PLW",الجدول14[[#This Row],[نوع الجلسة]]=$BZ$6),الجدول14[[#This Row],[عدد الذكور]],0)</f>
        <v>0</v>
      </c>
      <c r="BB67" s="121">
        <f>IF(AND(الجدول14[[#This Row],[البرنامج]]="PLW",الجدول14[[#This Row],[نوع الجلسة]]=$BZ$6),الجدول14[[#This Row],[عدد الأناث]],0)</f>
        <v>0</v>
      </c>
      <c r="BC67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67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67" s="122">
        <f>IF(AND(الجدول14[[#This Row],[نوع الجلسة]]=$BZ$6,الجدول14[[#This Row],[البرنامج]]=$BX$2),1,0)</f>
        <v>0</v>
      </c>
      <c r="BF67" s="122">
        <f>IF(AND(الجدول14[[#This Row],[البرنامج]]="OOSCH",الجدول14[[#This Row],[نوع الجلسة]]=$BZ$6),الجدول14[[#This Row],[عدد الذكور]],0)</f>
        <v>0</v>
      </c>
      <c r="BG67" s="122">
        <f>IF(AND(الجدول14[[#This Row],[البرنامج]]="OOSCH",الجدول14[[#This Row],[نوع الجلسة]]=$BZ$6),الجدول14[[#This Row],[عدد الأناث]],0)</f>
        <v>0</v>
      </c>
      <c r="BH67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67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68" spans="4:61" ht="31.5" customHeight="1" x14ac:dyDescent="0.25">
      <c r="D68" s="9"/>
      <c r="E68" s="9"/>
      <c r="F68" s="9"/>
      <c r="G68" s="9"/>
      <c r="H68" s="9"/>
      <c r="I68" s="9"/>
      <c r="J68" s="9"/>
      <c r="K68" s="9">
        <f>SUM(الجدول14[[#This Row],[عدد الذكور]:[عدد الأناث]])</f>
        <v>0</v>
      </c>
      <c r="L68" s="120">
        <f>IF(AND(الجدول14[[#This Row],[البرنامج]]="PLW",الجدول14[[#This Row],[نوع الجلسة]]=$BZ$2),1,0)</f>
        <v>0</v>
      </c>
      <c r="M68" s="120">
        <f>IF(AND(الجدول14[[#This Row],[نوع الجلسة]]=$BZ$2,الجدول14[[#This Row],[البرنامج]]="PLW"),الجدول14[[#This Row],[عدد الذكور]],0)</f>
        <v>0</v>
      </c>
      <c r="N68" s="120">
        <f>IF(AND(الجدول14[[#This Row],[نوع الجلسة]]=$BZ$2,الجدول14[[#This Row],[البرنامج]]="PLW"),الجدول14[[#This Row],[عدد الأناث]],0)</f>
        <v>0</v>
      </c>
      <c r="O68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68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68" s="123">
        <f>IF(AND(الجدول14[[#This Row],[البرنامج]]="OOSCH",الجدول14[[#This Row],[نوع الجلسة]]=$BZ$2),1,0)</f>
        <v>0</v>
      </c>
      <c r="R68" s="123">
        <f>IF(AND(الجدول14[[#This Row],[البرنامج]]="OOSCH",الجدول14[[#This Row],[نوع الجلسة]]=$BZ$2),الجدول14[[#This Row],[عدد الذكور]],0)</f>
        <v>0</v>
      </c>
      <c r="S68" s="123">
        <f>IF(AND(الجدول14[[#This Row],[البرنامج]]="OOSCH",الجدول14[[#This Row],[نوع الجلسة]]=$BZ$2),الجدول14[[#This Row],[عدد الأناث]],0)</f>
        <v>0</v>
      </c>
      <c r="T68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68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68" s="124">
        <f>IF(AND(الجدول14[[#This Row],[البرنامج]]="PLW",الجدول14[[#This Row],[نوع الجلسة]]="معلومات صحة تغذوية للسيدة الحامل"),1,0)</f>
        <v>0</v>
      </c>
      <c r="W68" s="124">
        <f>IF(AND(الجدول14[[#This Row],[نوع الجلسة]]=$BZ$3,الجدول14[[#This Row],[البرنامج]]="PLW"),الجدول14[[#This Row],[عدد الذكور]],0)</f>
        <v>0</v>
      </c>
      <c r="X68" s="124">
        <f>IF(AND(الجدول14[[#This Row],[نوع الجلسة]]=$BZ$3,الجدول14[[#This Row],[البرنامج]]="PLW"),الجدول14[[#This Row],[عدد الأناث]],0)</f>
        <v>0</v>
      </c>
      <c r="Y68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68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68" s="113">
        <f>IF(AND(الجدول14[[#This Row],[البرنامج]]="PLW",الجدول14[[#This Row],[نوع الجلسة]]=$BZ$4),1,0)</f>
        <v>0</v>
      </c>
      <c r="AB68" s="113">
        <f>IF(AND(الجدول14[[#This Row],[البرنامج]]="PLW",الجدول14[[#This Row],[نوع الجلسة]]=$BZ$4),الجدول14[[#This Row],[عدد الذكور]],0)</f>
        <v>0</v>
      </c>
      <c r="AC68" s="113">
        <f>IF(AND(الجدول14[[#This Row],[البرنامج]]="PLW",الجدول14[[#This Row],[نوع الجلسة]]=$BZ$4),الجدول14[[#This Row],[عدد الأناث]],0)</f>
        <v>0</v>
      </c>
      <c r="AD68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68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68" s="125">
        <f>IF(AND(الجدول14[[#This Row],[البرنامج]]="OOSCH",الجدول14[[#This Row],[نوع الجلسة]]=$BZ$7),1,0)</f>
        <v>0</v>
      </c>
      <c r="AG68" s="125">
        <f>IF(AND(الجدول14[[#This Row],[البرنامج]]="OOSCH",الجدول14[[#This Row],[نوع الجلسة]]=$BZ$7),الجدول14[[#This Row],[عدد الذكور]],0)</f>
        <v>0</v>
      </c>
      <c r="AH68" s="125">
        <f>IF(AND(الجدول14[[#This Row],[البرنامج]]="OOSCH",الجدول14[[#This Row],[نوع الجلسة]]=$BZ$7),الجدول14[[#This Row],[عدد الأناث]],0)</f>
        <v>0</v>
      </c>
      <c r="AI68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68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68" s="126">
        <f>IF(AND(الجدول14[[#This Row],[البرنامج]]="OOSCH",الجدول14[[#This Row],[نوع الجلسة]]=$BZ$4),1,0)</f>
        <v>0</v>
      </c>
      <c r="AL68" s="126">
        <f>IF(AND(الجدول14[[#This Row],[البرنامج]]="OOSCH",الجدول14[[#This Row],[نوع الجلسة]]=$BZ$4),الجدول14[[#This Row],[عدد الذكور]],0)</f>
        <v>0</v>
      </c>
      <c r="AM68" s="126">
        <f>IF(AND(الجدول14[[#This Row],[البرنامج]]="OOSCH",الجدول14[[#This Row],[نوع الجلسة]]=$BZ$4),الجدول14[[#This Row],[عدد الأناث]],0)</f>
        <v>0</v>
      </c>
      <c r="AN68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68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68" s="123">
        <f>IF(AND(الجدول14[[#This Row],[نوع الجلسة]]=$BZ$5,الجدول14[[#This Row],[البرنامج]]=$BX$3),1,0)</f>
        <v>0</v>
      </c>
      <c r="AQ68" s="123">
        <f>IF(AND(الجدول14[[#This Row],[البرنامج]]="PLW",الجدول14[[#This Row],[نوع الجلسة]]=$BZ$5),الجدول14[[#This Row],[عدد الذكور]],0)</f>
        <v>0</v>
      </c>
      <c r="AR68" s="123">
        <f>IF(AND(الجدول14[[#This Row],[البرنامج]]="PLW",الجدول14[[#This Row],[نوع الجلسة]]=$BZ$5),الجدول14[[#This Row],[عدد الأناث]],0)</f>
        <v>0</v>
      </c>
      <c r="AS68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68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68" s="127">
        <f>IF(AND(الجدول14[[#This Row],[نوع الجلسة]]=$BZ$5,الجدول14[[#This Row],[البرنامج]]=$BX$2),1,0)</f>
        <v>0</v>
      </c>
      <c r="AV68" s="127">
        <f>IF(AND(الجدول14[[#This Row],[البرنامج]]="OOSCH",الجدول14[[#This Row],[نوع الجلسة]]=$BZ$5),الجدول14[[#This Row],[عدد الذكور]],0)</f>
        <v>0</v>
      </c>
      <c r="AW68" s="127">
        <f>IF(AND(الجدول14[[#This Row],[البرنامج]]="OOSCH",الجدول14[[#This Row],[نوع الجلسة]]=$BZ$5),الجدول14[[#This Row],[عدد الأناث]],0)</f>
        <v>0</v>
      </c>
      <c r="AX68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68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68" s="121">
        <f>IF(AND(الجدول14[[#This Row],[نوع الجلسة]]=$BZ$6,الجدول14[[#This Row],[البرنامج]]=$BX$3),1,0)</f>
        <v>0</v>
      </c>
      <c r="BA68" s="121">
        <f>IF(AND(الجدول14[[#This Row],[البرنامج]]="PLW",الجدول14[[#This Row],[نوع الجلسة]]=$BZ$6),الجدول14[[#This Row],[عدد الذكور]],0)</f>
        <v>0</v>
      </c>
      <c r="BB68" s="121">
        <f>IF(AND(الجدول14[[#This Row],[البرنامج]]="PLW",الجدول14[[#This Row],[نوع الجلسة]]=$BZ$6),الجدول14[[#This Row],[عدد الأناث]],0)</f>
        <v>0</v>
      </c>
      <c r="BC68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68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68" s="122">
        <f>IF(AND(الجدول14[[#This Row],[نوع الجلسة]]=$BZ$6,الجدول14[[#This Row],[البرنامج]]=$BX$2),1,0)</f>
        <v>0</v>
      </c>
      <c r="BF68" s="122">
        <f>IF(AND(الجدول14[[#This Row],[البرنامج]]="OOSCH",الجدول14[[#This Row],[نوع الجلسة]]=$BZ$6),الجدول14[[#This Row],[عدد الذكور]],0)</f>
        <v>0</v>
      </c>
      <c r="BG68" s="122">
        <f>IF(AND(الجدول14[[#This Row],[البرنامج]]="OOSCH",الجدول14[[#This Row],[نوع الجلسة]]=$BZ$6),الجدول14[[#This Row],[عدد الأناث]],0)</f>
        <v>0</v>
      </c>
      <c r="BH68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68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69" spans="4:61" ht="31.5" customHeight="1" x14ac:dyDescent="0.25">
      <c r="D69" s="9"/>
      <c r="E69" s="9"/>
      <c r="F69" s="9"/>
      <c r="G69" s="9"/>
      <c r="H69" s="9"/>
      <c r="I69" s="9"/>
      <c r="J69" s="9"/>
      <c r="K69" s="9">
        <f>SUM(الجدول14[[#This Row],[عدد الذكور]:[عدد الأناث]])</f>
        <v>0</v>
      </c>
      <c r="L69" s="120">
        <f>IF(AND(الجدول14[[#This Row],[البرنامج]]="PLW",الجدول14[[#This Row],[نوع الجلسة]]=$BZ$2),1,0)</f>
        <v>0</v>
      </c>
      <c r="M69" s="120">
        <f>IF(AND(الجدول14[[#This Row],[نوع الجلسة]]=$BZ$2,الجدول14[[#This Row],[البرنامج]]="PLW"),الجدول14[[#This Row],[عدد الذكور]],0)</f>
        <v>0</v>
      </c>
      <c r="N69" s="120">
        <f>IF(AND(الجدول14[[#This Row],[نوع الجلسة]]=$BZ$2,الجدول14[[#This Row],[البرنامج]]="PLW"),الجدول14[[#This Row],[عدد الأناث]],0)</f>
        <v>0</v>
      </c>
      <c r="O69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69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69" s="123">
        <f>IF(AND(الجدول14[[#This Row],[البرنامج]]="OOSCH",الجدول14[[#This Row],[نوع الجلسة]]=$BZ$2),1,0)</f>
        <v>0</v>
      </c>
      <c r="R69" s="123">
        <f>IF(AND(الجدول14[[#This Row],[البرنامج]]="OOSCH",الجدول14[[#This Row],[نوع الجلسة]]=$BZ$2),الجدول14[[#This Row],[عدد الذكور]],0)</f>
        <v>0</v>
      </c>
      <c r="S69" s="123">
        <f>IF(AND(الجدول14[[#This Row],[البرنامج]]="OOSCH",الجدول14[[#This Row],[نوع الجلسة]]=$BZ$2),الجدول14[[#This Row],[عدد الأناث]],0)</f>
        <v>0</v>
      </c>
      <c r="T69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69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69" s="124">
        <f>IF(AND(الجدول14[[#This Row],[البرنامج]]="PLW",الجدول14[[#This Row],[نوع الجلسة]]="معلومات صحة تغذوية للسيدة الحامل"),1,0)</f>
        <v>0</v>
      </c>
      <c r="W69" s="124">
        <f>IF(AND(الجدول14[[#This Row],[نوع الجلسة]]=$BZ$3,الجدول14[[#This Row],[البرنامج]]="PLW"),الجدول14[[#This Row],[عدد الذكور]],0)</f>
        <v>0</v>
      </c>
      <c r="X69" s="124">
        <f>IF(AND(الجدول14[[#This Row],[نوع الجلسة]]=$BZ$3,الجدول14[[#This Row],[البرنامج]]="PLW"),الجدول14[[#This Row],[عدد الأناث]],0)</f>
        <v>0</v>
      </c>
      <c r="Y69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69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69" s="113">
        <f>IF(AND(الجدول14[[#This Row],[البرنامج]]="PLW",الجدول14[[#This Row],[نوع الجلسة]]=$BZ$4),1,0)</f>
        <v>0</v>
      </c>
      <c r="AB69" s="113">
        <f>IF(AND(الجدول14[[#This Row],[البرنامج]]="PLW",الجدول14[[#This Row],[نوع الجلسة]]=$BZ$4),الجدول14[[#This Row],[عدد الذكور]],0)</f>
        <v>0</v>
      </c>
      <c r="AC69" s="113">
        <f>IF(AND(الجدول14[[#This Row],[البرنامج]]="PLW",الجدول14[[#This Row],[نوع الجلسة]]=$BZ$4),الجدول14[[#This Row],[عدد الأناث]],0)</f>
        <v>0</v>
      </c>
      <c r="AD69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69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69" s="125">
        <f>IF(AND(الجدول14[[#This Row],[البرنامج]]="OOSCH",الجدول14[[#This Row],[نوع الجلسة]]=$BZ$7),1,0)</f>
        <v>0</v>
      </c>
      <c r="AG69" s="125">
        <f>IF(AND(الجدول14[[#This Row],[البرنامج]]="OOSCH",الجدول14[[#This Row],[نوع الجلسة]]=$BZ$7),الجدول14[[#This Row],[عدد الذكور]],0)</f>
        <v>0</v>
      </c>
      <c r="AH69" s="125">
        <f>IF(AND(الجدول14[[#This Row],[البرنامج]]="OOSCH",الجدول14[[#This Row],[نوع الجلسة]]=$BZ$7),الجدول14[[#This Row],[عدد الأناث]],0)</f>
        <v>0</v>
      </c>
      <c r="AI69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69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69" s="126">
        <f>IF(AND(الجدول14[[#This Row],[البرنامج]]="OOSCH",الجدول14[[#This Row],[نوع الجلسة]]=$BZ$4),1,0)</f>
        <v>0</v>
      </c>
      <c r="AL69" s="126">
        <f>IF(AND(الجدول14[[#This Row],[البرنامج]]="OOSCH",الجدول14[[#This Row],[نوع الجلسة]]=$BZ$4),الجدول14[[#This Row],[عدد الذكور]],0)</f>
        <v>0</v>
      </c>
      <c r="AM69" s="126">
        <f>IF(AND(الجدول14[[#This Row],[البرنامج]]="OOSCH",الجدول14[[#This Row],[نوع الجلسة]]=$BZ$4),الجدول14[[#This Row],[عدد الأناث]],0)</f>
        <v>0</v>
      </c>
      <c r="AN69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69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69" s="123">
        <f>IF(AND(الجدول14[[#This Row],[نوع الجلسة]]=$BZ$5,الجدول14[[#This Row],[البرنامج]]=$BX$3),1,0)</f>
        <v>0</v>
      </c>
      <c r="AQ69" s="123">
        <f>IF(AND(الجدول14[[#This Row],[البرنامج]]="PLW",الجدول14[[#This Row],[نوع الجلسة]]=$BZ$5),الجدول14[[#This Row],[عدد الذكور]],0)</f>
        <v>0</v>
      </c>
      <c r="AR69" s="123">
        <f>IF(AND(الجدول14[[#This Row],[البرنامج]]="PLW",الجدول14[[#This Row],[نوع الجلسة]]=$BZ$5),الجدول14[[#This Row],[عدد الأناث]],0)</f>
        <v>0</v>
      </c>
      <c r="AS69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69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69" s="127">
        <f>IF(AND(الجدول14[[#This Row],[نوع الجلسة]]=$BZ$5,الجدول14[[#This Row],[البرنامج]]=$BX$2),1,0)</f>
        <v>0</v>
      </c>
      <c r="AV69" s="127">
        <f>IF(AND(الجدول14[[#This Row],[البرنامج]]="OOSCH",الجدول14[[#This Row],[نوع الجلسة]]=$BZ$5),الجدول14[[#This Row],[عدد الذكور]],0)</f>
        <v>0</v>
      </c>
      <c r="AW69" s="127">
        <f>IF(AND(الجدول14[[#This Row],[البرنامج]]="OOSCH",الجدول14[[#This Row],[نوع الجلسة]]=$BZ$5),الجدول14[[#This Row],[عدد الأناث]],0)</f>
        <v>0</v>
      </c>
      <c r="AX69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69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69" s="121">
        <f>IF(AND(الجدول14[[#This Row],[نوع الجلسة]]=$BZ$6,الجدول14[[#This Row],[البرنامج]]=$BX$3),1,0)</f>
        <v>0</v>
      </c>
      <c r="BA69" s="121">
        <f>IF(AND(الجدول14[[#This Row],[البرنامج]]="PLW",الجدول14[[#This Row],[نوع الجلسة]]=$BZ$6),الجدول14[[#This Row],[عدد الذكور]],0)</f>
        <v>0</v>
      </c>
      <c r="BB69" s="121">
        <f>IF(AND(الجدول14[[#This Row],[البرنامج]]="PLW",الجدول14[[#This Row],[نوع الجلسة]]=$BZ$6),الجدول14[[#This Row],[عدد الأناث]],0)</f>
        <v>0</v>
      </c>
      <c r="BC69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69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69" s="122">
        <f>IF(AND(الجدول14[[#This Row],[نوع الجلسة]]=$BZ$6,الجدول14[[#This Row],[البرنامج]]=$BX$2),1,0)</f>
        <v>0</v>
      </c>
      <c r="BF69" s="122">
        <f>IF(AND(الجدول14[[#This Row],[البرنامج]]="OOSCH",الجدول14[[#This Row],[نوع الجلسة]]=$BZ$6),الجدول14[[#This Row],[عدد الذكور]],0)</f>
        <v>0</v>
      </c>
      <c r="BG69" s="122">
        <f>IF(AND(الجدول14[[#This Row],[البرنامج]]="OOSCH",الجدول14[[#This Row],[نوع الجلسة]]=$BZ$6),الجدول14[[#This Row],[عدد الأناث]],0)</f>
        <v>0</v>
      </c>
      <c r="BH69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69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70" spans="4:61" ht="31.5" customHeight="1" x14ac:dyDescent="0.25">
      <c r="D70" s="9"/>
      <c r="E70" s="9"/>
      <c r="F70" s="9"/>
      <c r="G70" s="9"/>
      <c r="H70" s="9"/>
      <c r="I70" s="9"/>
      <c r="J70" s="9"/>
      <c r="K70" s="9">
        <f>SUM(الجدول14[[#This Row],[عدد الذكور]:[عدد الأناث]])</f>
        <v>0</v>
      </c>
      <c r="L70" s="120">
        <f>IF(AND(الجدول14[[#This Row],[البرنامج]]="PLW",الجدول14[[#This Row],[نوع الجلسة]]=$BZ$2),1,0)</f>
        <v>0</v>
      </c>
      <c r="M70" s="120">
        <f>IF(AND(الجدول14[[#This Row],[نوع الجلسة]]=$BZ$2,الجدول14[[#This Row],[البرنامج]]="PLW"),الجدول14[[#This Row],[عدد الذكور]],0)</f>
        <v>0</v>
      </c>
      <c r="N70" s="120">
        <f>IF(AND(الجدول14[[#This Row],[نوع الجلسة]]=$BZ$2,الجدول14[[#This Row],[البرنامج]]="PLW"),الجدول14[[#This Row],[عدد الأناث]],0)</f>
        <v>0</v>
      </c>
      <c r="O70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70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70" s="123">
        <f>IF(AND(الجدول14[[#This Row],[البرنامج]]="OOSCH",الجدول14[[#This Row],[نوع الجلسة]]=$BZ$2),1,0)</f>
        <v>0</v>
      </c>
      <c r="R70" s="123">
        <f>IF(AND(الجدول14[[#This Row],[البرنامج]]="OOSCH",الجدول14[[#This Row],[نوع الجلسة]]=$BZ$2),الجدول14[[#This Row],[عدد الذكور]],0)</f>
        <v>0</v>
      </c>
      <c r="S70" s="123">
        <f>IF(AND(الجدول14[[#This Row],[البرنامج]]="OOSCH",الجدول14[[#This Row],[نوع الجلسة]]=$BZ$2),الجدول14[[#This Row],[عدد الأناث]],0)</f>
        <v>0</v>
      </c>
      <c r="T70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70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70" s="124">
        <f>IF(AND(الجدول14[[#This Row],[البرنامج]]="PLW",الجدول14[[#This Row],[نوع الجلسة]]="معلومات صحة تغذوية للسيدة الحامل"),1,0)</f>
        <v>0</v>
      </c>
      <c r="W70" s="124">
        <f>IF(AND(الجدول14[[#This Row],[نوع الجلسة]]=$BZ$3,الجدول14[[#This Row],[البرنامج]]="PLW"),الجدول14[[#This Row],[عدد الذكور]],0)</f>
        <v>0</v>
      </c>
      <c r="X70" s="124">
        <f>IF(AND(الجدول14[[#This Row],[نوع الجلسة]]=$BZ$3,الجدول14[[#This Row],[البرنامج]]="PLW"),الجدول14[[#This Row],[عدد الأناث]],0)</f>
        <v>0</v>
      </c>
      <c r="Y70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70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70" s="113">
        <f>IF(AND(الجدول14[[#This Row],[البرنامج]]="PLW",الجدول14[[#This Row],[نوع الجلسة]]=$BZ$4),1,0)</f>
        <v>0</v>
      </c>
      <c r="AB70" s="113">
        <f>IF(AND(الجدول14[[#This Row],[البرنامج]]="PLW",الجدول14[[#This Row],[نوع الجلسة]]=$BZ$4),الجدول14[[#This Row],[عدد الذكور]],0)</f>
        <v>0</v>
      </c>
      <c r="AC70" s="113">
        <f>IF(AND(الجدول14[[#This Row],[البرنامج]]="PLW",الجدول14[[#This Row],[نوع الجلسة]]=$BZ$4),الجدول14[[#This Row],[عدد الأناث]],0)</f>
        <v>0</v>
      </c>
      <c r="AD70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70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70" s="125">
        <f>IF(AND(الجدول14[[#This Row],[البرنامج]]="OOSCH",الجدول14[[#This Row],[نوع الجلسة]]=$BZ$7),1,0)</f>
        <v>0</v>
      </c>
      <c r="AG70" s="125">
        <f>IF(AND(الجدول14[[#This Row],[البرنامج]]="OOSCH",الجدول14[[#This Row],[نوع الجلسة]]=$BZ$7),الجدول14[[#This Row],[عدد الذكور]],0)</f>
        <v>0</v>
      </c>
      <c r="AH70" s="125">
        <f>IF(AND(الجدول14[[#This Row],[البرنامج]]="OOSCH",الجدول14[[#This Row],[نوع الجلسة]]=$BZ$7),الجدول14[[#This Row],[عدد الأناث]],0)</f>
        <v>0</v>
      </c>
      <c r="AI70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70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70" s="126">
        <f>IF(AND(الجدول14[[#This Row],[البرنامج]]="OOSCH",الجدول14[[#This Row],[نوع الجلسة]]=$BZ$4),1,0)</f>
        <v>0</v>
      </c>
      <c r="AL70" s="126">
        <f>IF(AND(الجدول14[[#This Row],[البرنامج]]="OOSCH",الجدول14[[#This Row],[نوع الجلسة]]=$BZ$4),الجدول14[[#This Row],[عدد الذكور]],0)</f>
        <v>0</v>
      </c>
      <c r="AM70" s="126">
        <f>IF(AND(الجدول14[[#This Row],[البرنامج]]="OOSCH",الجدول14[[#This Row],[نوع الجلسة]]=$BZ$4),الجدول14[[#This Row],[عدد الأناث]],0)</f>
        <v>0</v>
      </c>
      <c r="AN70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70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70" s="123">
        <f>IF(AND(الجدول14[[#This Row],[نوع الجلسة]]=$BZ$5,الجدول14[[#This Row],[البرنامج]]=$BX$3),1,0)</f>
        <v>0</v>
      </c>
      <c r="AQ70" s="123">
        <f>IF(AND(الجدول14[[#This Row],[البرنامج]]="PLW",الجدول14[[#This Row],[نوع الجلسة]]=$BZ$5),الجدول14[[#This Row],[عدد الذكور]],0)</f>
        <v>0</v>
      </c>
      <c r="AR70" s="123">
        <f>IF(AND(الجدول14[[#This Row],[البرنامج]]="PLW",الجدول14[[#This Row],[نوع الجلسة]]=$BZ$5),الجدول14[[#This Row],[عدد الأناث]],0)</f>
        <v>0</v>
      </c>
      <c r="AS70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70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70" s="127">
        <f>IF(AND(الجدول14[[#This Row],[نوع الجلسة]]=$BZ$5,الجدول14[[#This Row],[البرنامج]]=$BX$2),1,0)</f>
        <v>0</v>
      </c>
      <c r="AV70" s="127">
        <f>IF(AND(الجدول14[[#This Row],[البرنامج]]="OOSCH",الجدول14[[#This Row],[نوع الجلسة]]=$BZ$5),الجدول14[[#This Row],[عدد الذكور]],0)</f>
        <v>0</v>
      </c>
      <c r="AW70" s="127">
        <f>IF(AND(الجدول14[[#This Row],[البرنامج]]="OOSCH",الجدول14[[#This Row],[نوع الجلسة]]=$BZ$5),الجدول14[[#This Row],[عدد الأناث]],0)</f>
        <v>0</v>
      </c>
      <c r="AX70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70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70" s="121">
        <f>IF(AND(الجدول14[[#This Row],[نوع الجلسة]]=$BZ$6,الجدول14[[#This Row],[البرنامج]]=$BX$3),1,0)</f>
        <v>0</v>
      </c>
      <c r="BA70" s="121">
        <f>IF(AND(الجدول14[[#This Row],[البرنامج]]="PLW",الجدول14[[#This Row],[نوع الجلسة]]=$BZ$6),الجدول14[[#This Row],[عدد الذكور]],0)</f>
        <v>0</v>
      </c>
      <c r="BB70" s="121">
        <f>IF(AND(الجدول14[[#This Row],[البرنامج]]="PLW",الجدول14[[#This Row],[نوع الجلسة]]=$BZ$6),الجدول14[[#This Row],[عدد الأناث]],0)</f>
        <v>0</v>
      </c>
      <c r="BC70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70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70" s="122">
        <f>IF(AND(الجدول14[[#This Row],[نوع الجلسة]]=$BZ$6,الجدول14[[#This Row],[البرنامج]]=$BX$2),1,0)</f>
        <v>0</v>
      </c>
      <c r="BF70" s="122">
        <f>IF(AND(الجدول14[[#This Row],[البرنامج]]="OOSCH",الجدول14[[#This Row],[نوع الجلسة]]=$BZ$6),الجدول14[[#This Row],[عدد الذكور]],0)</f>
        <v>0</v>
      </c>
      <c r="BG70" s="122">
        <f>IF(AND(الجدول14[[#This Row],[البرنامج]]="OOSCH",الجدول14[[#This Row],[نوع الجلسة]]=$BZ$6),الجدول14[[#This Row],[عدد الأناث]],0)</f>
        <v>0</v>
      </c>
      <c r="BH70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70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71" spans="4:61" ht="31.5" customHeight="1" x14ac:dyDescent="0.25">
      <c r="D71" s="9"/>
      <c r="E71" s="9"/>
      <c r="F71" s="9"/>
      <c r="G71" s="9"/>
      <c r="H71" s="9"/>
      <c r="I71" s="9"/>
      <c r="J71" s="9"/>
      <c r="K71" s="9">
        <f>SUM(الجدول14[[#This Row],[عدد الذكور]:[عدد الأناث]])</f>
        <v>0</v>
      </c>
      <c r="L71" s="120">
        <f>IF(AND(الجدول14[[#This Row],[البرنامج]]="PLW",الجدول14[[#This Row],[نوع الجلسة]]=$BZ$2),1,0)</f>
        <v>0</v>
      </c>
      <c r="M71" s="120">
        <f>IF(AND(الجدول14[[#This Row],[نوع الجلسة]]=$BZ$2,الجدول14[[#This Row],[البرنامج]]="PLW"),الجدول14[[#This Row],[عدد الذكور]],0)</f>
        <v>0</v>
      </c>
      <c r="N71" s="120">
        <f>IF(AND(الجدول14[[#This Row],[نوع الجلسة]]=$BZ$2,الجدول14[[#This Row],[البرنامج]]="PLW"),الجدول14[[#This Row],[عدد الأناث]],0)</f>
        <v>0</v>
      </c>
      <c r="O71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71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71" s="123">
        <f>IF(AND(الجدول14[[#This Row],[البرنامج]]="OOSCH",الجدول14[[#This Row],[نوع الجلسة]]=$BZ$2),1,0)</f>
        <v>0</v>
      </c>
      <c r="R71" s="123">
        <f>IF(AND(الجدول14[[#This Row],[البرنامج]]="OOSCH",الجدول14[[#This Row],[نوع الجلسة]]=$BZ$2),الجدول14[[#This Row],[عدد الذكور]],0)</f>
        <v>0</v>
      </c>
      <c r="S71" s="123">
        <f>IF(AND(الجدول14[[#This Row],[البرنامج]]="OOSCH",الجدول14[[#This Row],[نوع الجلسة]]=$BZ$2),الجدول14[[#This Row],[عدد الأناث]],0)</f>
        <v>0</v>
      </c>
      <c r="T71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71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71" s="124">
        <f>IF(AND(الجدول14[[#This Row],[البرنامج]]="PLW",الجدول14[[#This Row],[نوع الجلسة]]="معلومات صحة تغذوية للسيدة الحامل"),1,0)</f>
        <v>0</v>
      </c>
      <c r="W71" s="124">
        <f>IF(AND(الجدول14[[#This Row],[نوع الجلسة]]=$BZ$3,الجدول14[[#This Row],[البرنامج]]="PLW"),الجدول14[[#This Row],[عدد الذكور]],0)</f>
        <v>0</v>
      </c>
      <c r="X71" s="124">
        <f>IF(AND(الجدول14[[#This Row],[نوع الجلسة]]=$BZ$3,الجدول14[[#This Row],[البرنامج]]="PLW"),الجدول14[[#This Row],[عدد الأناث]],0)</f>
        <v>0</v>
      </c>
      <c r="Y71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71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71" s="113">
        <f>IF(AND(الجدول14[[#This Row],[البرنامج]]="PLW",الجدول14[[#This Row],[نوع الجلسة]]=$BZ$4),1,0)</f>
        <v>0</v>
      </c>
      <c r="AB71" s="113">
        <f>IF(AND(الجدول14[[#This Row],[البرنامج]]="PLW",الجدول14[[#This Row],[نوع الجلسة]]=$BZ$4),الجدول14[[#This Row],[عدد الذكور]],0)</f>
        <v>0</v>
      </c>
      <c r="AC71" s="113">
        <f>IF(AND(الجدول14[[#This Row],[البرنامج]]="PLW",الجدول14[[#This Row],[نوع الجلسة]]=$BZ$4),الجدول14[[#This Row],[عدد الأناث]],0)</f>
        <v>0</v>
      </c>
      <c r="AD71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71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71" s="125">
        <f>IF(AND(الجدول14[[#This Row],[البرنامج]]="OOSCH",الجدول14[[#This Row],[نوع الجلسة]]=$BZ$7),1,0)</f>
        <v>0</v>
      </c>
      <c r="AG71" s="125">
        <f>IF(AND(الجدول14[[#This Row],[البرنامج]]="OOSCH",الجدول14[[#This Row],[نوع الجلسة]]=$BZ$7),الجدول14[[#This Row],[عدد الذكور]],0)</f>
        <v>0</v>
      </c>
      <c r="AH71" s="125">
        <f>IF(AND(الجدول14[[#This Row],[البرنامج]]="OOSCH",الجدول14[[#This Row],[نوع الجلسة]]=$BZ$7),الجدول14[[#This Row],[عدد الأناث]],0)</f>
        <v>0</v>
      </c>
      <c r="AI71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71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71" s="126">
        <f>IF(AND(الجدول14[[#This Row],[البرنامج]]="OOSCH",الجدول14[[#This Row],[نوع الجلسة]]=$BZ$4),1,0)</f>
        <v>0</v>
      </c>
      <c r="AL71" s="126">
        <f>IF(AND(الجدول14[[#This Row],[البرنامج]]="OOSCH",الجدول14[[#This Row],[نوع الجلسة]]=$BZ$4),الجدول14[[#This Row],[عدد الذكور]],0)</f>
        <v>0</v>
      </c>
      <c r="AM71" s="126">
        <f>IF(AND(الجدول14[[#This Row],[البرنامج]]="OOSCH",الجدول14[[#This Row],[نوع الجلسة]]=$BZ$4),الجدول14[[#This Row],[عدد الأناث]],0)</f>
        <v>0</v>
      </c>
      <c r="AN71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71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71" s="123">
        <f>IF(AND(الجدول14[[#This Row],[نوع الجلسة]]=$BZ$5,الجدول14[[#This Row],[البرنامج]]=$BX$3),1,0)</f>
        <v>0</v>
      </c>
      <c r="AQ71" s="123">
        <f>IF(AND(الجدول14[[#This Row],[البرنامج]]="PLW",الجدول14[[#This Row],[نوع الجلسة]]=$BZ$5),الجدول14[[#This Row],[عدد الذكور]],0)</f>
        <v>0</v>
      </c>
      <c r="AR71" s="123">
        <f>IF(AND(الجدول14[[#This Row],[البرنامج]]="PLW",الجدول14[[#This Row],[نوع الجلسة]]=$BZ$5),الجدول14[[#This Row],[عدد الأناث]],0)</f>
        <v>0</v>
      </c>
      <c r="AS71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71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71" s="127">
        <f>IF(AND(الجدول14[[#This Row],[نوع الجلسة]]=$BZ$5,الجدول14[[#This Row],[البرنامج]]=$BX$2),1,0)</f>
        <v>0</v>
      </c>
      <c r="AV71" s="127">
        <f>IF(AND(الجدول14[[#This Row],[البرنامج]]="OOSCH",الجدول14[[#This Row],[نوع الجلسة]]=$BZ$5),الجدول14[[#This Row],[عدد الذكور]],0)</f>
        <v>0</v>
      </c>
      <c r="AW71" s="127">
        <f>IF(AND(الجدول14[[#This Row],[البرنامج]]="OOSCH",الجدول14[[#This Row],[نوع الجلسة]]=$BZ$5),الجدول14[[#This Row],[عدد الأناث]],0)</f>
        <v>0</v>
      </c>
      <c r="AX71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71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71" s="121">
        <f>IF(AND(الجدول14[[#This Row],[نوع الجلسة]]=$BZ$6,الجدول14[[#This Row],[البرنامج]]=$BX$3),1,0)</f>
        <v>0</v>
      </c>
      <c r="BA71" s="121">
        <f>IF(AND(الجدول14[[#This Row],[البرنامج]]="PLW",الجدول14[[#This Row],[نوع الجلسة]]=$BZ$6),الجدول14[[#This Row],[عدد الذكور]],0)</f>
        <v>0</v>
      </c>
      <c r="BB71" s="121">
        <f>IF(AND(الجدول14[[#This Row],[البرنامج]]="PLW",الجدول14[[#This Row],[نوع الجلسة]]=$BZ$6),الجدول14[[#This Row],[عدد الأناث]],0)</f>
        <v>0</v>
      </c>
      <c r="BC71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71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71" s="122">
        <f>IF(AND(الجدول14[[#This Row],[نوع الجلسة]]=$BZ$6,الجدول14[[#This Row],[البرنامج]]=$BX$2),1,0)</f>
        <v>0</v>
      </c>
      <c r="BF71" s="122">
        <f>IF(AND(الجدول14[[#This Row],[البرنامج]]="OOSCH",الجدول14[[#This Row],[نوع الجلسة]]=$BZ$6),الجدول14[[#This Row],[عدد الذكور]],0)</f>
        <v>0</v>
      </c>
      <c r="BG71" s="122">
        <f>IF(AND(الجدول14[[#This Row],[البرنامج]]="OOSCH",الجدول14[[#This Row],[نوع الجلسة]]=$BZ$6),الجدول14[[#This Row],[عدد الأناث]],0)</f>
        <v>0</v>
      </c>
      <c r="BH71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71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72" spans="4:61" ht="31.5" customHeight="1" x14ac:dyDescent="0.25">
      <c r="D72" s="9"/>
      <c r="E72" s="9"/>
      <c r="F72" s="9"/>
      <c r="G72" s="9"/>
      <c r="H72" s="9"/>
      <c r="I72" s="9"/>
      <c r="J72" s="9"/>
      <c r="K72" s="9">
        <f>SUM(الجدول14[[#This Row],[عدد الذكور]:[عدد الأناث]])</f>
        <v>0</v>
      </c>
      <c r="L72" s="120">
        <f>IF(AND(الجدول14[[#This Row],[البرنامج]]="PLW",الجدول14[[#This Row],[نوع الجلسة]]=$BZ$2),1,0)</f>
        <v>0</v>
      </c>
      <c r="M72" s="120">
        <f>IF(AND(الجدول14[[#This Row],[نوع الجلسة]]=$BZ$2,الجدول14[[#This Row],[البرنامج]]="PLW"),الجدول14[[#This Row],[عدد الذكور]],0)</f>
        <v>0</v>
      </c>
      <c r="N72" s="120">
        <f>IF(AND(الجدول14[[#This Row],[نوع الجلسة]]=$BZ$2,الجدول14[[#This Row],[البرنامج]]="PLW"),الجدول14[[#This Row],[عدد الأناث]],0)</f>
        <v>0</v>
      </c>
      <c r="O72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72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72" s="123">
        <f>IF(AND(الجدول14[[#This Row],[البرنامج]]="OOSCH",الجدول14[[#This Row],[نوع الجلسة]]=$BZ$2),1,0)</f>
        <v>0</v>
      </c>
      <c r="R72" s="123">
        <f>IF(AND(الجدول14[[#This Row],[البرنامج]]="OOSCH",الجدول14[[#This Row],[نوع الجلسة]]=$BZ$2),الجدول14[[#This Row],[عدد الذكور]],0)</f>
        <v>0</v>
      </c>
      <c r="S72" s="123">
        <f>IF(AND(الجدول14[[#This Row],[البرنامج]]="OOSCH",الجدول14[[#This Row],[نوع الجلسة]]=$BZ$2),الجدول14[[#This Row],[عدد الأناث]],0)</f>
        <v>0</v>
      </c>
      <c r="T72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72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72" s="124">
        <f>IF(AND(الجدول14[[#This Row],[البرنامج]]="PLW",الجدول14[[#This Row],[نوع الجلسة]]="معلومات صحة تغذوية للسيدة الحامل"),1,0)</f>
        <v>0</v>
      </c>
      <c r="W72" s="124">
        <f>IF(AND(الجدول14[[#This Row],[نوع الجلسة]]=$BZ$3,الجدول14[[#This Row],[البرنامج]]="PLW"),الجدول14[[#This Row],[عدد الذكور]],0)</f>
        <v>0</v>
      </c>
      <c r="X72" s="124">
        <f>IF(AND(الجدول14[[#This Row],[نوع الجلسة]]=$BZ$3,الجدول14[[#This Row],[البرنامج]]="PLW"),الجدول14[[#This Row],[عدد الأناث]],0)</f>
        <v>0</v>
      </c>
      <c r="Y72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72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72" s="113">
        <f>IF(AND(الجدول14[[#This Row],[البرنامج]]="PLW",الجدول14[[#This Row],[نوع الجلسة]]=$BZ$4),1,0)</f>
        <v>0</v>
      </c>
      <c r="AB72" s="113">
        <f>IF(AND(الجدول14[[#This Row],[البرنامج]]="PLW",الجدول14[[#This Row],[نوع الجلسة]]=$BZ$4),الجدول14[[#This Row],[عدد الذكور]],0)</f>
        <v>0</v>
      </c>
      <c r="AC72" s="113">
        <f>IF(AND(الجدول14[[#This Row],[البرنامج]]="PLW",الجدول14[[#This Row],[نوع الجلسة]]=$BZ$4),الجدول14[[#This Row],[عدد الأناث]],0)</f>
        <v>0</v>
      </c>
      <c r="AD72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72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72" s="125">
        <f>IF(AND(الجدول14[[#This Row],[البرنامج]]="OOSCH",الجدول14[[#This Row],[نوع الجلسة]]=$BZ$7),1,0)</f>
        <v>0</v>
      </c>
      <c r="AG72" s="125">
        <f>IF(AND(الجدول14[[#This Row],[البرنامج]]="OOSCH",الجدول14[[#This Row],[نوع الجلسة]]=$BZ$7),الجدول14[[#This Row],[عدد الذكور]],0)</f>
        <v>0</v>
      </c>
      <c r="AH72" s="125">
        <f>IF(AND(الجدول14[[#This Row],[البرنامج]]="OOSCH",الجدول14[[#This Row],[نوع الجلسة]]=$BZ$7),الجدول14[[#This Row],[عدد الأناث]],0)</f>
        <v>0</v>
      </c>
      <c r="AI72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72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72" s="126">
        <f>IF(AND(الجدول14[[#This Row],[البرنامج]]="OOSCH",الجدول14[[#This Row],[نوع الجلسة]]=$BZ$4),1,0)</f>
        <v>0</v>
      </c>
      <c r="AL72" s="126">
        <f>IF(AND(الجدول14[[#This Row],[البرنامج]]="OOSCH",الجدول14[[#This Row],[نوع الجلسة]]=$BZ$4),الجدول14[[#This Row],[عدد الذكور]],0)</f>
        <v>0</v>
      </c>
      <c r="AM72" s="126">
        <f>IF(AND(الجدول14[[#This Row],[البرنامج]]="OOSCH",الجدول14[[#This Row],[نوع الجلسة]]=$BZ$4),الجدول14[[#This Row],[عدد الأناث]],0)</f>
        <v>0</v>
      </c>
      <c r="AN72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72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72" s="123">
        <f>IF(AND(الجدول14[[#This Row],[نوع الجلسة]]=$BZ$5,الجدول14[[#This Row],[البرنامج]]=$BX$3),1,0)</f>
        <v>0</v>
      </c>
      <c r="AQ72" s="123">
        <f>IF(AND(الجدول14[[#This Row],[البرنامج]]="PLW",الجدول14[[#This Row],[نوع الجلسة]]=$BZ$5),الجدول14[[#This Row],[عدد الذكور]],0)</f>
        <v>0</v>
      </c>
      <c r="AR72" s="123">
        <f>IF(AND(الجدول14[[#This Row],[البرنامج]]="PLW",الجدول14[[#This Row],[نوع الجلسة]]=$BZ$5),الجدول14[[#This Row],[عدد الأناث]],0)</f>
        <v>0</v>
      </c>
      <c r="AS72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72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72" s="127">
        <f>IF(AND(الجدول14[[#This Row],[نوع الجلسة]]=$BZ$5,الجدول14[[#This Row],[البرنامج]]=$BX$2),1,0)</f>
        <v>0</v>
      </c>
      <c r="AV72" s="127">
        <f>IF(AND(الجدول14[[#This Row],[البرنامج]]="OOSCH",الجدول14[[#This Row],[نوع الجلسة]]=$BZ$5),الجدول14[[#This Row],[عدد الذكور]],0)</f>
        <v>0</v>
      </c>
      <c r="AW72" s="127">
        <f>IF(AND(الجدول14[[#This Row],[البرنامج]]="OOSCH",الجدول14[[#This Row],[نوع الجلسة]]=$BZ$5),الجدول14[[#This Row],[عدد الأناث]],0)</f>
        <v>0</v>
      </c>
      <c r="AX72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72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72" s="121">
        <f>IF(AND(الجدول14[[#This Row],[نوع الجلسة]]=$BZ$6,الجدول14[[#This Row],[البرنامج]]=$BX$3),1,0)</f>
        <v>0</v>
      </c>
      <c r="BA72" s="121">
        <f>IF(AND(الجدول14[[#This Row],[البرنامج]]="PLW",الجدول14[[#This Row],[نوع الجلسة]]=$BZ$6),الجدول14[[#This Row],[عدد الذكور]],0)</f>
        <v>0</v>
      </c>
      <c r="BB72" s="121">
        <f>IF(AND(الجدول14[[#This Row],[البرنامج]]="PLW",الجدول14[[#This Row],[نوع الجلسة]]=$BZ$6),الجدول14[[#This Row],[عدد الأناث]],0)</f>
        <v>0</v>
      </c>
      <c r="BC72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72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72" s="122">
        <f>IF(AND(الجدول14[[#This Row],[نوع الجلسة]]=$BZ$6,الجدول14[[#This Row],[البرنامج]]=$BX$2),1,0)</f>
        <v>0</v>
      </c>
      <c r="BF72" s="122">
        <f>IF(AND(الجدول14[[#This Row],[البرنامج]]="OOSCH",الجدول14[[#This Row],[نوع الجلسة]]=$BZ$6),الجدول14[[#This Row],[عدد الذكور]],0)</f>
        <v>0</v>
      </c>
      <c r="BG72" s="122">
        <f>IF(AND(الجدول14[[#This Row],[البرنامج]]="OOSCH",الجدول14[[#This Row],[نوع الجلسة]]=$BZ$6),الجدول14[[#This Row],[عدد الأناث]],0)</f>
        <v>0</v>
      </c>
      <c r="BH72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72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73" spans="4:61" ht="31.5" customHeight="1" x14ac:dyDescent="0.25">
      <c r="D73" s="9"/>
      <c r="E73" s="9"/>
      <c r="F73" s="9"/>
      <c r="G73" s="9"/>
      <c r="H73" s="9"/>
      <c r="I73" s="9"/>
      <c r="J73" s="9"/>
      <c r="K73" s="9">
        <f>SUM(الجدول14[[#This Row],[عدد الذكور]:[عدد الأناث]])</f>
        <v>0</v>
      </c>
      <c r="L73" s="120">
        <f>IF(AND(الجدول14[[#This Row],[البرنامج]]="PLW",الجدول14[[#This Row],[نوع الجلسة]]=$BZ$2),1,0)</f>
        <v>0</v>
      </c>
      <c r="M73" s="120">
        <f>IF(AND(الجدول14[[#This Row],[نوع الجلسة]]=$BZ$2,الجدول14[[#This Row],[البرنامج]]="PLW"),الجدول14[[#This Row],[عدد الذكور]],0)</f>
        <v>0</v>
      </c>
      <c r="N73" s="120">
        <f>IF(AND(الجدول14[[#This Row],[نوع الجلسة]]=$BZ$2,الجدول14[[#This Row],[البرنامج]]="PLW"),الجدول14[[#This Row],[عدد الأناث]],0)</f>
        <v>0</v>
      </c>
      <c r="O73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73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73" s="123">
        <f>IF(AND(الجدول14[[#This Row],[البرنامج]]="OOSCH",الجدول14[[#This Row],[نوع الجلسة]]=$BZ$2),1,0)</f>
        <v>0</v>
      </c>
      <c r="R73" s="123">
        <f>IF(AND(الجدول14[[#This Row],[البرنامج]]="OOSCH",الجدول14[[#This Row],[نوع الجلسة]]=$BZ$2),الجدول14[[#This Row],[عدد الذكور]],0)</f>
        <v>0</v>
      </c>
      <c r="S73" s="123">
        <f>IF(AND(الجدول14[[#This Row],[البرنامج]]="OOSCH",الجدول14[[#This Row],[نوع الجلسة]]=$BZ$2),الجدول14[[#This Row],[عدد الأناث]],0)</f>
        <v>0</v>
      </c>
      <c r="T73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73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73" s="124">
        <f>IF(AND(الجدول14[[#This Row],[البرنامج]]="PLW",الجدول14[[#This Row],[نوع الجلسة]]="معلومات صحة تغذوية للسيدة الحامل"),1,0)</f>
        <v>0</v>
      </c>
      <c r="W73" s="124">
        <f>IF(AND(الجدول14[[#This Row],[نوع الجلسة]]=$BZ$3,الجدول14[[#This Row],[البرنامج]]="PLW"),الجدول14[[#This Row],[عدد الذكور]],0)</f>
        <v>0</v>
      </c>
      <c r="X73" s="124">
        <f>IF(AND(الجدول14[[#This Row],[نوع الجلسة]]=$BZ$3,الجدول14[[#This Row],[البرنامج]]="PLW"),الجدول14[[#This Row],[عدد الأناث]],0)</f>
        <v>0</v>
      </c>
      <c r="Y73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73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73" s="113">
        <f>IF(AND(الجدول14[[#This Row],[البرنامج]]="PLW",الجدول14[[#This Row],[نوع الجلسة]]=$BZ$4),1,0)</f>
        <v>0</v>
      </c>
      <c r="AB73" s="113">
        <f>IF(AND(الجدول14[[#This Row],[البرنامج]]="PLW",الجدول14[[#This Row],[نوع الجلسة]]=$BZ$4),الجدول14[[#This Row],[عدد الذكور]],0)</f>
        <v>0</v>
      </c>
      <c r="AC73" s="113">
        <f>IF(AND(الجدول14[[#This Row],[البرنامج]]="PLW",الجدول14[[#This Row],[نوع الجلسة]]=$BZ$4),الجدول14[[#This Row],[عدد الأناث]],0)</f>
        <v>0</v>
      </c>
      <c r="AD73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73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73" s="125">
        <f>IF(AND(الجدول14[[#This Row],[البرنامج]]="OOSCH",الجدول14[[#This Row],[نوع الجلسة]]=$BZ$7),1,0)</f>
        <v>0</v>
      </c>
      <c r="AG73" s="125">
        <f>IF(AND(الجدول14[[#This Row],[البرنامج]]="OOSCH",الجدول14[[#This Row],[نوع الجلسة]]=$BZ$7),الجدول14[[#This Row],[عدد الذكور]],0)</f>
        <v>0</v>
      </c>
      <c r="AH73" s="125">
        <f>IF(AND(الجدول14[[#This Row],[البرنامج]]="OOSCH",الجدول14[[#This Row],[نوع الجلسة]]=$BZ$7),الجدول14[[#This Row],[عدد الأناث]],0)</f>
        <v>0</v>
      </c>
      <c r="AI73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73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73" s="126">
        <f>IF(AND(الجدول14[[#This Row],[البرنامج]]="OOSCH",الجدول14[[#This Row],[نوع الجلسة]]=$BZ$4),1,0)</f>
        <v>0</v>
      </c>
      <c r="AL73" s="126">
        <f>IF(AND(الجدول14[[#This Row],[البرنامج]]="OOSCH",الجدول14[[#This Row],[نوع الجلسة]]=$BZ$4),الجدول14[[#This Row],[عدد الذكور]],0)</f>
        <v>0</v>
      </c>
      <c r="AM73" s="126">
        <f>IF(AND(الجدول14[[#This Row],[البرنامج]]="OOSCH",الجدول14[[#This Row],[نوع الجلسة]]=$BZ$4),الجدول14[[#This Row],[عدد الأناث]],0)</f>
        <v>0</v>
      </c>
      <c r="AN73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73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73" s="123">
        <f>IF(AND(الجدول14[[#This Row],[نوع الجلسة]]=$BZ$5,الجدول14[[#This Row],[البرنامج]]=$BX$3),1,0)</f>
        <v>0</v>
      </c>
      <c r="AQ73" s="123">
        <f>IF(AND(الجدول14[[#This Row],[البرنامج]]="PLW",الجدول14[[#This Row],[نوع الجلسة]]=$BZ$5),الجدول14[[#This Row],[عدد الذكور]],0)</f>
        <v>0</v>
      </c>
      <c r="AR73" s="123">
        <f>IF(AND(الجدول14[[#This Row],[البرنامج]]="PLW",الجدول14[[#This Row],[نوع الجلسة]]=$BZ$5),الجدول14[[#This Row],[عدد الأناث]],0)</f>
        <v>0</v>
      </c>
      <c r="AS73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73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73" s="127">
        <f>IF(AND(الجدول14[[#This Row],[نوع الجلسة]]=$BZ$5,الجدول14[[#This Row],[البرنامج]]=$BX$2),1,0)</f>
        <v>0</v>
      </c>
      <c r="AV73" s="127">
        <f>IF(AND(الجدول14[[#This Row],[البرنامج]]="OOSCH",الجدول14[[#This Row],[نوع الجلسة]]=$BZ$5),الجدول14[[#This Row],[عدد الذكور]],0)</f>
        <v>0</v>
      </c>
      <c r="AW73" s="127">
        <f>IF(AND(الجدول14[[#This Row],[البرنامج]]="OOSCH",الجدول14[[#This Row],[نوع الجلسة]]=$BZ$5),الجدول14[[#This Row],[عدد الأناث]],0)</f>
        <v>0</v>
      </c>
      <c r="AX73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73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73" s="121">
        <f>IF(AND(الجدول14[[#This Row],[نوع الجلسة]]=$BZ$6,الجدول14[[#This Row],[البرنامج]]=$BX$3),1,0)</f>
        <v>0</v>
      </c>
      <c r="BA73" s="121">
        <f>IF(AND(الجدول14[[#This Row],[البرنامج]]="PLW",الجدول14[[#This Row],[نوع الجلسة]]=$BZ$6),الجدول14[[#This Row],[عدد الذكور]],0)</f>
        <v>0</v>
      </c>
      <c r="BB73" s="121">
        <f>IF(AND(الجدول14[[#This Row],[البرنامج]]="PLW",الجدول14[[#This Row],[نوع الجلسة]]=$BZ$6),الجدول14[[#This Row],[عدد الأناث]],0)</f>
        <v>0</v>
      </c>
      <c r="BC73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73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73" s="122">
        <f>IF(AND(الجدول14[[#This Row],[نوع الجلسة]]=$BZ$6,الجدول14[[#This Row],[البرنامج]]=$BX$2),1,0)</f>
        <v>0</v>
      </c>
      <c r="BF73" s="122">
        <f>IF(AND(الجدول14[[#This Row],[البرنامج]]="OOSCH",الجدول14[[#This Row],[نوع الجلسة]]=$BZ$6),الجدول14[[#This Row],[عدد الذكور]],0)</f>
        <v>0</v>
      </c>
      <c r="BG73" s="122">
        <f>IF(AND(الجدول14[[#This Row],[البرنامج]]="OOSCH",الجدول14[[#This Row],[نوع الجلسة]]=$BZ$6),الجدول14[[#This Row],[عدد الأناث]],0)</f>
        <v>0</v>
      </c>
      <c r="BH73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73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74" spans="4:61" ht="31.5" customHeight="1" x14ac:dyDescent="0.25">
      <c r="D74" s="9"/>
      <c r="E74" s="9"/>
      <c r="F74" s="9"/>
      <c r="G74" s="9"/>
      <c r="H74" s="9"/>
      <c r="I74" s="9"/>
      <c r="J74" s="9"/>
      <c r="K74" s="9">
        <f>SUM(الجدول14[[#This Row],[عدد الذكور]:[عدد الأناث]])</f>
        <v>0</v>
      </c>
      <c r="L74" s="120">
        <f>IF(AND(الجدول14[[#This Row],[البرنامج]]="PLW",الجدول14[[#This Row],[نوع الجلسة]]=$BZ$2),1,0)</f>
        <v>0</v>
      </c>
      <c r="M74" s="120">
        <f>IF(AND(الجدول14[[#This Row],[نوع الجلسة]]=$BZ$2,الجدول14[[#This Row],[البرنامج]]="PLW"),الجدول14[[#This Row],[عدد الذكور]],0)</f>
        <v>0</v>
      </c>
      <c r="N74" s="120">
        <f>IF(AND(الجدول14[[#This Row],[نوع الجلسة]]=$BZ$2,الجدول14[[#This Row],[البرنامج]]="PLW"),الجدول14[[#This Row],[عدد الأناث]],0)</f>
        <v>0</v>
      </c>
      <c r="O74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74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74" s="123">
        <f>IF(AND(الجدول14[[#This Row],[البرنامج]]="OOSCH",الجدول14[[#This Row],[نوع الجلسة]]=$BZ$2),1,0)</f>
        <v>0</v>
      </c>
      <c r="R74" s="123">
        <f>IF(AND(الجدول14[[#This Row],[البرنامج]]="OOSCH",الجدول14[[#This Row],[نوع الجلسة]]=$BZ$2),الجدول14[[#This Row],[عدد الذكور]],0)</f>
        <v>0</v>
      </c>
      <c r="S74" s="123">
        <f>IF(AND(الجدول14[[#This Row],[البرنامج]]="OOSCH",الجدول14[[#This Row],[نوع الجلسة]]=$BZ$2),الجدول14[[#This Row],[عدد الأناث]],0)</f>
        <v>0</v>
      </c>
      <c r="T74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74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74" s="124">
        <f>IF(AND(الجدول14[[#This Row],[البرنامج]]="PLW",الجدول14[[#This Row],[نوع الجلسة]]="معلومات صحة تغذوية للسيدة الحامل"),1,0)</f>
        <v>0</v>
      </c>
      <c r="W74" s="124">
        <f>IF(AND(الجدول14[[#This Row],[نوع الجلسة]]=$BZ$3,الجدول14[[#This Row],[البرنامج]]="PLW"),الجدول14[[#This Row],[عدد الذكور]],0)</f>
        <v>0</v>
      </c>
      <c r="X74" s="124">
        <f>IF(AND(الجدول14[[#This Row],[نوع الجلسة]]=$BZ$3,الجدول14[[#This Row],[البرنامج]]="PLW"),الجدول14[[#This Row],[عدد الأناث]],0)</f>
        <v>0</v>
      </c>
      <c r="Y74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74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74" s="113">
        <f>IF(AND(الجدول14[[#This Row],[البرنامج]]="PLW",الجدول14[[#This Row],[نوع الجلسة]]=$BZ$4),1,0)</f>
        <v>0</v>
      </c>
      <c r="AB74" s="113">
        <f>IF(AND(الجدول14[[#This Row],[البرنامج]]="PLW",الجدول14[[#This Row],[نوع الجلسة]]=$BZ$4),الجدول14[[#This Row],[عدد الذكور]],0)</f>
        <v>0</v>
      </c>
      <c r="AC74" s="113">
        <f>IF(AND(الجدول14[[#This Row],[البرنامج]]="PLW",الجدول14[[#This Row],[نوع الجلسة]]=$BZ$4),الجدول14[[#This Row],[عدد الأناث]],0)</f>
        <v>0</v>
      </c>
      <c r="AD74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74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74" s="125">
        <f>IF(AND(الجدول14[[#This Row],[البرنامج]]="OOSCH",الجدول14[[#This Row],[نوع الجلسة]]=$BZ$7),1,0)</f>
        <v>0</v>
      </c>
      <c r="AG74" s="125">
        <f>IF(AND(الجدول14[[#This Row],[البرنامج]]="OOSCH",الجدول14[[#This Row],[نوع الجلسة]]=$BZ$7),الجدول14[[#This Row],[عدد الذكور]],0)</f>
        <v>0</v>
      </c>
      <c r="AH74" s="125">
        <f>IF(AND(الجدول14[[#This Row],[البرنامج]]="OOSCH",الجدول14[[#This Row],[نوع الجلسة]]=$BZ$7),الجدول14[[#This Row],[عدد الأناث]],0)</f>
        <v>0</v>
      </c>
      <c r="AI74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74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74" s="126">
        <f>IF(AND(الجدول14[[#This Row],[البرنامج]]="OOSCH",الجدول14[[#This Row],[نوع الجلسة]]=$BZ$4),1,0)</f>
        <v>0</v>
      </c>
      <c r="AL74" s="126">
        <f>IF(AND(الجدول14[[#This Row],[البرنامج]]="OOSCH",الجدول14[[#This Row],[نوع الجلسة]]=$BZ$4),الجدول14[[#This Row],[عدد الذكور]],0)</f>
        <v>0</v>
      </c>
      <c r="AM74" s="126">
        <f>IF(AND(الجدول14[[#This Row],[البرنامج]]="OOSCH",الجدول14[[#This Row],[نوع الجلسة]]=$BZ$4),الجدول14[[#This Row],[عدد الأناث]],0)</f>
        <v>0</v>
      </c>
      <c r="AN74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74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74" s="123">
        <f>IF(AND(الجدول14[[#This Row],[نوع الجلسة]]=$BZ$5,الجدول14[[#This Row],[البرنامج]]=$BX$3),1,0)</f>
        <v>0</v>
      </c>
      <c r="AQ74" s="123">
        <f>IF(AND(الجدول14[[#This Row],[البرنامج]]="PLW",الجدول14[[#This Row],[نوع الجلسة]]=$BZ$5),الجدول14[[#This Row],[عدد الذكور]],0)</f>
        <v>0</v>
      </c>
      <c r="AR74" s="123">
        <f>IF(AND(الجدول14[[#This Row],[البرنامج]]="PLW",الجدول14[[#This Row],[نوع الجلسة]]=$BZ$5),الجدول14[[#This Row],[عدد الأناث]],0)</f>
        <v>0</v>
      </c>
      <c r="AS74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74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74" s="127">
        <f>IF(AND(الجدول14[[#This Row],[نوع الجلسة]]=$BZ$5,الجدول14[[#This Row],[البرنامج]]=$BX$2),1,0)</f>
        <v>0</v>
      </c>
      <c r="AV74" s="127">
        <f>IF(AND(الجدول14[[#This Row],[البرنامج]]="OOSCH",الجدول14[[#This Row],[نوع الجلسة]]=$BZ$5),الجدول14[[#This Row],[عدد الذكور]],0)</f>
        <v>0</v>
      </c>
      <c r="AW74" s="127">
        <f>IF(AND(الجدول14[[#This Row],[البرنامج]]="OOSCH",الجدول14[[#This Row],[نوع الجلسة]]=$BZ$5),الجدول14[[#This Row],[عدد الأناث]],0)</f>
        <v>0</v>
      </c>
      <c r="AX74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74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74" s="121">
        <f>IF(AND(الجدول14[[#This Row],[نوع الجلسة]]=$BZ$6,الجدول14[[#This Row],[البرنامج]]=$BX$3),1,0)</f>
        <v>0</v>
      </c>
      <c r="BA74" s="121">
        <f>IF(AND(الجدول14[[#This Row],[البرنامج]]="PLW",الجدول14[[#This Row],[نوع الجلسة]]=$BZ$6),الجدول14[[#This Row],[عدد الذكور]],0)</f>
        <v>0</v>
      </c>
      <c r="BB74" s="121">
        <f>IF(AND(الجدول14[[#This Row],[البرنامج]]="PLW",الجدول14[[#This Row],[نوع الجلسة]]=$BZ$6),الجدول14[[#This Row],[عدد الأناث]],0)</f>
        <v>0</v>
      </c>
      <c r="BC74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74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74" s="122">
        <f>IF(AND(الجدول14[[#This Row],[نوع الجلسة]]=$BZ$6,الجدول14[[#This Row],[البرنامج]]=$BX$2),1,0)</f>
        <v>0</v>
      </c>
      <c r="BF74" s="122">
        <f>IF(AND(الجدول14[[#This Row],[البرنامج]]="OOSCH",الجدول14[[#This Row],[نوع الجلسة]]=$BZ$6),الجدول14[[#This Row],[عدد الذكور]],0)</f>
        <v>0</v>
      </c>
      <c r="BG74" s="122">
        <f>IF(AND(الجدول14[[#This Row],[البرنامج]]="OOSCH",الجدول14[[#This Row],[نوع الجلسة]]=$BZ$6),الجدول14[[#This Row],[عدد الأناث]],0)</f>
        <v>0</v>
      </c>
      <c r="BH74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74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75" spans="4:61" ht="31.5" customHeight="1" x14ac:dyDescent="0.25">
      <c r="D75" s="9"/>
      <c r="E75" s="9"/>
      <c r="F75" s="9"/>
      <c r="G75" s="9"/>
      <c r="H75" s="9"/>
      <c r="I75" s="9"/>
      <c r="J75" s="9"/>
      <c r="K75" s="9">
        <f>SUM(الجدول14[[#This Row],[عدد الذكور]:[عدد الأناث]])</f>
        <v>0</v>
      </c>
      <c r="L75" s="120">
        <f>IF(AND(الجدول14[[#This Row],[البرنامج]]="PLW",الجدول14[[#This Row],[نوع الجلسة]]=$BZ$2),1,0)</f>
        <v>0</v>
      </c>
      <c r="M75" s="120">
        <f>IF(AND(الجدول14[[#This Row],[نوع الجلسة]]=$BZ$2,الجدول14[[#This Row],[البرنامج]]="PLW"),الجدول14[[#This Row],[عدد الذكور]],0)</f>
        <v>0</v>
      </c>
      <c r="N75" s="120">
        <f>IF(AND(الجدول14[[#This Row],[نوع الجلسة]]=$BZ$2,الجدول14[[#This Row],[البرنامج]]="PLW"),الجدول14[[#This Row],[عدد الأناث]],0)</f>
        <v>0</v>
      </c>
      <c r="O75" s="120" t="str">
        <f>IF(AND(الجدول14[[#This Row],[نوع الجلسة]]=$BZ$2,الجدول14[[#This Row],[البرنامج]]="PLW"),الجدول14[[#This Row],[العمر الأكبر ضمن الجلسة]]," ")</f>
        <v xml:space="preserve"> </v>
      </c>
      <c r="P75" s="120" t="str">
        <f>IF(AND(الجدول14[[#This Row],[نوع الجلسة]]=$BZ$2,الجدول14[[#This Row],[البرنامج]]="PLW"),الجدول14[[#This Row],[العمر الأصغر ضمن الجلسة]]," ")</f>
        <v xml:space="preserve"> </v>
      </c>
      <c r="Q75" s="123">
        <f>IF(AND(الجدول14[[#This Row],[البرنامج]]="OOSCH",الجدول14[[#This Row],[نوع الجلسة]]=$BZ$2),1,0)</f>
        <v>0</v>
      </c>
      <c r="R75" s="123">
        <f>IF(AND(الجدول14[[#This Row],[البرنامج]]="OOSCH",الجدول14[[#This Row],[نوع الجلسة]]=$BZ$2),الجدول14[[#This Row],[عدد الذكور]],0)</f>
        <v>0</v>
      </c>
      <c r="S75" s="123">
        <f>IF(AND(الجدول14[[#This Row],[البرنامج]]="OOSCH",الجدول14[[#This Row],[نوع الجلسة]]=$BZ$2),الجدول14[[#This Row],[عدد الأناث]],0)</f>
        <v>0</v>
      </c>
      <c r="T75" s="123" t="str">
        <f>IF(AND(الجدول14[[#This Row],[البرنامج]]="OOSCH",الجدول14[[#This Row],[نوع الجلسة]]=$BZ$2),الجدول14[[#This Row],[العمر الأكبر ضمن الجلسة]]," ")</f>
        <v xml:space="preserve"> </v>
      </c>
      <c r="U75" s="123" t="str">
        <f>IF(AND(الجدول14[[#This Row],[البرنامج]]="OOSCH",الجدول14[[#This Row],[نوع الجلسة]]=$BZ$2),الجدول14[[#This Row],[العمر الأصغر ضمن الجلسة]]," ")</f>
        <v xml:space="preserve"> </v>
      </c>
      <c r="V75" s="124">
        <f>IF(AND(الجدول14[[#This Row],[البرنامج]]="PLW",الجدول14[[#This Row],[نوع الجلسة]]="معلومات صحة تغذوية للسيدة الحامل"),1,0)</f>
        <v>0</v>
      </c>
      <c r="W75" s="124">
        <f>IF(AND(الجدول14[[#This Row],[نوع الجلسة]]=$BZ$3,الجدول14[[#This Row],[البرنامج]]="PLW"),الجدول14[[#This Row],[عدد الذكور]],0)</f>
        <v>0</v>
      </c>
      <c r="X75" s="124">
        <f>IF(AND(الجدول14[[#This Row],[نوع الجلسة]]=$BZ$3,الجدول14[[#This Row],[البرنامج]]="PLW"),الجدول14[[#This Row],[عدد الأناث]],0)</f>
        <v>0</v>
      </c>
      <c r="Y75" s="124" t="str">
        <f>IF(AND(الجدول14[[#This Row],[نوع الجلسة]]=$BZ$3,الجدول14[[#This Row],[البرنامج]]="PLW"),الجدول14[[#This Row],[العمر الأكبر ضمن الجلسة]]," ")</f>
        <v xml:space="preserve"> </v>
      </c>
      <c r="Z75" s="124" t="str">
        <f>IF(AND(الجدول14[[#This Row],[نوع الجلسة]]=$BZ$3,الجدول14[[#This Row],[البرنامج]]="PLW"),الجدول14[[#This Row],[العمر الأصغر ضمن الجلسة]]," ")</f>
        <v xml:space="preserve"> </v>
      </c>
      <c r="AA75" s="113">
        <f>IF(AND(الجدول14[[#This Row],[البرنامج]]="PLW",الجدول14[[#This Row],[نوع الجلسة]]=$BZ$4),1,0)</f>
        <v>0</v>
      </c>
      <c r="AB75" s="113">
        <f>IF(AND(الجدول14[[#This Row],[البرنامج]]="PLW",الجدول14[[#This Row],[نوع الجلسة]]=$BZ$4),الجدول14[[#This Row],[عدد الذكور]],0)</f>
        <v>0</v>
      </c>
      <c r="AC75" s="113">
        <f>IF(AND(الجدول14[[#This Row],[البرنامج]]="PLW",الجدول14[[#This Row],[نوع الجلسة]]=$BZ$4),الجدول14[[#This Row],[عدد الأناث]],0)</f>
        <v>0</v>
      </c>
      <c r="AD75" s="113" t="str">
        <f>IF(AND(الجدول14[[#This Row],[البرنامج]]="PLW",الجدول14[[#This Row],[نوع الجلسة]]=$BZ$4),الجدول14[[#This Row],[العمر الأكبر ضمن الجلسة]]," ")</f>
        <v xml:space="preserve"> </v>
      </c>
      <c r="AE75" s="113" t="str">
        <f>IF(AND(الجدول14[[#This Row],[البرنامج]]="PLW",الجدول14[[#This Row],[نوع الجلسة]]=$BZ$4),الجدول14[[#This Row],[العمر الأصغر ضمن الجلسة]]," ")</f>
        <v xml:space="preserve"> </v>
      </c>
      <c r="AF75" s="125">
        <f>IF(AND(الجدول14[[#This Row],[البرنامج]]="OOSCH",الجدول14[[#This Row],[نوع الجلسة]]=$BZ$7),1,0)</f>
        <v>0</v>
      </c>
      <c r="AG75" s="125">
        <f>IF(AND(الجدول14[[#This Row],[البرنامج]]="OOSCH",الجدول14[[#This Row],[نوع الجلسة]]=$BZ$7),الجدول14[[#This Row],[عدد الذكور]],0)</f>
        <v>0</v>
      </c>
      <c r="AH75" s="125">
        <f>IF(AND(الجدول14[[#This Row],[البرنامج]]="OOSCH",الجدول14[[#This Row],[نوع الجلسة]]=$BZ$7),الجدول14[[#This Row],[عدد الأناث]],0)</f>
        <v>0</v>
      </c>
      <c r="AI75" s="125" t="str">
        <f>IF(AND(الجدول14[[#This Row],[البرنامج]]="OOSCH",الجدول14[[#This Row],[نوع الجلسة]]=$BZ$7),الجدول14[[#This Row],[العمر الأكبر ضمن الجلسة]]," ")</f>
        <v xml:space="preserve"> </v>
      </c>
      <c r="AJ75" s="125" t="str">
        <f>IF(AND(الجدول14[[#This Row],[البرنامج]]="OOSCH",الجدول14[[#This Row],[نوع الجلسة]]=$BZ$7),الجدول14[[#This Row],[العمر الأصغر ضمن الجلسة]]," ")</f>
        <v xml:space="preserve"> </v>
      </c>
      <c r="AK75" s="126">
        <f>IF(AND(الجدول14[[#This Row],[البرنامج]]="OOSCH",الجدول14[[#This Row],[نوع الجلسة]]=$BZ$4),1,0)</f>
        <v>0</v>
      </c>
      <c r="AL75" s="126">
        <f>IF(AND(الجدول14[[#This Row],[البرنامج]]="OOSCH",الجدول14[[#This Row],[نوع الجلسة]]=$BZ$4),الجدول14[[#This Row],[عدد الذكور]],0)</f>
        <v>0</v>
      </c>
      <c r="AM75" s="126">
        <f>IF(AND(الجدول14[[#This Row],[البرنامج]]="OOSCH",الجدول14[[#This Row],[نوع الجلسة]]=$BZ$4),الجدول14[[#This Row],[عدد الأناث]],0)</f>
        <v>0</v>
      </c>
      <c r="AN75" s="126" t="str">
        <f>IF(AND(الجدول14[[#This Row],[البرنامج]]="OOSCH",الجدول14[[#This Row],[نوع الجلسة]]=$BZ$4),الجدول14[[#This Row],[العمر الأكبر ضمن الجلسة]]," ")</f>
        <v xml:space="preserve"> </v>
      </c>
      <c r="AO75" s="126" t="str">
        <f>IF(AND(الجدول14[[#This Row],[البرنامج]]="OOSCH",الجدول14[[#This Row],[نوع الجلسة]]=$BZ$4),الجدول14[[#This Row],[العمر الأصغر ضمن الجلسة]]," ")</f>
        <v xml:space="preserve"> </v>
      </c>
      <c r="AP75" s="123">
        <f>IF(AND(الجدول14[[#This Row],[نوع الجلسة]]=$BZ$5,الجدول14[[#This Row],[البرنامج]]=$BX$3),1,0)</f>
        <v>0</v>
      </c>
      <c r="AQ75" s="123">
        <f>IF(AND(الجدول14[[#This Row],[البرنامج]]="PLW",الجدول14[[#This Row],[نوع الجلسة]]=$BZ$5),الجدول14[[#This Row],[عدد الذكور]],0)</f>
        <v>0</v>
      </c>
      <c r="AR75" s="123">
        <f>IF(AND(الجدول14[[#This Row],[البرنامج]]="PLW",الجدول14[[#This Row],[نوع الجلسة]]=$BZ$5),الجدول14[[#This Row],[عدد الأناث]],0)</f>
        <v>0</v>
      </c>
      <c r="AS75" s="123" t="str">
        <f>IF(AND(الجدول14[[#This Row],[البرنامج]]="PLW",الجدول14[[#This Row],[نوع الجلسة]]=$BZ$5),الجدول14[[#This Row],[العمر الأكبر ضمن الجلسة]]," ")</f>
        <v xml:space="preserve"> </v>
      </c>
      <c r="AT75" s="123" t="str">
        <f>IF(AND(الجدول14[[#This Row],[البرنامج]]="PLW",الجدول14[[#This Row],[نوع الجلسة]]=$BZ$5),الجدول14[[#This Row],[العمر الأصغر ضمن الجلسة]]," ")</f>
        <v xml:space="preserve"> </v>
      </c>
      <c r="AU75" s="127">
        <f>IF(AND(الجدول14[[#This Row],[نوع الجلسة]]=$BZ$5,الجدول14[[#This Row],[البرنامج]]=$BX$2),1,0)</f>
        <v>0</v>
      </c>
      <c r="AV75" s="127">
        <f>IF(AND(الجدول14[[#This Row],[البرنامج]]="OOSCH",الجدول14[[#This Row],[نوع الجلسة]]=$BZ$5),الجدول14[[#This Row],[عدد الذكور]],0)</f>
        <v>0</v>
      </c>
      <c r="AW75" s="127">
        <f>IF(AND(الجدول14[[#This Row],[البرنامج]]="OOSCH",الجدول14[[#This Row],[نوع الجلسة]]=$BZ$5),الجدول14[[#This Row],[عدد الأناث]],0)</f>
        <v>0</v>
      </c>
      <c r="AX75" s="127" t="str">
        <f>IF(AND(الجدول14[[#This Row],[البرنامج]]="OOSCH",الجدول14[[#This Row],[نوع الجلسة]]=$BZ$5),الجدول14[[#This Row],[العمر الأكبر ضمن الجلسة]]," ")</f>
        <v xml:space="preserve"> </v>
      </c>
      <c r="AY75" s="127" t="str">
        <f>IF(AND(الجدول14[[#This Row],[البرنامج]]="OOSCH",الجدول14[[#This Row],[نوع الجلسة]]=$BZ$5),الجدول14[[#This Row],[العمر الأصغر ضمن الجلسة]]," ")</f>
        <v xml:space="preserve"> </v>
      </c>
      <c r="AZ75" s="121">
        <f>IF(AND(الجدول14[[#This Row],[نوع الجلسة]]=$BZ$6,الجدول14[[#This Row],[البرنامج]]=$BX$3),1,0)</f>
        <v>0</v>
      </c>
      <c r="BA75" s="121">
        <f>IF(AND(الجدول14[[#This Row],[البرنامج]]="PLW",الجدول14[[#This Row],[نوع الجلسة]]=$BZ$6),الجدول14[[#This Row],[عدد الذكور]],0)</f>
        <v>0</v>
      </c>
      <c r="BB75" s="121">
        <f>IF(AND(الجدول14[[#This Row],[البرنامج]]="PLW",الجدول14[[#This Row],[نوع الجلسة]]=$BZ$6),الجدول14[[#This Row],[عدد الأناث]],0)</f>
        <v>0</v>
      </c>
      <c r="BC75" s="121" t="str">
        <f>IF(AND(الجدول14[[#This Row],[البرنامج]]="PLW",الجدول14[[#This Row],[نوع الجلسة]]=$BZ$6),الجدول14[[#This Row],[العمر الأكبر ضمن الجلسة]]," ")</f>
        <v xml:space="preserve"> </v>
      </c>
      <c r="BD75" s="121" t="str">
        <f>IF(AND(الجدول14[[#This Row],[البرنامج]]="PLW",الجدول14[[#This Row],[نوع الجلسة]]=$BZ$6),الجدول14[[#This Row],[العمر الأصغر ضمن الجلسة]]," ")</f>
        <v xml:space="preserve"> </v>
      </c>
      <c r="BE75" s="122">
        <f>IF(AND(الجدول14[[#This Row],[نوع الجلسة]]=$BZ$6,الجدول14[[#This Row],[البرنامج]]=$BX$2),1,0)</f>
        <v>0</v>
      </c>
      <c r="BF75" s="122">
        <f>IF(AND(الجدول14[[#This Row],[البرنامج]]="OOSCH",الجدول14[[#This Row],[نوع الجلسة]]=$BZ$6),الجدول14[[#This Row],[عدد الذكور]],0)</f>
        <v>0</v>
      </c>
      <c r="BG75" s="122">
        <f>IF(AND(الجدول14[[#This Row],[البرنامج]]="OOSCH",الجدول14[[#This Row],[نوع الجلسة]]=$BZ$6),الجدول14[[#This Row],[عدد الأناث]],0)</f>
        <v>0</v>
      </c>
      <c r="BH75" s="122" t="str">
        <f>IF(AND(الجدول14[[#This Row],[البرنامج]]="OOSCH",الجدول14[[#This Row],[نوع الجلسة]]=$BZ$6),الجدول14[[#This Row],[العمر الأكبر ضمن الجلسة]]," ")</f>
        <v xml:space="preserve"> </v>
      </c>
      <c r="BI75" s="122" t="str">
        <f>IF(AND(الجدول14[[#This Row],[البرنامج]]="OOSCH",الجدول14[[#This Row],[نوع الجلسة]]=$BZ$6),الجدول14[[#This Row],[العمر الأصغر ضمن الجلسة]]," ")</f>
        <v xml:space="preserve"> </v>
      </c>
    </row>
    <row r="76" spans="4:61" ht="31.5" customHeight="1" x14ac:dyDescent="0.25">
      <c r="D76" s="9" t="s">
        <v>161</v>
      </c>
      <c r="E76" s="9"/>
      <c r="F76" s="9"/>
      <c r="G76" s="9"/>
      <c r="H76" s="9"/>
      <c r="I76" s="9"/>
      <c r="J76" s="9"/>
      <c r="K76" s="9">
        <f>SUBTOTAL(109,الجدول14[عدد المستفيدين])</f>
        <v>0</v>
      </c>
      <c r="L76" s="120">
        <f>SUBTOTAL(109,الجدول14[تعريف ببرنامج الـ PLW])</f>
        <v>0</v>
      </c>
      <c r="M76" s="120">
        <f>SUBTOTAL(109,الجدول14[عدد الذكور في جلسات التعريف بـ PLW])</f>
        <v>0</v>
      </c>
      <c r="N76" s="120">
        <f>SUBTOTAL(109,الجدول14[عدد الاناث في جلسات التعريف بـPLW])</f>
        <v>0</v>
      </c>
      <c r="O76" s="120">
        <f>SUBTOTAL(104,الجدول14[الفئة العمرية الكبرى في جلسات التعريف بـPLW])</f>
        <v>0</v>
      </c>
      <c r="P76" s="120">
        <f>SUBTOTAL(105,الجدول14[الفئة العمرية الصغرى في جلسات التعريف بـPLW])</f>
        <v>0</v>
      </c>
      <c r="Q76" s="123">
        <f>SUBTOTAL(109,الجدول14[تعريف ببرنامج الـ OOSCH])</f>
        <v>0</v>
      </c>
      <c r="R76" s="123">
        <f>SUBTOTAL(109,الجدول14[عدد الذكور في جلسات التعريف بـ OOSCH])</f>
        <v>0</v>
      </c>
      <c r="S76" s="123">
        <f>SUBTOTAL(109,الجدول14[عدد الاناث في جلسات التعريف بـOOSCH])</f>
        <v>0</v>
      </c>
      <c r="T76" s="123">
        <f>SUBTOTAL(104,الجدول14[الفئة العمرية الكبرى في جلسات التعريف بـOOSCH])</f>
        <v>0</v>
      </c>
      <c r="U76" s="123">
        <f>SUBTOTAL(105,الجدول14[الفئة العمرية الصغرى في جلسات التعريف بـOOSCH2])</f>
        <v>0</v>
      </c>
      <c r="V76" s="124">
        <f>SUBTOTAL(109,الجدول14[معلومات صحة تغذوية للسيدة الحامل])</f>
        <v>0</v>
      </c>
      <c r="W76" s="124">
        <f>SUBTOTAL(109,الجدول14[عدد الذكور في جلسات معلومات الصحة التغذوية])</f>
        <v>0</v>
      </c>
      <c r="X76" s="124">
        <f>SUBTOTAL(109,الجدول14[عدد الاناث في جلسات معلومات الصحة التغذوية])</f>
        <v>0</v>
      </c>
      <c r="Y76" s="124">
        <f>SUBTOTAL(104,الجدول14[فئة عمرية كبرى لجلسات الصحة التغذوية])</f>
        <v>0</v>
      </c>
      <c r="Z76" s="124">
        <f>SUBTOTAL(105,الجدول14[فئة عمرية صغرى لجلسات الصحة التغذوية])</f>
        <v>0</v>
      </c>
      <c r="AA76" s="113">
        <f>SUBTOTAL(109,الجدول14[تعليمات الية صرف البطاقة لـ PLW])</f>
        <v>0</v>
      </c>
      <c r="AB76" s="113">
        <f>SUBTOTAL(109,الجدول14[عدد الذكور في جلسات تعليم آلية صرف البطاقة لـPLW])</f>
        <v>0</v>
      </c>
      <c r="AC76" s="113">
        <f>SUBTOTAL(109,الجدول14[عدد الاناث في جلسات تعليم آلية صرف البطاقة لـPLW])</f>
        <v>0</v>
      </c>
      <c r="AD76" s="113">
        <f>SUBTOTAL(104,الجدول14[فئة عمرية كبرى لجلسات تعليم صرف البطاقة لـPLW])</f>
        <v>0</v>
      </c>
      <c r="AE76" s="113">
        <f>SUBTOTAL(105,الجدول14[فئة عمرية صغرى لجلسات تعليم صرف البطاقة لـPLW])</f>
        <v>0</v>
      </c>
      <c r="AF76" s="125">
        <f>SUBTOTAL(109,الجدول14[أهمية التعليم ومخاطر التسرب])</f>
        <v>0</v>
      </c>
      <c r="AG76" s="125">
        <f>SUBTOTAL(109,الجدول14[عدد الذكور في جلسات أهمية التعليم])</f>
        <v>0</v>
      </c>
      <c r="AH76" s="125">
        <f>SUBTOTAL(109,الجدول14[عدد الاناث في جلسات أهمية التعلم])</f>
        <v>0</v>
      </c>
      <c r="AI76" s="125">
        <f>SUBTOTAL(104,الجدول14[فئة عمرية كبرى لجلسات أهمية التعلم])</f>
        <v>0</v>
      </c>
      <c r="AJ76" s="125">
        <f>SUBTOTAL(105,الجدول14[فئة عمرية صغرى لجلسات أهمية التعلم])</f>
        <v>0</v>
      </c>
      <c r="AK76" s="126">
        <f>SUBTOTAL(109,الجدول14[تعليمات آلية صرف البطاقة لـOOSCH])</f>
        <v>0</v>
      </c>
      <c r="AL76" s="126">
        <f>SUBTOTAL(109,الجدول14[عدد الذكور في جلسات تعليم آلية صرف البطاقة لـOOSCH])</f>
        <v>0</v>
      </c>
      <c r="AM76" s="126">
        <f>SUBTOTAL(109,الجدول14[عدد الاناث في جلسات تعليم آلية صرف البطاقة لـOOSCH])</f>
        <v>0</v>
      </c>
      <c r="AN76" s="126">
        <f>SUBTOTAL(104,الجدول14[فئة عمرية كبرى لجلسات تعليم صرف البطاقة لـOOSCH])</f>
        <v>0</v>
      </c>
      <c r="AO76" s="126">
        <f>SUBTOTAL(105,الجدول14[فئة عمرية صغرى لجلسات تعليم صرف البطاقة لHـOOSC])</f>
        <v>0</v>
      </c>
      <c r="AP76" s="123">
        <f>SUBTOTAL(109,الجدول14[حماية PLW])</f>
        <v>0</v>
      </c>
      <c r="AQ76" s="123">
        <f>SUBTOTAL(109,الجدول14[عدد الذكور في جلسات حماية PLW])</f>
        <v>0</v>
      </c>
      <c r="AR76" s="123">
        <f>SUBTOTAL(109,الجدول14[عدد الاناث في جلسات حماية PLW])</f>
        <v>0</v>
      </c>
      <c r="AS76" s="123">
        <f>SUBTOTAL(104,الجدول14[فئة عمرية كبرى في جلسات حماية PLW])</f>
        <v>0</v>
      </c>
      <c r="AT76" s="123">
        <f>SUBTOTAL(105,الجدول14[فئة عمرية صغرى في جلسات حماية PLW])</f>
        <v>0</v>
      </c>
      <c r="AU76" s="127">
        <f>SUBTOTAL(109,الجدول14[حماية OOSCH])</f>
        <v>0</v>
      </c>
      <c r="AV76" s="127">
        <f>SUBTOTAL(109,الجدول14[عدد الذكور في جلسات حماية OOSCH])</f>
        <v>0</v>
      </c>
      <c r="AW76" s="127">
        <f>SUBTOTAL(109,الجدول14[عدد الاناث في جلسات حماية OOSCH])</f>
        <v>0</v>
      </c>
      <c r="AX76" s="127">
        <f>SUBTOTAL(104,الجدول14[فئة عمرية كبرى في جلسات حماية OOSCH])</f>
        <v>0</v>
      </c>
      <c r="AY76" s="127">
        <f>SUBTOTAL(105,الجدول14[فئة عمرية صغرى في جلسات حماية OOSCH])</f>
        <v>0</v>
      </c>
      <c r="AZ76" s="121">
        <f>SUBTOTAL(109,الجدول14[تشاور PLW])</f>
        <v>0</v>
      </c>
      <c r="BA76" s="121">
        <f>SUBTOTAL(109,الجدول14[عدد الذكور في جلسات التشاور لبرنامج PLW])</f>
        <v>0</v>
      </c>
      <c r="BB76" s="121">
        <f>SUBTOTAL(109,الجدول14[عدد الاناث في جلسات التشاور PLW])</f>
        <v>0</v>
      </c>
      <c r="BC76" s="121">
        <f>SUBTOTAL(104,الجدول14[فئة عمرية كبرى لجلسات التشاور PLW])</f>
        <v>0</v>
      </c>
      <c r="BD76" s="121">
        <f>SUBTOTAL(105,الجدول14[فئة عمرية صغرى لجلسات التشاور PLW])</f>
        <v>0</v>
      </c>
      <c r="BE76" s="122">
        <f>SUBTOTAL(109,الجدول14[تشاور OOSCH])</f>
        <v>0</v>
      </c>
      <c r="BF76" s="122">
        <f>SUBTOTAL(109,الجدول14[عدد الذكور في جلسات التشاور لبرنامج OOSCH])</f>
        <v>0</v>
      </c>
      <c r="BG76" s="122">
        <f>SUBTOTAL(109,الجدول14[عدد الاناث في جلسات التشاور OOSCH])</f>
        <v>0</v>
      </c>
      <c r="BH76" s="122">
        <f>SUBTOTAL(104,الجدول14[فئة عمرية كبرى لجلسات التشاور OOSCH])</f>
        <v>0</v>
      </c>
      <c r="BI76" s="122">
        <f>SUBTOTAL(105,الجدول14[فئة عمرية صغرى لجلسات التشاور OOSCH])</f>
        <v>0</v>
      </c>
    </row>
    <row r="78" spans="4:61" ht="31.5" customHeight="1" x14ac:dyDescent="0.2">
      <c r="BI78" s="153" t="s">
        <v>14</v>
      </c>
    </row>
  </sheetData>
  <sheetProtection algorithmName="SHA-512" hashValue="JysWSVNjgXMh+qFjI/MEOs5JAvUuKePoxuJ2vMki78ByJ6i5wUpTIkqIPfDU4DTYCW5+SnIxwJGVyR2yp0K3dQ==" saltValue="+BcGAURunUIi6HwTJoOkPQ==" spinCount="100000" sheet="1" sort="0"/>
  <protectedRanges>
    <protectedRange algorithmName="SHA-512" hashValue="gd/dmHLGnygHkJZV3VhhVt/I1EwgmxFvfur7KwyMFrJq/1Vn+mBoA2pV4+BxdG35hWmUlrP5D2ZK+JY+E5ByDA==" saltValue="SEP084YweGyAy4pV5JKlfQ==" spinCount="100000" sqref="D2:J75" name="لينا"/>
  </protectedRanges>
  <mergeCells count="1">
    <mergeCell ref="A4:B5"/>
  </mergeCells>
  <phoneticPr fontId="6" type="noConversion"/>
  <conditionalFormatting sqref="J2:J75">
    <cfRule type="cellIs" dxfId="212" priority="1" operator="equal">
      <formula>$BX$2</formula>
    </cfRule>
    <cfRule type="expression" dxfId="211" priority="2">
      <formula>$BX$2</formula>
    </cfRule>
  </conditionalFormatting>
  <dataValidations count="4">
    <dataValidation type="whole" operator="greaterThanOrEqual" allowBlank="1" showInputMessage="1" showErrorMessage="1" errorTitle="انتبه" error="لا يمكنك ادخال الا اعداد صحيحة" sqref="K13:U75 K2:K75 R3:U12 L3:P12 Q5:Q12 E2:F75">
      <formula1>0</formula1>
    </dataValidation>
    <dataValidation type="list" allowBlank="1" showInputMessage="1" showErrorMessage="1" sqref="J2:J75">
      <formula1>$BX$2:$BX$3</formula1>
    </dataValidation>
    <dataValidation type="whole" operator="greaterThanOrEqual" allowBlank="1" showInputMessage="1" showErrorMessage="1" sqref="G2:H75">
      <formula1>0</formula1>
    </dataValidation>
    <dataValidation type="list" allowBlank="1" showInputMessage="1" showErrorMessage="1" sqref="I2:I75">
      <formula1>$CA$2:$CA$7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6FF5CD77-403B-4048-AC6A-EF5EFC412FC4}">
            <xm:f>NOT(ISERROR(SEARCH($BX$3,J2)))</xm:f>
            <xm:f>$BX$3</xm:f>
            <x14:dxf>
              <fill>
                <patternFill>
                  <bgColor theme="5" tint="0.59996337778862885"/>
                </patternFill>
              </fill>
            </x14:dxf>
          </x14:cfRule>
          <xm:sqref>J2:J75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showGridLines="0" zoomScaleNormal="100" workbookViewId="0"/>
  </sheetViews>
  <sheetFormatPr defaultColWidth="9" defaultRowHeight="15" x14ac:dyDescent="0.25"/>
  <cols>
    <col min="1" max="1" width="16" style="8" customWidth="1"/>
    <col min="2" max="2" width="18.7109375" style="8" customWidth="1"/>
    <col min="3" max="5" width="9" style="8"/>
    <col min="6" max="6" width="15.28515625" style="8" customWidth="1"/>
    <col min="7" max="7" width="9" style="8"/>
    <col min="8" max="8" width="17.28515625" style="8" customWidth="1"/>
    <col min="9" max="14" width="9" style="8"/>
    <col min="15" max="15" width="14.28515625" style="8" bestFit="1" customWidth="1"/>
    <col min="16" max="16384" width="9" style="8"/>
  </cols>
  <sheetData>
    <row r="1" spans="1:4" ht="75" customHeight="1" x14ac:dyDescent="0.25">
      <c r="A1" s="12" t="s">
        <v>235</v>
      </c>
      <c r="B1" s="12" t="s">
        <v>236</v>
      </c>
    </row>
    <row r="2" spans="1:4" x14ac:dyDescent="0.25">
      <c r="A2" s="23"/>
      <c r="B2" s="23"/>
    </row>
    <row r="4" spans="1:4" ht="15.75" thickBot="1" x14ac:dyDescent="0.3"/>
    <row r="5" spans="1:4" x14ac:dyDescent="0.25">
      <c r="C5" s="465" t="s">
        <v>1</v>
      </c>
      <c r="D5" s="466"/>
    </row>
    <row r="6" spans="1:4" x14ac:dyDescent="0.25">
      <c r="C6" s="467"/>
      <c r="D6" s="468"/>
    </row>
    <row r="7" spans="1:4" x14ac:dyDescent="0.25">
      <c r="C7" s="467"/>
      <c r="D7" s="468"/>
    </row>
    <row r="8" spans="1:4" ht="15.75" thickBot="1" x14ac:dyDescent="0.3">
      <c r="C8" s="469"/>
      <c r="D8" s="470"/>
    </row>
    <row r="17" spans="6:6" x14ac:dyDescent="0.25">
      <c r="F17" s="153" t="s">
        <v>14</v>
      </c>
    </row>
  </sheetData>
  <sheetProtection algorithmName="SHA-512" hashValue="+SSrsfTiWqEOWvbtsg0E7z4U6XhyNvTr+LnZXMqnXA6E9eGCYZdCGr9Zh367LgEcHhFLcENEQOaXo5wpO6hhJg==" saltValue="aMgK9n8xiMHabc85TBtQBQ==" spinCount="100000" sheet="1" objects="1" scenarios="1"/>
  <protectedRanges>
    <protectedRange algorithmName="SHA-512" hashValue="ziQ1hAOlCIl3lEsLX8T6eWYvvOR2h6CPsiWQVb5Vkf/lRd1HWsMoxzP/paaVikCwG52UXd6kOUmynN7KVwFa9Q==" saltValue="Do96efDsM1GhwbOP5JaMEA==" spinCount="100000" sqref="A2:B2" name="عبير"/>
  </protectedRanges>
  <mergeCells count="1">
    <mergeCell ref="C5:D8"/>
  </mergeCells>
  <hyperlinks>
    <hyperlink ref="C5:D8" location="Report!A1" display="Report"/>
  </hyperlink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workbookViewId="0"/>
  </sheetViews>
  <sheetFormatPr defaultColWidth="9" defaultRowHeight="15.75" x14ac:dyDescent="0.25"/>
  <cols>
    <col min="1" max="1" width="14.7109375" style="14" customWidth="1"/>
    <col min="2" max="2" width="15.28515625" style="14" bestFit="1" customWidth="1"/>
    <col min="3" max="5" width="9" style="14"/>
    <col min="6" max="6" width="13.7109375" style="14" customWidth="1"/>
    <col min="7" max="7" width="8.85546875" style="14" customWidth="1"/>
    <col min="8" max="16384" width="9" style="14"/>
  </cols>
  <sheetData>
    <row r="1" spans="1:6" ht="78.75" x14ac:dyDescent="0.25">
      <c r="A1" s="13" t="s">
        <v>235</v>
      </c>
      <c r="B1" s="13" t="s">
        <v>236</v>
      </c>
    </row>
    <row r="2" spans="1:6" x14ac:dyDescent="0.25">
      <c r="A2" s="24"/>
      <c r="B2" s="24"/>
    </row>
    <row r="3" spans="1:6" ht="16.5" thickBot="1" x14ac:dyDescent="0.3"/>
    <row r="4" spans="1:6" ht="15.75" customHeight="1" x14ac:dyDescent="0.25">
      <c r="C4" s="465" t="s">
        <v>1</v>
      </c>
      <c r="D4" s="466"/>
    </row>
    <row r="5" spans="1:6" ht="15.75" customHeight="1" x14ac:dyDescent="0.25">
      <c r="C5" s="467"/>
      <c r="D5" s="468"/>
    </row>
    <row r="6" spans="1:6" ht="15.75" customHeight="1" x14ac:dyDescent="0.25">
      <c r="C6" s="467"/>
      <c r="D6" s="468"/>
    </row>
    <row r="7" spans="1:6" ht="15.75" customHeight="1" x14ac:dyDescent="0.25">
      <c r="C7" s="467"/>
      <c r="D7" s="468"/>
    </row>
    <row r="8" spans="1:6" ht="16.5" customHeight="1" thickBot="1" x14ac:dyDescent="0.3">
      <c r="C8" s="469"/>
      <c r="D8" s="470"/>
    </row>
    <row r="16" spans="1:6" x14ac:dyDescent="0.25">
      <c r="F16" s="153" t="s">
        <v>14</v>
      </c>
    </row>
  </sheetData>
  <sheetProtection algorithmName="SHA-512" hashValue="Wezj7iKckkutLmEEkl+jD5Lpc78wwxsJh8aRB9YoTL+/SB+mfMtycnbYyPqemcXvXbP6kRDO/DVRSHB/89VdVw==" saltValue="uj8mQT0HOToxphlkKSBaIw==" spinCount="100000" sheet="1" objects="1" scenarios="1"/>
  <protectedRanges>
    <protectedRange algorithmName="SHA-512" hashValue="5FJdpZAou7wf5S2iA8nncq92ZLOzbC6bC5MnkM5kxFCGvgxAuBiwAY/TD2jI4adRHDevD2t8z2YknQAA3GWVAg==" saltValue="s5YPjdjGhOR3wd3mCfLw5Q==" spinCount="100000" sqref="A2:B2" name="ياسمين"/>
  </protectedRanges>
  <mergeCells count="1">
    <mergeCell ref="C4:D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topLeftCell="H1" workbookViewId="0">
      <selection activeCell="S11" sqref="S11"/>
    </sheetView>
  </sheetViews>
  <sheetFormatPr defaultColWidth="9" defaultRowHeight="15" x14ac:dyDescent="0.25"/>
  <cols>
    <col min="1" max="1" width="14" style="19" customWidth="1"/>
    <col min="2" max="2" width="12.28515625" style="19" customWidth="1"/>
    <col min="3" max="3" width="24" style="19" customWidth="1"/>
    <col min="4" max="4" width="12.7109375" style="19" customWidth="1"/>
    <col min="5" max="5" width="8.7109375" style="19" bestFit="1" customWidth="1"/>
    <col min="6" max="6" width="5.28515625" style="19" customWidth="1"/>
    <col min="7" max="7" width="10.7109375" style="19" customWidth="1"/>
    <col min="8" max="8" width="25.140625" style="19" customWidth="1"/>
    <col min="9" max="9" width="13.7109375" style="19" customWidth="1"/>
    <col min="10" max="10" width="8.7109375" style="19" bestFit="1" customWidth="1"/>
    <col min="11" max="11" width="6.28515625" style="19" customWidth="1"/>
    <col min="12" max="12" width="11.7109375" style="19" customWidth="1"/>
    <col min="13" max="13" width="20.7109375" style="19" customWidth="1"/>
    <col min="14" max="17" width="9" style="19"/>
    <col min="18" max="18" width="22.85546875" style="19" bestFit="1" customWidth="1"/>
    <col min="19" max="16384" width="9" style="19"/>
  </cols>
  <sheetData>
    <row r="1" spans="1:15" ht="77.25" customHeight="1" x14ac:dyDescent="0.25">
      <c r="A1" s="56" t="s">
        <v>120</v>
      </c>
      <c r="B1" s="56" t="s">
        <v>237</v>
      </c>
      <c r="C1" s="56" t="s">
        <v>238</v>
      </c>
      <c r="D1" s="57" t="s">
        <v>239</v>
      </c>
      <c r="E1" s="57" t="s">
        <v>159</v>
      </c>
      <c r="F1" s="57" t="s">
        <v>158</v>
      </c>
      <c r="G1" s="57" t="s">
        <v>240</v>
      </c>
      <c r="H1" s="57" t="s">
        <v>241</v>
      </c>
      <c r="I1" s="57" t="s">
        <v>242</v>
      </c>
      <c r="J1" s="57" t="s">
        <v>243</v>
      </c>
      <c r="K1" s="57" t="s">
        <v>244</v>
      </c>
      <c r="L1" s="57" t="s">
        <v>245</v>
      </c>
      <c r="M1" s="58" t="s">
        <v>246</v>
      </c>
    </row>
    <row r="2" spans="1:15" x14ac:dyDescent="0.25">
      <c r="A2" s="241"/>
      <c r="B2" s="242"/>
      <c r="C2" s="242"/>
      <c r="D2" s="242"/>
      <c r="E2" s="242"/>
      <c r="F2" s="242"/>
      <c r="G2" s="54">
        <f>SUM(الجدول11[[#This Row],[ذكور]:[إناث]])</f>
        <v>0</v>
      </c>
      <c r="H2" s="243"/>
      <c r="I2" s="243"/>
      <c r="J2" s="243"/>
      <c r="K2" s="243"/>
      <c r="L2" s="54">
        <f>SUM(الجدول11[[#This Row],[الذكور]:[الاناث]])</f>
        <v>0</v>
      </c>
      <c r="M2" s="244"/>
    </row>
    <row r="3" spans="1:15" x14ac:dyDescent="0.25">
      <c r="A3" s="241"/>
      <c r="B3" s="242"/>
      <c r="C3" s="242"/>
      <c r="D3" s="242"/>
      <c r="E3" s="242"/>
      <c r="F3" s="242"/>
      <c r="G3" s="54">
        <f>SUM(الجدول11[[#This Row],[ذكور]:[إناث]])</f>
        <v>0</v>
      </c>
      <c r="H3" s="243"/>
      <c r="I3" s="243"/>
      <c r="J3" s="243"/>
      <c r="K3" s="243"/>
      <c r="L3" s="54">
        <f>SUM(الجدول11[[#This Row],[الذكور]:[الاناث]])</f>
        <v>0</v>
      </c>
      <c r="M3" s="244"/>
      <c r="O3" s="471" t="s">
        <v>1</v>
      </c>
    </row>
    <row r="4" spans="1:15" x14ac:dyDescent="0.25">
      <c r="A4" s="241"/>
      <c r="B4" s="242"/>
      <c r="C4" s="242"/>
      <c r="D4" s="242"/>
      <c r="E4" s="242"/>
      <c r="F4" s="242"/>
      <c r="G4" s="54">
        <f>SUM(الجدول11[[#This Row],[ذكور]:[إناث]])</f>
        <v>0</v>
      </c>
      <c r="H4" s="243"/>
      <c r="I4" s="243"/>
      <c r="J4" s="243"/>
      <c r="K4" s="243"/>
      <c r="L4" s="54">
        <f>SUM(الجدول11[[#This Row],[الذكور]:[الاناث]])</f>
        <v>0</v>
      </c>
      <c r="M4" s="244"/>
      <c r="O4" s="472"/>
    </row>
    <row r="5" spans="1:15" x14ac:dyDescent="0.25">
      <c r="A5" s="241"/>
      <c r="B5" s="242"/>
      <c r="C5" s="242"/>
      <c r="D5" s="242"/>
      <c r="E5" s="242"/>
      <c r="F5" s="242"/>
      <c r="G5" s="54">
        <f>SUM(الجدول11[[#This Row],[ذكور]:[إناث]])</f>
        <v>0</v>
      </c>
      <c r="H5" s="243"/>
      <c r="I5" s="243"/>
      <c r="J5" s="243"/>
      <c r="K5" s="243"/>
      <c r="L5" s="54">
        <f>SUM(الجدول11[[#This Row],[الذكور]:[الاناث]])</f>
        <v>0</v>
      </c>
      <c r="M5" s="244"/>
      <c r="O5" s="473"/>
    </row>
    <row r="6" spans="1:15" x14ac:dyDescent="0.25">
      <c r="A6" s="241"/>
      <c r="B6" s="242"/>
      <c r="C6" s="242"/>
      <c r="D6" s="242"/>
      <c r="E6" s="242"/>
      <c r="F6" s="242"/>
      <c r="G6" s="54">
        <f>SUM(الجدول11[[#This Row],[ذكور]:[إناث]])</f>
        <v>0</v>
      </c>
      <c r="H6" s="243"/>
      <c r="I6" s="243"/>
      <c r="J6" s="243"/>
      <c r="K6" s="243"/>
      <c r="L6" s="54">
        <f>SUM(الجدول11[[#This Row],[الذكور]:[الاناث]])</f>
        <v>0</v>
      </c>
      <c r="M6" s="244"/>
    </row>
    <row r="7" spans="1:15" x14ac:dyDescent="0.25">
      <c r="A7" s="241"/>
      <c r="B7" s="242"/>
      <c r="C7" s="242"/>
      <c r="D7" s="242"/>
      <c r="E7" s="242"/>
      <c r="F7" s="242"/>
      <c r="G7" s="54">
        <f>SUM(الجدول11[[#This Row],[ذكور]:[إناث]])</f>
        <v>0</v>
      </c>
      <c r="H7" s="243"/>
      <c r="I7" s="243"/>
      <c r="J7" s="243"/>
      <c r="K7" s="243"/>
      <c r="L7" s="54">
        <f>SUM(الجدول11[[#This Row],[الذكور]:[الاناث]])</f>
        <v>0</v>
      </c>
      <c r="M7" s="244"/>
    </row>
    <row r="8" spans="1:15" x14ac:dyDescent="0.25">
      <c r="A8" s="241"/>
      <c r="B8" s="242"/>
      <c r="C8" s="242"/>
      <c r="D8" s="242"/>
      <c r="E8" s="242"/>
      <c r="F8" s="242"/>
      <c r="G8" s="54">
        <f>SUM(الجدول11[[#This Row],[ذكور]:[إناث]])</f>
        <v>0</v>
      </c>
      <c r="H8" s="243"/>
      <c r="I8" s="243"/>
      <c r="J8" s="243"/>
      <c r="K8" s="243"/>
      <c r="L8" s="54">
        <f>SUM(الجدول11[[#This Row],[الذكور]:[الاناث]])</f>
        <v>0</v>
      </c>
      <c r="M8" s="244"/>
    </row>
    <row r="9" spans="1:15" x14ac:dyDescent="0.25">
      <c r="A9" s="241"/>
      <c r="B9" s="242"/>
      <c r="C9" s="242"/>
      <c r="D9" s="242"/>
      <c r="E9" s="242"/>
      <c r="F9" s="242"/>
      <c r="G9" s="54">
        <f>SUM(الجدول11[[#This Row],[ذكور]:[إناث]])</f>
        <v>0</v>
      </c>
      <c r="H9" s="243"/>
      <c r="I9" s="243"/>
      <c r="J9" s="243"/>
      <c r="K9" s="243"/>
      <c r="L9" s="54">
        <f>SUM(الجدول11[[#This Row],[الذكور]:[الاناث]])</f>
        <v>0</v>
      </c>
      <c r="M9" s="244"/>
    </row>
    <row r="10" spans="1:15" x14ac:dyDescent="0.25">
      <c r="A10" s="241"/>
      <c r="B10" s="242"/>
      <c r="C10" s="242"/>
      <c r="D10" s="242"/>
      <c r="E10" s="242"/>
      <c r="F10" s="242"/>
      <c r="G10" s="54">
        <f>SUM(الجدول11[[#This Row],[ذكور]:[إناث]])</f>
        <v>0</v>
      </c>
      <c r="H10" s="243"/>
      <c r="I10" s="243"/>
      <c r="J10" s="243"/>
      <c r="K10" s="243"/>
      <c r="L10" s="54">
        <f>SUM(الجدول11[[#This Row],[الذكور]:[الاناث]])</f>
        <v>0</v>
      </c>
      <c r="M10" s="244"/>
    </row>
    <row r="11" spans="1:15" x14ac:dyDescent="0.25">
      <c r="A11" s="241"/>
      <c r="B11" s="242"/>
      <c r="C11" s="242"/>
      <c r="D11" s="242"/>
      <c r="E11" s="242"/>
      <c r="F11" s="242"/>
      <c r="G11" s="54">
        <f>SUM(الجدول11[[#This Row],[ذكور]:[إناث]])</f>
        <v>0</v>
      </c>
      <c r="H11" s="243"/>
      <c r="I11" s="243"/>
      <c r="J11" s="243"/>
      <c r="K11" s="243"/>
      <c r="L11" s="54">
        <f>SUM(الجدول11[[#This Row],[الذكور]:[الاناث]])</f>
        <v>0</v>
      </c>
      <c r="M11" s="244"/>
    </row>
    <row r="12" spans="1:15" x14ac:dyDescent="0.25">
      <c r="A12" s="241"/>
      <c r="B12" s="242"/>
      <c r="C12" s="242"/>
      <c r="D12" s="242"/>
      <c r="E12" s="242"/>
      <c r="F12" s="242"/>
      <c r="G12" s="54">
        <f>SUM(الجدول11[[#This Row],[ذكور]:[إناث]])</f>
        <v>0</v>
      </c>
      <c r="H12" s="243"/>
      <c r="I12" s="243"/>
      <c r="J12" s="243"/>
      <c r="K12" s="243"/>
      <c r="L12" s="54">
        <f>SUM(الجدول11[[#This Row],[الذكور]:[الاناث]])</f>
        <v>0</v>
      </c>
      <c r="M12" s="244"/>
    </row>
    <row r="13" spans="1:15" x14ac:dyDescent="0.25">
      <c r="A13" s="241"/>
      <c r="B13" s="242"/>
      <c r="C13" s="242"/>
      <c r="D13" s="242"/>
      <c r="E13" s="242"/>
      <c r="F13" s="242"/>
      <c r="G13" s="54">
        <f>SUM(الجدول11[[#This Row],[ذكور]:[إناث]])</f>
        <v>0</v>
      </c>
      <c r="H13" s="243"/>
      <c r="I13" s="243"/>
      <c r="J13" s="243"/>
      <c r="K13" s="243"/>
      <c r="L13" s="54">
        <f>SUM(الجدول11[[#This Row],[الذكور]:[الاناث]])</f>
        <v>0</v>
      </c>
      <c r="M13" s="244"/>
    </row>
    <row r="14" spans="1:15" x14ac:dyDescent="0.25">
      <c r="A14" s="241"/>
      <c r="B14" s="242"/>
      <c r="C14" s="242"/>
      <c r="D14" s="242"/>
      <c r="E14" s="242"/>
      <c r="F14" s="242"/>
      <c r="G14" s="54">
        <f>SUM(الجدول11[[#This Row],[ذكور]:[إناث]])</f>
        <v>0</v>
      </c>
      <c r="H14" s="243"/>
      <c r="I14" s="243"/>
      <c r="J14" s="243"/>
      <c r="K14" s="243"/>
      <c r="L14" s="54">
        <f>SUM(الجدول11[[#This Row],[الذكور]:[الاناث]])</f>
        <v>0</v>
      </c>
      <c r="M14" s="244"/>
    </row>
    <row r="15" spans="1:15" x14ac:dyDescent="0.25">
      <c r="A15" s="241"/>
      <c r="B15" s="242"/>
      <c r="C15" s="242"/>
      <c r="D15" s="242"/>
      <c r="E15" s="242"/>
      <c r="F15" s="242"/>
      <c r="G15" s="54">
        <f>SUM(الجدول11[[#This Row],[ذكور]:[إناث]])</f>
        <v>0</v>
      </c>
      <c r="H15" s="243"/>
      <c r="I15" s="243"/>
      <c r="J15" s="243"/>
      <c r="K15" s="243"/>
      <c r="L15" s="54">
        <f>SUM(الجدول11[[#This Row],[الذكور]:[الاناث]])</f>
        <v>0</v>
      </c>
      <c r="M15" s="244"/>
    </row>
    <row r="16" spans="1:15" x14ac:dyDescent="0.25">
      <c r="A16" s="241"/>
      <c r="B16" s="242"/>
      <c r="C16" s="242"/>
      <c r="D16" s="242"/>
      <c r="E16" s="242"/>
      <c r="F16" s="242"/>
      <c r="G16" s="54">
        <f>SUM(الجدول11[[#This Row],[ذكور]:[إناث]])</f>
        <v>0</v>
      </c>
      <c r="H16" s="243"/>
      <c r="I16" s="243"/>
      <c r="J16" s="243"/>
      <c r="K16" s="243"/>
      <c r="L16" s="54">
        <f>SUM(الجدول11[[#This Row],[الذكور]:[الاناث]])</f>
        <v>0</v>
      </c>
      <c r="M16" s="244"/>
    </row>
    <row r="17" spans="1:13" x14ac:dyDescent="0.25">
      <c r="A17" s="241"/>
      <c r="B17" s="242"/>
      <c r="C17" s="242"/>
      <c r="D17" s="242"/>
      <c r="E17" s="242"/>
      <c r="F17" s="242"/>
      <c r="G17" s="54">
        <f>SUM(الجدول11[[#This Row],[ذكور]:[إناث]])</f>
        <v>0</v>
      </c>
      <c r="H17" s="243"/>
      <c r="I17" s="243"/>
      <c r="J17" s="243"/>
      <c r="K17" s="243"/>
      <c r="L17" s="54">
        <f>SUM(الجدول11[[#This Row],[الذكور]:[الاناث]])</f>
        <v>0</v>
      </c>
      <c r="M17" s="244"/>
    </row>
    <row r="18" spans="1:13" x14ac:dyDescent="0.25">
      <c r="A18" s="241"/>
      <c r="B18" s="242"/>
      <c r="C18" s="242"/>
      <c r="D18" s="242"/>
      <c r="E18" s="242"/>
      <c r="F18" s="242"/>
      <c r="G18" s="54">
        <f>SUM(الجدول11[[#This Row],[ذكور]:[إناث]])</f>
        <v>0</v>
      </c>
      <c r="H18" s="243"/>
      <c r="I18" s="243"/>
      <c r="J18" s="243"/>
      <c r="K18" s="243"/>
      <c r="L18" s="54">
        <f>SUM(الجدول11[[#This Row],[الذكور]:[الاناث]])</f>
        <v>0</v>
      </c>
      <c r="M18" s="244"/>
    </row>
    <row r="19" spans="1:13" x14ac:dyDescent="0.25">
      <c r="A19" s="241"/>
      <c r="B19" s="242"/>
      <c r="C19" s="242"/>
      <c r="D19" s="242"/>
      <c r="E19" s="242"/>
      <c r="F19" s="242"/>
      <c r="G19" s="54">
        <f>SUM(الجدول11[[#This Row],[ذكور]:[إناث]])</f>
        <v>0</v>
      </c>
      <c r="H19" s="243"/>
      <c r="I19" s="243"/>
      <c r="J19" s="243"/>
      <c r="K19" s="243"/>
      <c r="L19" s="54">
        <f>SUM(الجدول11[[#This Row],[الذكور]:[الاناث]])</f>
        <v>0</v>
      </c>
      <c r="M19" s="244"/>
    </row>
    <row r="20" spans="1:13" x14ac:dyDescent="0.25">
      <c r="A20" s="53">
        <f>SUBTOTAL(103,الجدول11[التاريخ])</f>
        <v>0</v>
      </c>
      <c r="B20" s="54"/>
      <c r="C20" s="54">
        <f>SUBTOTAL(109,الجدول11[(عدد الجلسات التدريبية/جلسات التوعية حول مسألة النوع والمنفذة لمصلحة موظفي الشريك ولجان إدارة المشروع])</f>
        <v>0</v>
      </c>
      <c r="D20" s="54"/>
      <c r="E20" s="54">
        <f>SUBTOTAL(109,الجدول11[ذكور])</f>
        <v>0</v>
      </c>
      <c r="F20" s="54">
        <f>SUBTOTAL(109,الجدول11[إناث])</f>
        <v>0</v>
      </c>
      <c r="G20" s="54">
        <f>SUBTOTAL(109,الجدول11[عدد الحضور])</f>
        <v>0</v>
      </c>
      <c r="H20" s="54">
        <f>SUBTOTAL(109,الجدول11[(عدد الجلسات التدريبية/جلسات التوعية حول مسألة النوع والمنفذة لمصلحة السكان المتضررين])</f>
        <v>0</v>
      </c>
      <c r="I20" s="54"/>
      <c r="J20" s="54">
        <f>SUBTOTAL(109,الجدول11[الذكور])</f>
        <v>0</v>
      </c>
      <c r="K20" s="54">
        <f>SUBTOTAL(109,الجدول11[الاناث])</f>
        <v>0</v>
      </c>
      <c r="L20" s="54">
        <f>SUBTOTAL(109,الجدول11[عدد لحضور])</f>
        <v>0</v>
      </c>
      <c r="M20" s="55"/>
    </row>
    <row r="23" spans="1:13" x14ac:dyDescent="0.2">
      <c r="M23" s="153" t="s">
        <v>14</v>
      </c>
    </row>
  </sheetData>
  <sheetProtection algorithmName="SHA-512" hashValue="zHpXjoc0dAixPXetgkINkf95PsLLD1m2XWXg8xmZGgQODYVccMYPFKa4WDxdCB9VQa/ZXnZjuBIyYWWSbNsovQ==" saltValue="FlxOeem5rQUdsur6W+tPIQ==" spinCount="100000" sheet="1" objects="1" scenarios="1"/>
  <protectedRanges>
    <protectedRange algorithmName="SHA-512" hashValue="7YcV3pwseNFih+2/y3rYpXdEz9HPfIx8U+5XSA0mTOMOeAWqhVKtnyEgZgk4EY0FiVfw0Q9lPZawjTviFN1/IA==" saltValue="m2BN+K4dAsfMTJl6iRZtNQ==" spinCount="100000" sqref="A2:F19" name="نور3"/>
    <protectedRange algorithmName="SHA-512" hashValue="FmeWPfLWy/JSM9UjyR7Eh0Zhk/MlE145GzwNl58kAhxKru+CzG09EEDd8yGO1ufSNRMupPDXf4hwfCZVNQ+PNw==" saltValue="AW5/jyCGlBt3lPbBbcw1ew==" spinCount="100000" sqref="H2:K19" name="نور2"/>
    <protectedRange algorithmName="SHA-512" hashValue="/3zG6u2JCA2PhTnT0YmF4MGWEzh2677Iastd4MlywirRjzHRIk4SLbYTBtJYyIJ6ytbCXsDOAQl4ZC1pe3Q3iQ==" saltValue="zGhON5ZlowtrMNIS+GANfA==" spinCount="100000" sqref="M2:M19" name="نور"/>
  </protectedRanges>
  <mergeCells count="1">
    <mergeCell ref="O3:O5"/>
  </mergeCells>
  <dataValidations count="2">
    <dataValidation type="list" allowBlank="1" showInputMessage="1" showErrorMessage="1" sqref="B2:B19">
      <formula1>"أثر, نبض"</formula1>
    </dataValidation>
    <dataValidation type="whole" operator="greaterThanOrEqual" allowBlank="1" showInputMessage="1" showErrorMessage="1" error="يرجى ادخال ارقام صحيحة فقط" sqref="J2:K19 E2:F19 H2:H19 C2:C19">
      <formula1>0</formula1>
    </dataValidation>
  </dataValidations>
  <hyperlinks>
    <hyperlink ref="O3:O5" location="Report!A1" display="Report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"/>
  <sheetViews>
    <sheetView showGridLines="0" topLeftCell="D1" zoomScaleNormal="100" workbookViewId="0">
      <selection activeCell="I3" sqref="I3"/>
    </sheetView>
  </sheetViews>
  <sheetFormatPr defaultColWidth="9" defaultRowHeight="15" x14ac:dyDescent="0.25"/>
  <cols>
    <col min="1" max="1" width="31.28515625" style="1" customWidth="1"/>
    <col min="2" max="2" width="33" style="1" customWidth="1"/>
    <col min="3" max="3" width="49.85546875" style="1" bestFit="1" customWidth="1"/>
    <col min="4" max="4" width="68" style="1" customWidth="1"/>
    <col min="5" max="6" width="16.7109375" style="1" bestFit="1" customWidth="1"/>
    <col min="7" max="28" width="9" style="1"/>
    <col min="29" max="29" width="10.140625" style="1" bestFit="1" customWidth="1"/>
    <col min="30" max="16384" width="9" style="1"/>
  </cols>
  <sheetData>
    <row r="1" spans="1:29" ht="18.75" x14ac:dyDescent="0.25">
      <c r="A1" s="404" t="s">
        <v>162</v>
      </c>
      <c r="B1" s="404"/>
      <c r="C1" s="404"/>
      <c r="D1" s="404"/>
      <c r="E1" s="404"/>
      <c r="F1" s="404"/>
    </row>
    <row r="2" spans="1:29" ht="32.25" thickBot="1" x14ac:dyDescent="0.3">
      <c r="A2" s="81" t="s">
        <v>163</v>
      </c>
      <c r="B2" s="81" t="s">
        <v>164</v>
      </c>
      <c r="C2" s="81" t="s">
        <v>165</v>
      </c>
      <c r="D2" s="82" t="s">
        <v>166</v>
      </c>
      <c r="E2" s="82" t="s">
        <v>167</v>
      </c>
      <c r="F2" s="83" t="s">
        <v>168</v>
      </c>
      <c r="AC2" s="1" t="s">
        <v>169</v>
      </c>
    </row>
    <row r="3" spans="1:29" ht="15.75" x14ac:dyDescent="0.25">
      <c r="A3" s="474"/>
      <c r="B3" s="439"/>
      <c r="C3" s="162"/>
      <c r="D3" s="164"/>
      <c r="E3" s="504">
        <f>IF(Monitoring_ATHAR!$B3="Shopiko",1,0)</f>
        <v>0</v>
      </c>
      <c r="F3" s="506">
        <f>IF(Monitoring_ATHAR!$B3="Silver Shop",1,0)</f>
        <v>0</v>
      </c>
      <c r="AC3" s="1" t="s">
        <v>170</v>
      </c>
    </row>
    <row r="4" spans="1:29" ht="16.5" thickBot="1" x14ac:dyDescent="0.3">
      <c r="A4" s="475"/>
      <c r="B4" s="440"/>
      <c r="C4" s="163"/>
      <c r="D4" s="202"/>
      <c r="E4" s="425"/>
      <c r="F4" s="507"/>
      <c r="AC4" s="1" t="s">
        <v>171</v>
      </c>
    </row>
    <row r="5" spans="1:29" ht="16.5" thickBot="1" x14ac:dyDescent="0.3">
      <c r="A5" s="476"/>
      <c r="B5" s="441"/>
      <c r="C5" s="183"/>
      <c r="D5" s="203"/>
      <c r="E5" s="505"/>
      <c r="F5" s="508"/>
      <c r="H5" s="509" t="s">
        <v>1</v>
      </c>
      <c r="I5" s="510"/>
      <c r="AC5" s="1" t="s">
        <v>172</v>
      </c>
    </row>
    <row r="6" spans="1:29" ht="15.75" x14ac:dyDescent="0.25">
      <c r="A6" s="477"/>
      <c r="B6" s="495"/>
      <c r="C6" s="184"/>
      <c r="D6" s="165"/>
      <c r="E6" s="515">
        <f>IF(Monitoring_ATHAR!$B6="Shopiko",1,0)</f>
        <v>0</v>
      </c>
      <c r="F6" s="518">
        <f>IF(Monitoring_ATHAR!$B6="Silver Shop",1,0)</f>
        <v>0</v>
      </c>
      <c r="H6" s="511"/>
      <c r="I6" s="512"/>
    </row>
    <row r="7" spans="1:29" ht="15.75" x14ac:dyDescent="0.25">
      <c r="A7" s="478"/>
      <c r="B7" s="496"/>
      <c r="C7" s="185"/>
      <c r="D7" s="204"/>
      <c r="E7" s="516"/>
      <c r="F7" s="519"/>
      <c r="H7" s="511"/>
      <c r="I7" s="512"/>
    </row>
    <row r="8" spans="1:29" ht="15.75" x14ac:dyDescent="0.25">
      <c r="A8" s="479"/>
      <c r="B8" s="497"/>
      <c r="C8" s="186"/>
      <c r="D8" s="205"/>
      <c r="E8" s="517"/>
      <c r="F8" s="520"/>
      <c r="H8" s="513"/>
      <c r="I8" s="514"/>
    </row>
    <row r="9" spans="1:29" ht="15.75" x14ac:dyDescent="0.25">
      <c r="A9" s="480"/>
      <c r="B9" s="458"/>
      <c r="C9" s="187"/>
      <c r="D9" s="166"/>
      <c r="E9" s="504">
        <f>IF(Monitoring_ATHAR!$B9="Shopiko",1,0)</f>
        <v>0</v>
      </c>
      <c r="F9" s="506">
        <f>IF(Monitoring_ATHAR!$B9="Silver Shop",1,0)</f>
        <v>0</v>
      </c>
    </row>
    <row r="10" spans="1:29" ht="15.75" x14ac:dyDescent="0.25">
      <c r="A10" s="481"/>
      <c r="B10" s="459"/>
      <c r="C10" s="188"/>
      <c r="D10" s="206"/>
      <c r="E10" s="425"/>
      <c r="F10" s="507"/>
    </row>
    <row r="11" spans="1:29" ht="16.5" thickBot="1" x14ac:dyDescent="0.3">
      <c r="A11" s="482"/>
      <c r="B11" s="460"/>
      <c r="C11" s="189"/>
      <c r="D11" s="207"/>
      <c r="E11" s="505"/>
      <c r="F11" s="508"/>
    </row>
    <row r="12" spans="1:29" ht="15.75" x14ac:dyDescent="0.25">
      <c r="A12" s="483"/>
      <c r="B12" s="446"/>
      <c r="C12" s="190"/>
      <c r="D12" s="167"/>
      <c r="E12" s="515">
        <f>IF(Monitoring_ATHAR!$B12="Shopiko",1,0)</f>
        <v>0</v>
      </c>
      <c r="F12" s="518">
        <f>IF(Monitoring_ATHAR!$B12="Silver Shop",1,0)</f>
        <v>0</v>
      </c>
    </row>
    <row r="13" spans="1:29" ht="15.75" x14ac:dyDescent="0.25">
      <c r="A13" s="484"/>
      <c r="B13" s="447"/>
      <c r="C13" s="191"/>
      <c r="D13" s="208"/>
      <c r="E13" s="516"/>
      <c r="F13" s="519"/>
    </row>
    <row r="14" spans="1:29" ht="16.5" thickBot="1" x14ac:dyDescent="0.3">
      <c r="A14" s="485"/>
      <c r="B14" s="448"/>
      <c r="C14" s="192"/>
      <c r="D14" s="209"/>
      <c r="E14" s="517"/>
      <c r="F14" s="520"/>
    </row>
    <row r="15" spans="1:29" ht="15.75" x14ac:dyDescent="0.25">
      <c r="A15" s="486"/>
      <c r="B15" s="498"/>
      <c r="C15" s="193"/>
      <c r="D15" s="168"/>
      <c r="E15" s="504">
        <f>IF(Monitoring_ATHAR!$B15="Shopiko",1,0)</f>
        <v>0</v>
      </c>
      <c r="F15" s="506">
        <f>IF(Monitoring_ATHAR!$B15="Silver Shop",1,0)</f>
        <v>0</v>
      </c>
    </row>
    <row r="16" spans="1:29" ht="15.75" x14ac:dyDescent="0.25">
      <c r="A16" s="487"/>
      <c r="B16" s="499"/>
      <c r="C16" s="194"/>
      <c r="D16" s="210"/>
      <c r="E16" s="425"/>
      <c r="F16" s="507"/>
    </row>
    <row r="17" spans="1:6" ht="16.5" thickBot="1" x14ac:dyDescent="0.3">
      <c r="A17" s="488"/>
      <c r="B17" s="500"/>
      <c r="C17" s="195"/>
      <c r="D17" s="211"/>
      <c r="E17" s="505"/>
      <c r="F17" s="508"/>
    </row>
    <row r="18" spans="1:6" ht="15.75" x14ac:dyDescent="0.25">
      <c r="A18" s="489"/>
      <c r="B18" s="501"/>
      <c r="C18" s="196"/>
      <c r="D18" s="169"/>
      <c r="E18" s="515">
        <f>IF(Monitoring_ATHAR!$B18="Shopiko",1,0)</f>
        <v>0</v>
      </c>
      <c r="F18" s="518">
        <f>IF(Monitoring_ATHAR!$B18="Silver Shop",1,0)</f>
        <v>0</v>
      </c>
    </row>
    <row r="19" spans="1:6" ht="15.75" x14ac:dyDescent="0.25">
      <c r="A19" s="490"/>
      <c r="B19" s="502"/>
      <c r="C19" s="197"/>
      <c r="D19" s="212"/>
      <c r="E19" s="516"/>
      <c r="F19" s="519"/>
    </row>
    <row r="20" spans="1:6" ht="16.5" thickBot="1" x14ac:dyDescent="0.3">
      <c r="A20" s="491"/>
      <c r="B20" s="503"/>
      <c r="C20" s="198"/>
      <c r="D20" s="213"/>
      <c r="E20" s="517"/>
      <c r="F20" s="520"/>
    </row>
    <row r="21" spans="1:6" ht="15.75" x14ac:dyDescent="0.25">
      <c r="A21" s="492"/>
      <c r="B21" s="452"/>
      <c r="C21" s="199"/>
      <c r="D21" s="170"/>
      <c r="E21" s="504">
        <f>IF(Monitoring_ATHAR!$B21="Shopiko",1,0)</f>
        <v>0</v>
      </c>
      <c r="F21" s="506">
        <f>IF(Monitoring_ATHAR!$B21="Silver Shop",1,0)</f>
        <v>0</v>
      </c>
    </row>
    <row r="22" spans="1:6" ht="15.75" x14ac:dyDescent="0.25">
      <c r="A22" s="493"/>
      <c r="B22" s="453"/>
      <c r="C22" s="200"/>
      <c r="D22" s="214"/>
      <c r="E22" s="425"/>
      <c r="F22" s="507"/>
    </row>
    <row r="23" spans="1:6" ht="16.5" thickBot="1" x14ac:dyDescent="0.3">
      <c r="A23" s="494"/>
      <c r="B23" s="454"/>
      <c r="C23" s="201"/>
      <c r="D23" s="215"/>
      <c r="E23" s="505"/>
      <c r="F23" s="508"/>
    </row>
    <row r="24" spans="1:6" ht="16.5" thickBot="1" x14ac:dyDescent="0.3">
      <c r="A24" s="112">
        <f>SUBTOTAL(103,Monitoring_ATHAR!$A$3:$A$23)</f>
        <v>0</v>
      </c>
      <c r="B24" s="216">
        <f>SUBTOTAL(109,Monitoring_ATHAR!$B$3:$B$23)</f>
        <v>0</v>
      </c>
      <c r="C24" s="181"/>
      <c r="D24" s="171"/>
      <c r="E24" s="10">
        <f>SUBTOTAL(109,Monitoring_ATHAR!$E$3:$E$23)</f>
        <v>0</v>
      </c>
      <c r="F24" s="9">
        <f>SUBTOTAL(109,Monitoring_ATHAR!$F$3:$F$23)</f>
        <v>0</v>
      </c>
    </row>
    <row r="25" spans="1:6" ht="19.5" thickBot="1" x14ac:dyDescent="0.3">
      <c r="A25" s="442" t="s">
        <v>173</v>
      </c>
      <c r="B25" s="442"/>
      <c r="C25" s="182"/>
    </row>
    <row r="26" spans="1:6" ht="15.75" x14ac:dyDescent="0.25">
      <c r="A26" s="64" t="s">
        <v>163</v>
      </c>
      <c r="B26" s="65" t="s">
        <v>164</v>
      </c>
      <c r="C26" s="76" t="s">
        <v>171</v>
      </c>
      <c r="D26" s="76" t="s">
        <v>172</v>
      </c>
    </row>
    <row r="27" spans="1:6" ht="15.75" x14ac:dyDescent="0.25">
      <c r="A27" s="70"/>
      <c r="B27" s="66"/>
      <c r="C27" s="77">
        <f>IF(الجدول16[[#This Row],[الموقع]]="Athar",1,0)</f>
        <v>0</v>
      </c>
      <c r="D27" s="77">
        <f>IF(الجدول16[[#This Row],[الموقع]]="Nabedh",1,0)</f>
        <v>0</v>
      </c>
    </row>
    <row r="28" spans="1:6" ht="15.75" x14ac:dyDescent="0.25">
      <c r="A28" s="71"/>
      <c r="B28" s="47"/>
      <c r="C28" s="73">
        <f>IF(الجدول16[[#This Row],[الموقع]]="Athar",1,0)</f>
        <v>0</v>
      </c>
      <c r="D28" s="73">
        <f>IF(الجدول16[[#This Row],[الموقع]]="Nabedh",1,0)</f>
        <v>0</v>
      </c>
    </row>
    <row r="29" spans="1:6" ht="15.75" x14ac:dyDescent="0.25">
      <c r="A29" s="70"/>
      <c r="B29" s="67"/>
      <c r="C29" s="75">
        <f>IF(الجدول16[[#This Row],[الموقع]]="Athar",1,0)</f>
        <v>0</v>
      </c>
      <c r="D29" s="75">
        <f>IF(الجدول16[[#This Row],[الموقع]]="Nabedh",1,0)</f>
        <v>0</v>
      </c>
    </row>
    <row r="30" spans="1:6" ht="15.75" x14ac:dyDescent="0.25">
      <c r="A30" s="71"/>
      <c r="B30" s="47"/>
      <c r="C30" s="73">
        <f>IF(الجدول16[[#This Row],[الموقع]]="Athar",1,0)</f>
        <v>0</v>
      </c>
      <c r="D30" s="73">
        <f>IF(الجدول16[[#This Row],[الموقع]]="Nabedh",1,0)</f>
        <v>0</v>
      </c>
    </row>
    <row r="31" spans="1:6" ht="15.75" x14ac:dyDescent="0.25">
      <c r="A31" s="70"/>
      <c r="B31" s="67"/>
      <c r="C31" s="75">
        <f>IF(الجدول16[[#This Row],[الموقع]]="Athar",1,0)</f>
        <v>0</v>
      </c>
      <c r="D31" s="75">
        <f>IF(الجدول16[[#This Row],[الموقع]]="Nabedh",1,0)</f>
        <v>0</v>
      </c>
    </row>
    <row r="32" spans="1:6" ht="15.75" x14ac:dyDescent="0.25">
      <c r="A32" s="71"/>
      <c r="B32" s="47"/>
      <c r="C32" s="73">
        <f>IF(الجدول16[[#This Row],[الموقع]]="Athar",1,0)</f>
        <v>0</v>
      </c>
      <c r="D32" s="73">
        <f>IF(الجدول16[[#This Row],[الموقع]]="Nabedh",1,0)</f>
        <v>0</v>
      </c>
    </row>
    <row r="33" spans="1:6" ht="15.75" x14ac:dyDescent="0.25">
      <c r="A33" s="71"/>
      <c r="B33" s="47"/>
      <c r="C33" s="73">
        <f>IF(الجدول16[[#This Row],[الموقع]]="Athar",1,0)</f>
        <v>0</v>
      </c>
      <c r="D33" s="73">
        <f>IF(الجدول16[[#This Row],[الموقع]]="Nabedh",1,0)</f>
        <v>0</v>
      </c>
    </row>
    <row r="34" spans="1:6" ht="15.75" x14ac:dyDescent="0.25">
      <c r="A34" s="71"/>
      <c r="B34" s="47"/>
      <c r="C34" s="73">
        <f>IF(الجدول16[[#This Row],[الموقع]]="Athar",1,0)</f>
        <v>0</v>
      </c>
      <c r="D34" s="73">
        <f>IF(الجدول16[[#This Row],[الموقع]]="Nabedh",1,0)</f>
        <v>0</v>
      </c>
    </row>
    <row r="35" spans="1:6" ht="15.75" x14ac:dyDescent="0.25">
      <c r="A35" s="72"/>
      <c r="B35" s="63"/>
      <c r="C35" s="73">
        <f>IF(الجدول16[[#This Row],[الموقع]]="Athar",1,0)</f>
        <v>0</v>
      </c>
      <c r="D35" s="73">
        <f>IF(الجدول16[[#This Row],[الموقع]]="Nabedh",1,0)</f>
        <v>0</v>
      </c>
    </row>
    <row r="36" spans="1:6" ht="15.75" x14ac:dyDescent="0.25">
      <c r="A36" s="72"/>
      <c r="B36" s="63"/>
      <c r="C36" s="73">
        <f>IF(الجدول16[[#This Row],[الموقع]]="Athar",1,0)</f>
        <v>0</v>
      </c>
      <c r="D36" s="73">
        <f>IF(الجدول16[[#This Row],[الموقع]]="Nabedh",1,0)</f>
        <v>0</v>
      </c>
    </row>
    <row r="37" spans="1:6" ht="15.75" x14ac:dyDescent="0.25">
      <c r="A37" s="72"/>
      <c r="B37" s="63"/>
      <c r="C37" s="73">
        <f>IF(الجدول16[[#This Row],[الموقع]]="Athar",1,0)</f>
        <v>0</v>
      </c>
      <c r="D37" s="73">
        <f>IF(الجدول16[[#This Row],[الموقع]]="Nabedh",1,0)</f>
        <v>0</v>
      </c>
    </row>
    <row r="38" spans="1:6" ht="15.75" x14ac:dyDescent="0.25">
      <c r="A38" s="72"/>
      <c r="B38" s="63"/>
      <c r="C38" s="74">
        <f>IF(الجدول16[[#This Row],[الموقع]]="Athar",1,0)</f>
        <v>0</v>
      </c>
      <c r="D38" s="74">
        <f>IF(الجدول16[[#This Row],[الموقع]]="Nabedh",1,0)</f>
        <v>0</v>
      </c>
    </row>
    <row r="39" spans="1:6" ht="15.75" x14ac:dyDescent="0.25">
      <c r="A39" s="68" t="s">
        <v>161</v>
      </c>
      <c r="B39" s="69">
        <f>SUBTOTAL(103,الجدول16[الموقع])</f>
        <v>0</v>
      </c>
      <c r="C39" s="62">
        <f>SUBTOTAL(109,الجدول16[Athar])</f>
        <v>0</v>
      </c>
      <c r="D39" s="62">
        <f>SUBTOTAL(109,الجدول16[Nabedh])</f>
        <v>0</v>
      </c>
      <c r="F39" s="153" t="s">
        <v>14</v>
      </c>
    </row>
  </sheetData>
  <sheetProtection algorithmName="SHA-512" hashValue="mITsHBPq9pf6UeinZfWOgUm5ooQh2w3eiOSyLJ3q+WrZORAUL/Mf3RW1J5kk34VZ+4Q7nfOH3bqsLCLbJgQxEQ==" saltValue="W1l0IPdrHENIrSNx7hLbAA==" spinCount="100000" sheet="1" objects="1" scenarios="1"/>
  <protectedRanges>
    <protectedRange algorithmName="SHA-512" hashValue="iPrWdFQJjDPCLlRe3xUImaambNl/PZA3RHdQkK1u5ESdCak5ARVCTG0NVxtiTeviCIyc6uYxTxrHXmhBEgmQBw==" saltValue="Q3XaH9sf8BZxoArjqxU/Nw==" spinCount="100000" sqref="A3:D23" name="تمام"/>
    <protectedRange algorithmName="SHA-512" hashValue="jVKupNnBLpew20mPMFm/yKBqd/eCHa4up2OPyjSGNUvb9y8sizVayaoX5UDIgiacTdZzMHenjAhSj6kLTUhaSg==" saltValue="Cqik5UBGJiBFCAxWnvUheg==" spinCount="100000" sqref="A27:B38" name="تمام 2"/>
  </protectedRanges>
  <mergeCells count="31">
    <mergeCell ref="E21:E23"/>
    <mergeCell ref="F21:F23"/>
    <mergeCell ref="H5:I8"/>
    <mergeCell ref="E12:E14"/>
    <mergeCell ref="F12:F14"/>
    <mergeCell ref="E15:E17"/>
    <mergeCell ref="F15:F17"/>
    <mergeCell ref="E18:E20"/>
    <mergeCell ref="F18:F20"/>
    <mergeCell ref="E3:E5"/>
    <mergeCell ref="F3:F5"/>
    <mergeCell ref="E6:E8"/>
    <mergeCell ref="F6:F8"/>
    <mergeCell ref="E9:E11"/>
    <mergeCell ref="F9:F11"/>
    <mergeCell ref="A25:B25"/>
    <mergeCell ref="A1:F1"/>
    <mergeCell ref="A3:A5"/>
    <mergeCell ref="A6:A8"/>
    <mergeCell ref="A9:A11"/>
    <mergeCell ref="A12:A14"/>
    <mergeCell ref="A15:A17"/>
    <mergeCell ref="A18:A20"/>
    <mergeCell ref="A21:A23"/>
    <mergeCell ref="B3:B5"/>
    <mergeCell ref="B6:B8"/>
    <mergeCell ref="B9:B11"/>
    <mergeCell ref="B12:B14"/>
    <mergeCell ref="B15:B17"/>
    <mergeCell ref="B18:B20"/>
    <mergeCell ref="B21:B23"/>
  </mergeCells>
  <phoneticPr fontId="6" type="noConversion"/>
  <dataValidations count="2">
    <dataValidation type="list" operator="notEqual" allowBlank="1" showInputMessage="1" showErrorMessage="1" errorTitle="انتبه" error="لا يمكنك ادخال الا اعداد صحيحة_x000a_" sqref="B27:B38">
      <formula1>$AC$4:$AC$5</formula1>
    </dataValidation>
    <dataValidation type="list" operator="notEqual" allowBlank="1" showInputMessage="1" showErrorMessage="1" errorTitle="انتبه" error="لا يمكنك ادخال الا اعداد صحيحة_x000a_" sqref="B3 B21 B18 B15 B12 B9 B6">
      <formula1>$AC$2:$AC$3</formula1>
    </dataValidation>
  </dataValidations>
  <hyperlinks>
    <hyperlink ref="H5:I8" location="Report!A1" display="Report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showGridLines="0" workbookViewId="0">
      <selection activeCell="F5" sqref="F5:F7"/>
    </sheetView>
  </sheetViews>
  <sheetFormatPr defaultRowHeight="15" x14ac:dyDescent="0.25"/>
  <cols>
    <col min="1" max="2" width="12.140625" customWidth="1"/>
    <col min="3" max="3" width="10.140625" customWidth="1"/>
    <col min="6" max="6" width="13.7109375" bestFit="1" customWidth="1"/>
  </cols>
  <sheetData>
    <row r="1" spans="1:6" ht="75" x14ac:dyDescent="0.25">
      <c r="A1" s="12" t="s">
        <v>88</v>
      </c>
      <c r="B1" s="12" t="s">
        <v>247</v>
      </c>
      <c r="C1" s="12" t="s">
        <v>248</v>
      </c>
    </row>
    <row r="2" spans="1:6" x14ac:dyDescent="0.25">
      <c r="A2" s="9"/>
      <c r="B2" s="9"/>
      <c r="C2" s="2"/>
    </row>
    <row r="4" spans="1:6" ht="15.75" thickBot="1" x14ac:dyDescent="0.3"/>
    <row r="5" spans="1:6" x14ac:dyDescent="0.25">
      <c r="F5" s="521" t="s">
        <v>1</v>
      </c>
    </row>
    <row r="6" spans="1:6" x14ac:dyDescent="0.25">
      <c r="F6" s="522"/>
    </row>
    <row r="7" spans="1:6" ht="15.75" thickBot="1" x14ac:dyDescent="0.3">
      <c r="F7" s="523"/>
    </row>
    <row r="13" spans="1:6" x14ac:dyDescent="0.25">
      <c r="F13" s="153" t="s">
        <v>14</v>
      </c>
    </row>
  </sheetData>
  <sheetProtection algorithmName="SHA-512" hashValue="OHSWt4o+gAGPYCihc5T2nPxraFDA5suz58NXjaBMILdL2z4VBhe6jkg9Tx3vfMrLWJYhqyS9kSFwsx7fku5epQ==" saltValue="4seSAOBMzyJ5sfdFuCOteg==" spinCount="100000" sheet="1" objects="1" scenarios="1"/>
  <protectedRanges>
    <protectedRange algorithmName="SHA-512" hashValue="m3jQW10u37wYMofjthh/0Gjl9xGW0H5H4SBFGPhKCO3mYde23gvHPchVWMvZuTZ8XzkklmFGaZ7hBzxcrtBS3w==" saltValue="yVSExF1EkDqBpwM+wamWIg==" spinCount="100000" sqref="A2:C2" name="أُنس"/>
  </protectedRanges>
  <mergeCells count="1">
    <mergeCell ref="F5:F7"/>
  </mergeCells>
  <dataValidations count="1">
    <dataValidation type="whole" operator="greaterThanOrEqual" allowBlank="1" showInputMessage="1" showErrorMessage="1" sqref="A2:C2">
      <formula1>0</formula1>
    </dataValidation>
  </dataValidations>
  <hyperlinks>
    <hyperlink ref="F5:F7" location="Report!A1" display="Report"/>
  </hyperlink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>
      <selection activeCell="F4" sqref="F4:F6"/>
    </sheetView>
  </sheetViews>
  <sheetFormatPr defaultRowHeight="15" x14ac:dyDescent="0.25"/>
  <cols>
    <col min="1" max="2" width="12.140625" customWidth="1"/>
    <col min="3" max="3" width="14.140625" customWidth="1"/>
    <col min="6" max="6" width="13.7109375" bestFit="1" customWidth="1"/>
  </cols>
  <sheetData>
    <row r="1" spans="1:6" ht="60" x14ac:dyDescent="0.25">
      <c r="A1" s="12" t="s">
        <v>88</v>
      </c>
      <c r="B1" s="12" t="s">
        <v>247</v>
      </c>
      <c r="C1" s="12" t="s">
        <v>248</v>
      </c>
    </row>
    <row r="2" spans="1:6" x14ac:dyDescent="0.25">
      <c r="A2" s="9"/>
      <c r="B2" s="9"/>
      <c r="C2" s="9"/>
    </row>
    <row r="3" spans="1:6" ht="15.75" thickBot="1" x14ac:dyDescent="0.3"/>
    <row r="4" spans="1:6" x14ac:dyDescent="0.25">
      <c r="F4" s="471" t="s">
        <v>1</v>
      </c>
    </row>
    <row r="5" spans="1:6" x14ac:dyDescent="0.25">
      <c r="F5" s="472"/>
    </row>
    <row r="6" spans="1:6" ht="15.75" thickBot="1" x14ac:dyDescent="0.3">
      <c r="F6" s="473"/>
    </row>
    <row r="11" spans="1:6" x14ac:dyDescent="0.25">
      <c r="F11" s="153" t="s">
        <v>14</v>
      </c>
    </row>
  </sheetData>
  <sheetProtection algorithmName="SHA-512" hashValue="ctPnrH6btMLOlMwtthq6YL1icp6AjlrmMS3+bEc/8aD4Sf2tAcm2aItOMHcBwVCLVEG34eHFSdSbJHknjSxkdg==" saltValue="JO1h8bK41u+a0ftz41SNpQ==" spinCount="100000" sheet="1" objects="1" scenarios="1"/>
  <protectedRanges>
    <protectedRange password="CF50" sqref="A2:C2" name="منصور"/>
  </protectedRanges>
  <mergeCells count="1">
    <mergeCell ref="F4:F6"/>
  </mergeCells>
  <dataValidations count="1">
    <dataValidation type="whole" operator="greaterThanOrEqual" allowBlank="1" showInputMessage="1" showErrorMessage="1" sqref="A2:C2">
      <formula1>0</formula1>
    </dataValidation>
  </dataValidations>
  <hyperlinks>
    <hyperlink ref="F4:F6" location="Report!A1" display="Report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"/>
  <sheetViews>
    <sheetView showGridLines="0" tabSelected="1" zoomScale="70" zoomScaleNormal="70" workbookViewId="0">
      <selection activeCell="J10" sqref="J10"/>
    </sheetView>
  </sheetViews>
  <sheetFormatPr defaultRowHeight="15" x14ac:dyDescent="0.25"/>
  <cols>
    <col min="2" max="2" width="5.85546875" bestFit="1" customWidth="1"/>
    <col min="3" max="3" width="19.28515625" style="1" bestFit="1" customWidth="1"/>
    <col min="4" max="4" width="19.28515625" style="1" customWidth="1"/>
    <col min="5" max="5" width="9.140625" style="1" bestFit="1" customWidth="1"/>
    <col min="6" max="7" width="7.85546875" style="1" bestFit="1" customWidth="1"/>
    <col min="11" max="11" width="19.28515625" bestFit="1" customWidth="1"/>
  </cols>
  <sheetData>
    <row r="2" spans="2:12" ht="15.75" thickBot="1" x14ac:dyDescent="0.3"/>
    <row r="3" spans="2:12" ht="30" customHeight="1" x14ac:dyDescent="0.25">
      <c r="B3" s="270" t="s">
        <v>2</v>
      </c>
      <c r="C3" s="105" t="s">
        <v>3</v>
      </c>
      <c r="D3" s="105" t="s">
        <v>4</v>
      </c>
      <c r="E3" s="281" t="s">
        <v>5</v>
      </c>
      <c r="F3" s="281" t="s">
        <v>6</v>
      </c>
      <c r="G3" s="292" t="s">
        <v>7</v>
      </c>
    </row>
    <row r="4" spans="2:12" ht="30" x14ac:dyDescent="0.25">
      <c r="B4" s="271"/>
      <c r="C4" s="99">
        <v>45261</v>
      </c>
      <c r="D4" s="99" t="str">
        <f>VLOOKUP(C4,Table32[[Date]:[اليوم]],2,0)</f>
        <v>الجمعة</v>
      </c>
      <c r="E4" s="282"/>
      <c r="F4" s="282"/>
      <c r="G4" s="293"/>
    </row>
    <row r="5" spans="2:12" ht="30.75" thickBot="1" x14ac:dyDescent="0.3">
      <c r="B5" s="271"/>
      <c r="C5" s="273" t="s">
        <v>8</v>
      </c>
      <c r="D5" s="274"/>
      <c r="E5" s="97">
        <f>VLOOKUP(C4,Table3[[Date]:[السويداء]],3,0)</f>
        <v>0</v>
      </c>
      <c r="F5" s="97">
        <f>VLOOKUP(C4,Table3[[Date]:[صلخد]],4,0)</f>
        <v>0</v>
      </c>
      <c r="G5" s="101">
        <f>E5+F5</f>
        <v>0</v>
      </c>
    </row>
    <row r="6" spans="2:12" ht="30" x14ac:dyDescent="0.25">
      <c r="B6" s="271"/>
      <c r="C6" s="273" t="s">
        <v>9</v>
      </c>
      <c r="D6" s="274"/>
      <c r="E6" s="97">
        <f>VLOOKUP(C4,Enrollment!A3:G32,6,0)</f>
        <v>0</v>
      </c>
      <c r="F6" s="97">
        <f>VLOOKUP(C4,Enrollment!A3:G32,7,0)</f>
        <v>0</v>
      </c>
      <c r="G6" s="101">
        <f>E6+F6</f>
        <v>0</v>
      </c>
      <c r="K6" s="296" t="s">
        <v>1</v>
      </c>
      <c r="L6" s="262"/>
    </row>
    <row r="7" spans="2:12" ht="30.75" thickBot="1" x14ac:dyDescent="0.3">
      <c r="B7" s="271"/>
      <c r="C7" s="273" t="s">
        <v>10</v>
      </c>
      <c r="D7" s="274"/>
      <c r="E7" s="98">
        <f>VLOOKUP(C4,Disterbution!A3:G32,6,0)</f>
        <v>0</v>
      </c>
      <c r="F7" s="98">
        <f>VLOOKUP(C4,Disterbution!A3:G32,7,0)</f>
        <v>0</v>
      </c>
      <c r="G7" s="101">
        <f>E7+F7</f>
        <v>0</v>
      </c>
      <c r="K7" s="297"/>
      <c r="L7" s="262"/>
    </row>
    <row r="8" spans="2:12" ht="30.75" thickBot="1" x14ac:dyDescent="0.3">
      <c r="B8" s="272"/>
      <c r="C8" s="294" t="s">
        <v>11</v>
      </c>
      <c r="D8" s="295"/>
      <c r="E8" s="103">
        <f>E6-E7</f>
        <v>0</v>
      </c>
      <c r="F8" s="103">
        <f>F6-F7</f>
        <v>0</v>
      </c>
      <c r="G8" s="104">
        <f>E8+F8</f>
        <v>0</v>
      </c>
      <c r="K8" s="262"/>
      <c r="L8" s="262"/>
    </row>
    <row r="9" spans="2:12" ht="30.75" customHeight="1" thickBot="1" x14ac:dyDescent="0.3">
      <c r="B9" s="278"/>
      <c r="C9" s="279"/>
      <c r="D9" s="279"/>
      <c r="E9" s="279"/>
      <c r="F9" s="279"/>
      <c r="G9" s="280"/>
      <c r="H9" s="102"/>
      <c r="K9" s="262"/>
      <c r="L9" s="262"/>
    </row>
    <row r="10" spans="2:12" ht="30" customHeight="1" x14ac:dyDescent="0.25">
      <c r="B10" s="275" t="s">
        <v>12</v>
      </c>
      <c r="C10" s="105" t="s">
        <v>3</v>
      </c>
      <c r="D10" s="105" t="s">
        <v>4</v>
      </c>
      <c r="E10" s="281" t="s">
        <v>5</v>
      </c>
      <c r="F10" s="281" t="s">
        <v>6</v>
      </c>
      <c r="G10" s="292" t="s">
        <v>7</v>
      </c>
    </row>
    <row r="11" spans="2:12" ht="53.25" customHeight="1" x14ac:dyDescent="0.25">
      <c r="B11" s="276"/>
      <c r="C11" s="100">
        <f>C4</f>
        <v>45261</v>
      </c>
      <c r="D11" s="100" t="str">
        <f>D4</f>
        <v>الجمعة</v>
      </c>
      <c r="E11" s="282"/>
      <c r="F11" s="282"/>
      <c r="G11" s="293"/>
    </row>
    <row r="12" spans="2:12" ht="30" x14ac:dyDescent="0.25">
      <c r="B12" s="276"/>
      <c r="C12" s="273" t="s">
        <v>8</v>
      </c>
      <c r="D12" s="274"/>
      <c r="E12" s="97">
        <f>VLOOKUP($C$11,Table4[[Date]:[صلخد]],3,0)</f>
        <v>0</v>
      </c>
      <c r="F12" s="97">
        <f>VLOOKUP($C$11,Table4[[Date]:[صلخد]],4,0)</f>
        <v>0</v>
      </c>
      <c r="G12" s="101">
        <f>SUM(E12:F12)</f>
        <v>0</v>
      </c>
    </row>
    <row r="13" spans="2:12" ht="30" x14ac:dyDescent="0.25">
      <c r="B13" s="276"/>
      <c r="C13" s="273" t="s">
        <v>9</v>
      </c>
      <c r="D13" s="274"/>
      <c r="E13" s="97">
        <f>VLOOKUP($C$11,Enrollment!$I$3:$O$32,6,0)</f>
        <v>0</v>
      </c>
      <c r="F13" s="97">
        <f>VLOOKUP($C$11,Enrollment!$I$3:$O$32,7,0)</f>
        <v>0</v>
      </c>
      <c r="G13" s="101">
        <f>SUM(E13:F13)</f>
        <v>0</v>
      </c>
    </row>
    <row r="14" spans="2:12" ht="30" x14ac:dyDescent="0.25">
      <c r="B14" s="276"/>
      <c r="C14" s="273" t="s">
        <v>10</v>
      </c>
      <c r="D14" s="274"/>
      <c r="E14" s="98">
        <f>VLOOKUP($C$11,Disterbution!$I$3:$O$32,6,0)</f>
        <v>0</v>
      </c>
      <c r="F14" s="98">
        <f>VLOOKUP($C$11,Disterbution!$I$3:$O$32,7,0)</f>
        <v>0</v>
      </c>
      <c r="G14" s="101">
        <f>SUM(E14:F14)</f>
        <v>0</v>
      </c>
    </row>
    <row r="15" spans="2:12" ht="30.75" thickBot="1" x14ac:dyDescent="0.3">
      <c r="B15" s="277"/>
      <c r="C15" s="294" t="s">
        <v>11</v>
      </c>
      <c r="D15" s="295"/>
      <c r="E15" s="103">
        <f>E13-E14</f>
        <v>0</v>
      </c>
      <c r="F15" s="103">
        <f>F13-F14</f>
        <v>0</v>
      </c>
      <c r="G15" s="104">
        <f>SUM(E15:F15)</f>
        <v>0</v>
      </c>
    </row>
    <row r="16" spans="2:12" ht="52.5" customHeight="1" x14ac:dyDescent="0.25">
      <c r="B16" s="283" t="s">
        <v>13</v>
      </c>
      <c r="C16" s="286"/>
      <c r="D16" s="286"/>
      <c r="E16" s="286"/>
      <c r="F16" s="286"/>
      <c r="G16" s="287"/>
    </row>
    <row r="17" spans="2:11" x14ac:dyDescent="0.25">
      <c r="B17" s="284"/>
      <c r="C17" s="288"/>
      <c r="D17" s="288"/>
      <c r="E17" s="288"/>
      <c r="F17" s="288"/>
      <c r="G17" s="289"/>
    </row>
    <row r="18" spans="2:11" ht="52.5" customHeight="1" x14ac:dyDescent="0.25">
      <c r="B18" s="284"/>
      <c r="C18" s="288"/>
      <c r="D18" s="288"/>
      <c r="E18" s="288"/>
      <c r="F18" s="288"/>
      <c r="G18" s="289"/>
    </row>
    <row r="19" spans="2:11" ht="14.25" customHeight="1" x14ac:dyDescent="0.25">
      <c r="B19" s="284"/>
      <c r="C19" s="288"/>
      <c r="D19" s="288"/>
      <c r="E19" s="288"/>
      <c r="F19" s="288"/>
      <c r="G19" s="289"/>
      <c r="K19" s="153" t="s">
        <v>14</v>
      </c>
    </row>
    <row r="20" spans="2:11" ht="14.25" customHeight="1" x14ac:dyDescent="0.25">
      <c r="B20" s="284"/>
      <c r="C20" s="288"/>
      <c r="D20" s="288"/>
      <c r="E20" s="288"/>
      <c r="F20" s="288"/>
      <c r="G20" s="289"/>
    </row>
    <row r="21" spans="2:11" ht="15" customHeight="1" thickBot="1" x14ac:dyDescent="0.3">
      <c r="B21" s="285"/>
      <c r="C21" s="290"/>
      <c r="D21" s="290"/>
      <c r="E21" s="290"/>
      <c r="F21" s="290"/>
      <c r="G21" s="291"/>
    </row>
  </sheetData>
  <sheetProtection algorithmName="SHA-512" hashValue="jJoAHZPGDkIMKB5vdev/zYaEp70aikycS3abXffSCTYCJIaugxMUx2NiT+fZskjB0v1TDorRjAil+pCYXQIA+A==" saltValue="oUGOFstpdOFUK/qUaRKZKg==" spinCount="100000" sheet="1" objects="1" scenarios="1"/>
  <protectedRanges>
    <protectedRange algorithmName="SHA-512" hashValue="ao+wEkr+/bIutJWsHPURx66EKn4jUEf6kPjXebqDb5/KV6UVuG0jGFaJrcb4DnR8qyuz8tVkCfoRUp2HuMg5RA==" saltValue="JI6hT8K+XjDSWW4+KZqxmA==" spinCount="100000" sqref="C16:G21" name="Bassem"/>
  </protectedRanges>
  <mergeCells count="20">
    <mergeCell ref="K6:K7"/>
    <mergeCell ref="B16:B21"/>
    <mergeCell ref="C16:G21"/>
    <mergeCell ref="E10:E11"/>
    <mergeCell ref="F10:F11"/>
    <mergeCell ref="G10:G11"/>
    <mergeCell ref="C14:D14"/>
    <mergeCell ref="C15:D15"/>
    <mergeCell ref="C12:D12"/>
    <mergeCell ref="B3:B8"/>
    <mergeCell ref="C5:D5"/>
    <mergeCell ref="C13:D13"/>
    <mergeCell ref="C6:D6"/>
    <mergeCell ref="B10:B15"/>
    <mergeCell ref="B9:G9"/>
    <mergeCell ref="E3:E4"/>
    <mergeCell ref="F3:F4"/>
    <mergeCell ref="G3:G4"/>
    <mergeCell ref="C7:D7"/>
    <mergeCell ref="C8:D8"/>
  </mergeCells>
  <hyperlinks>
    <hyperlink ref="K6:K7" location="Report!A1" display="Report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Disterbution!$A$3:$A$32</xm:f>
          </x14:formula1>
          <xm:sqref>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workbookViewId="0">
      <selection activeCell="J13" sqref="J13"/>
    </sheetView>
  </sheetViews>
  <sheetFormatPr defaultRowHeight="15" x14ac:dyDescent="0.25"/>
  <cols>
    <col min="1" max="2" width="9.140625" style="1"/>
    <col min="3" max="3" width="8.5703125" style="1" customWidth="1"/>
    <col min="4" max="4" width="9.140625" style="1" bestFit="1" customWidth="1"/>
    <col min="5" max="5" width="33.5703125" style="1" bestFit="1" customWidth="1"/>
    <col min="6" max="6" width="11.140625" style="1" bestFit="1" customWidth="1"/>
    <col min="7" max="11" width="9.140625" style="1"/>
    <col min="12" max="12" width="14.28515625" style="1" bestFit="1" customWidth="1"/>
    <col min="13" max="16384" width="9.140625" style="1"/>
  </cols>
  <sheetData>
    <row r="1" spans="1:6" x14ac:dyDescent="0.25">
      <c r="A1" s="52" t="s">
        <v>7</v>
      </c>
      <c r="B1" s="52" t="s">
        <v>251</v>
      </c>
      <c r="C1" s="52" t="s">
        <v>144</v>
      </c>
      <c r="D1" s="52" t="s">
        <v>255</v>
      </c>
      <c r="E1" s="52" t="s">
        <v>252</v>
      </c>
      <c r="F1" s="264"/>
    </row>
    <row r="2" spans="1:6" x14ac:dyDescent="0.25">
      <c r="A2" s="265">
        <f>B2+C2</f>
        <v>0</v>
      </c>
      <c r="B2" s="265">
        <f>Report!E20</f>
        <v>0</v>
      </c>
      <c r="C2" s="265">
        <f>Report!E59</f>
        <v>0</v>
      </c>
      <c r="D2" s="265" t="s">
        <v>2</v>
      </c>
      <c r="E2" s="265" t="s">
        <v>253</v>
      </c>
      <c r="F2" s="303" t="s">
        <v>253</v>
      </c>
    </row>
    <row r="3" spans="1:6" x14ac:dyDescent="0.25">
      <c r="A3" s="265">
        <f t="shared" ref="A3:A20" si="0">B3+C3</f>
        <v>0</v>
      </c>
      <c r="B3" s="265">
        <f>Report!E21</f>
        <v>0</v>
      </c>
      <c r="C3" s="265">
        <f>Report!E60</f>
        <v>0</v>
      </c>
      <c r="D3" s="265" t="s">
        <v>12</v>
      </c>
      <c r="E3" s="265" t="s">
        <v>253</v>
      </c>
      <c r="F3" s="303"/>
    </row>
    <row r="4" spans="1:6" x14ac:dyDescent="0.25">
      <c r="A4" s="123">
        <f t="shared" si="0"/>
        <v>0</v>
      </c>
      <c r="B4" s="123">
        <f>Report!F61+Report!F22</f>
        <v>0</v>
      </c>
      <c r="C4" s="123">
        <f>Report!F23+Report!F62</f>
        <v>0</v>
      </c>
      <c r="D4" s="123" t="s">
        <v>256</v>
      </c>
      <c r="E4" s="123" t="s">
        <v>254</v>
      </c>
      <c r="F4" s="123" t="s">
        <v>261</v>
      </c>
    </row>
    <row r="5" spans="1:6" x14ac:dyDescent="0.25">
      <c r="A5" s="52">
        <f t="shared" si="0"/>
        <v>0</v>
      </c>
      <c r="B5" s="52">
        <f>Report!P2+Report!P7+Report!P12+Report!P17+Report!P22</f>
        <v>0</v>
      </c>
      <c r="C5" s="52">
        <f>Report!P57+Report!P62+Report!P67+Report!P72+Report!P77</f>
        <v>0</v>
      </c>
      <c r="D5" s="52" t="s">
        <v>2</v>
      </c>
      <c r="E5" s="52" t="s">
        <v>257</v>
      </c>
      <c r="F5" s="302" t="s">
        <v>260</v>
      </c>
    </row>
    <row r="6" spans="1:6" x14ac:dyDescent="0.25">
      <c r="A6" s="52">
        <f t="shared" si="0"/>
        <v>0</v>
      </c>
      <c r="B6" s="52">
        <f>Report!P27+Report!P32+Report!P37+Report!P42+Report!P47</f>
        <v>0</v>
      </c>
      <c r="C6" s="52">
        <f>Report!P82+Report!P87+Report!P92+Report!P97+Report!P102</f>
        <v>0</v>
      </c>
      <c r="D6" s="52" t="s">
        <v>12</v>
      </c>
      <c r="E6" s="52" t="s">
        <v>257</v>
      </c>
      <c r="F6" s="302"/>
    </row>
    <row r="7" spans="1:6" x14ac:dyDescent="0.25">
      <c r="A7" s="124">
        <f t="shared" si="0"/>
        <v>0</v>
      </c>
      <c r="B7" s="124">
        <f>Report!E2</f>
        <v>0</v>
      </c>
      <c r="C7" s="124">
        <f>Report!E42</f>
        <v>0</v>
      </c>
      <c r="D7" s="269" t="s">
        <v>256</v>
      </c>
      <c r="E7" s="124" t="s">
        <v>258</v>
      </c>
      <c r="F7" s="124" t="s">
        <v>259</v>
      </c>
    </row>
    <row r="8" spans="1:6" x14ac:dyDescent="0.25">
      <c r="A8" s="266">
        <f t="shared" si="0"/>
        <v>0</v>
      </c>
      <c r="B8" s="266">
        <f>Report!E4</f>
        <v>0</v>
      </c>
      <c r="C8" s="268">
        <f>Report!E44</f>
        <v>0</v>
      </c>
      <c r="D8" s="301" t="s">
        <v>256</v>
      </c>
      <c r="E8" s="268" t="s">
        <v>46</v>
      </c>
      <c r="F8" s="304" t="s">
        <v>264</v>
      </c>
    </row>
    <row r="9" spans="1:6" x14ac:dyDescent="0.25">
      <c r="A9" s="266">
        <f t="shared" si="0"/>
        <v>0</v>
      </c>
      <c r="B9" s="266">
        <f>Report!E7</f>
        <v>0</v>
      </c>
      <c r="C9" s="266">
        <f>Report!E47</f>
        <v>0</v>
      </c>
      <c r="D9" s="301"/>
      <c r="E9" s="266" t="s">
        <v>52</v>
      </c>
      <c r="F9" s="304"/>
    </row>
    <row r="10" spans="1:6" x14ac:dyDescent="0.25">
      <c r="A10" s="266">
        <f t="shared" si="0"/>
        <v>0</v>
      </c>
      <c r="B10" s="266">
        <f>Report!E8</f>
        <v>0</v>
      </c>
      <c r="C10" s="266">
        <f>Report!E48</f>
        <v>0</v>
      </c>
      <c r="D10" s="301"/>
      <c r="E10" s="266" t="s">
        <v>54</v>
      </c>
      <c r="F10" s="304"/>
    </row>
    <row r="11" spans="1:6" x14ac:dyDescent="0.25">
      <c r="A11" s="266">
        <f t="shared" si="0"/>
        <v>0</v>
      </c>
      <c r="B11" s="266">
        <f>Report!E9</f>
        <v>0</v>
      </c>
      <c r="C11" s="266">
        <f>Report!E49</f>
        <v>0</v>
      </c>
      <c r="D11" s="301"/>
      <c r="E11" s="266" t="s">
        <v>55</v>
      </c>
      <c r="F11" s="304"/>
    </row>
    <row r="12" spans="1:6" x14ac:dyDescent="0.25">
      <c r="A12" s="266">
        <f t="shared" si="0"/>
        <v>0</v>
      </c>
      <c r="B12" s="266">
        <f>Report!E10</f>
        <v>0</v>
      </c>
      <c r="C12" s="266">
        <f>Report!E50</f>
        <v>0</v>
      </c>
      <c r="D12" s="301"/>
      <c r="E12" s="266" t="s">
        <v>56</v>
      </c>
      <c r="F12" s="304"/>
    </row>
    <row r="13" spans="1:6" x14ac:dyDescent="0.25">
      <c r="A13" s="266">
        <f t="shared" si="0"/>
        <v>0</v>
      </c>
      <c r="B13" s="266">
        <f>Report!E11</f>
        <v>0</v>
      </c>
      <c r="C13" s="266">
        <f>Report!E51</f>
        <v>0</v>
      </c>
      <c r="D13" s="301"/>
      <c r="E13" s="266" t="s">
        <v>57</v>
      </c>
      <c r="F13" s="304"/>
    </row>
    <row r="14" spans="1:6" x14ac:dyDescent="0.25">
      <c r="A14" s="266">
        <f t="shared" si="0"/>
        <v>0</v>
      </c>
      <c r="B14" s="266">
        <f>Report!E12</f>
        <v>0</v>
      </c>
      <c r="C14" s="266">
        <f>Report!E52</f>
        <v>0</v>
      </c>
      <c r="D14" s="301"/>
      <c r="E14" s="266" t="s">
        <v>58</v>
      </c>
      <c r="F14" s="304"/>
    </row>
    <row r="15" spans="1:6" x14ac:dyDescent="0.25">
      <c r="A15" s="266">
        <f t="shared" si="0"/>
        <v>0</v>
      </c>
      <c r="B15" s="266">
        <f>Report!E13</f>
        <v>0</v>
      </c>
      <c r="C15" s="266">
        <f>Report!E53</f>
        <v>0</v>
      </c>
      <c r="D15" s="301"/>
      <c r="E15" s="266" t="s">
        <v>267</v>
      </c>
      <c r="F15" s="304"/>
    </row>
    <row r="16" spans="1:6" x14ac:dyDescent="0.25">
      <c r="A16" s="266">
        <f t="shared" si="0"/>
        <v>0</v>
      </c>
      <c r="B16" s="266">
        <f>Report!E14</f>
        <v>0</v>
      </c>
      <c r="C16" s="266">
        <f>Report!E54</f>
        <v>0</v>
      </c>
      <c r="D16" s="301"/>
      <c r="E16" s="266" t="s">
        <v>61</v>
      </c>
      <c r="F16" s="304"/>
    </row>
    <row r="17" spans="1:12" x14ac:dyDescent="0.25">
      <c r="A17" s="266">
        <f t="shared" si="0"/>
        <v>0</v>
      </c>
      <c r="B17" s="266">
        <f>Report!E15</f>
        <v>0</v>
      </c>
      <c r="C17" s="266">
        <f>Report!E55</f>
        <v>0</v>
      </c>
      <c r="D17" s="301"/>
      <c r="E17" s="266" t="s">
        <v>62</v>
      </c>
      <c r="F17" s="304"/>
    </row>
    <row r="18" spans="1:12" x14ac:dyDescent="0.25">
      <c r="A18" s="266">
        <f t="shared" si="0"/>
        <v>0</v>
      </c>
      <c r="B18" s="266">
        <f>Report!E16</f>
        <v>0</v>
      </c>
      <c r="C18" s="266">
        <f>Report!E56</f>
        <v>0</v>
      </c>
      <c r="D18" s="301"/>
      <c r="E18" s="266" t="s">
        <v>63</v>
      </c>
      <c r="F18" s="304"/>
    </row>
    <row r="19" spans="1:12" x14ac:dyDescent="0.25">
      <c r="A19" s="266">
        <f t="shared" si="0"/>
        <v>0</v>
      </c>
      <c r="B19" s="266">
        <f>Report!E17</f>
        <v>0</v>
      </c>
      <c r="C19" s="266">
        <f>Report!E57</f>
        <v>0</v>
      </c>
      <c r="D19" s="301"/>
      <c r="E19" s="266" t="s">
        <v>64</v>
      </c>
      <c r="F19" s="304"/>
    </row>
    <row r="20" spans="1:12" x14ac:dyDescent="0.2">
      <c r="A20" s="267">
        <f t="shared" si="0"/>
        <v>0</v>
      </c>
      <c r="B20" s="267">
        <f>Report!G24+Report!G63</f>
        <v>0</v>
      </c>
      <c r="C20" s="267">
        <f>Report!G64+Report!G25</f>
        <v>0</v>
      </c>
      <c r="D20" s="267" t="s">
        <v>256</v>
      </c>
      <c r="E20" s="267" t="s">
        <v>262</v>
      </c>
      <c r="F20" s="267" t="s">
        <v>263</v>
      </c>
      <c r="L20" s="153" t="s">
        <v>14</v>
      </c>
    </row>
    <row r="21" spans="1:12" x14ac:dyDescent="0.25">
      <c r="A21" s="298">
        <f>'Help Disk_ATHAR'!B57</f>
        <v>0</v>
      </c>
      <c r="B21" s="299"/>
      <c r="C21" s="300"/>
      <c r="D21" s="298" t="s">
        <v>91</v>
      </c>
      <c r="E21" s="299"/>
      <c r="F21" s="300"/>
    </row>
  </sheetData>
  <sheetProtection password="F128" sheet="1" objects="1" scenarios="1"/>
  <mergeCells count="6">
    <mergeCell ref="A21:C21"/>
    <mergeCell ref="D8:D19"/>
    <mergeCell ref="D21:F21"/>
    <mergeCell ref="F5:F6"/>
    <mergeCell ref="F2:F3"/>
    <mergeCell ref="F8:F1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5C5FF"/>
  </sheetPr>
  <dimension ref="A1:N24"/>
  <sheetViews>
    <sheetView showGridLines="0" workbookViewId="0">
      <selection activeCell="G6" sqref="G6"/>
    </sheetView>
  </sheetViews>
  <sheetFormatPr defaultColWidth="9" defaultRowHeight="21" x14ac:dyDescent="0.35"/>
  <cols>
    <col min="1" max="7" width="9" style="15"/>
    <col min="8" max="8" width="38.28515625" style="18" bestFit="1" customWidth="1"/>
    <col min="9" max="9" width="12.7109375" style="15" bestFit="1" customWidth="1"/>
    <col min="10" max="13" width="9" style="15"/>
    <col min="14" max="14" width="15" style="15" customWidth="1"/>
    <col min="15" max="16384" width="9" style="15"/>
  </cols>
  <sheetData>
    <row r="1" spans="2:9" ht="21.75" thickBot="1" x14ac:dyDescent="0.4"/>
    <row r="2" spans="2:9" ht="22.5" customHeight="1" x14ac:dyDescent="0.35">
      <c r="C2" s="317" t="s">
        <v>1</v>
      </c>
      <c r="D2" s="318"/>
      <c r="E2" s="319"/>
      <c r="H2" s="37" t="s">
        <v>15</v>
      </c>
      <c r="I2" s="37" t="s">
        <v>16</v>
      </c>
    </row>
    <row r="3" spans="2:9" ht="20.25" customHeight="1" x14ac:dyDescent="0.35">
      <c r="C3" s="320"/>
      <c r="D3" s="321"/>
      <c r="E3" s="322"/>
      <c r="H3" s="16" t="s">
        <v>17</v>
      </c>
      <c r="I3" s="48">
        <f>IF('MUAC_ ATHAR'!A2&gt;0,1,0)</f>
        <v>0</v>
      </c>
    </row>
    <row r="4" spans="2:9" ht="20.25" customHeight="1" x14ac:dyDescent="0.35">
      <c r="C4" s="320"/>
      <c r="D4" s="321"/>
      <c r="E4" s="322"/>
      <c r="H4" s="17" t="s">
        <v>18</v>
      </c>
      <c r="I4" s="49">
        <f>IF(MUAC_NABEDH!A2&gt;0,1,0)</f>
        <v>0</v>
      </c>
    </row>
    <row r="5" spans="2:9" ht="21" customHeight="1" thickBot="1" x14ac:dyDescent="0.4">
      <c r="C5" s="323"/>
      <c r="D5" s="324"/>
      <c r="E5" s="325"/>
      <c r="H5" s="16" t="s">
        <v>19</v>
      </c>
      <c r="I5" s="48">
        <f>IF(الجدول1[[#Totals],[نوع الشكوى]]&gt;0,1,0)</f>
        <v>0</v>
      </c>
    </row>
    <row r="6" spans="2:9" ht="21.75" thickBot="1" x14ac:dyDescent="0.4">
      <c r="H6" s="17" t="s">
        <v>20</v>
      </c>
      <c r="I6" s="49">
        <f>IF(الجدول18[[#Totals],[نوع الشكوى]]&gt;0,1,0)</f>
        <v>0</v>
      </c>
    </row>
    <row r="7" spans="2:9" x14ac:dyDescent="0.35">
      <c r="C7" s="326" t="s">
        <v>21</v>
      </c>
      <c r="D7" s="327"/>
      <c r="E7" s="328"/>
      <c r="H7" s="17" t="s">
        <v>22</v>
      </c>
      <c r="I7" s="49">
        <f>IF(OR(Table32[[#Totals],[السويداء]]&gt;0,Table43[[#Totals],[السويداء]]&gt;0),1,0)</f>
        <v>0</v>
      </c>
    </row>
    <row r="8" spans="2:9" x14ac:dyDescent="0.35">
      <c r="C8" s="329"/>
      <c r="D8" s="330"/>
      <c r="E8" s="331"/>
      <c r="H8" s="17" t="s">
        <v>23</v>
      </c>
      <c r="I8" s="49">
        <f>IF(OR(Table32[[#Totals],[صلخد]]&gt;0,Table43[[#Totals],[صلخد]]&gt;0),1,0)</f>
        <v>0</v>
      </c>
    </row>
    <row r="9" spans="2:9" x14ac:dyDescent="0.35">
      <c r="C9" s="329"/>
      <c r="D9" s="330"/>
      <c r="E9" s="331"/>
      <c r="H9" s="16" t="s">
        <v>24</v>
      </c>
      <c r="I9" s="48">
        <f>IF(الجدول14[[#Totals],[عدد المستفيدين]]&gt;0,1,0)</f>
        <v>0</v>
      </c>
    </row>
    <row r="10" spans="2:9" ht="21.75" thickBot="1" x14ac:dyDescent="0.4">
      <c r="C10" s="332"/>
      <c r="D10" s="333"/>
      <c r="E10" s="334"/>
      <c r="H10" s="17" t="s">
        <v>25</v>
      </c>
      <c r="I10" s="48">
        <f>IF(الجدول145[[#Totals],[عدد المستفيدين]]&gt;0,1,0)</f>
        <v>0</v>
      </c>
    </row>
    <row r="11" spans="2:9" ht="21.75" thickBot="1" x14ac:dyDescent="0.4">
      <c r="H11" s="16" t="s">
        <v>26</v>
      </c>
      <c r="I11" s="48">
        <f>IF(Monitoring_ATHAR!$A$24&gt;0,1,0)</f>
        <v>0</v>
      </c>
    </row>
    <row r="12" spans="2:9" x14ac:dyDescent="0.35">
      <c r="B12" s="305" t="s">
        <v>27</v>
      </c>
      <c r="C12" s="306"/>
      <c r="E12" s="311" t="s">
        <v>28</v>
      </c>
      <c r="F12" s="312"/>
      <c r="H12" s="17" t="s">
        <v>29</v>
      </c>
      <c r="I12" s="49">
        <f>IF(OR(Monitoring_NABEDH!A24&gt;0,الجدول1610[[#Totals],[الموقع]]&gt;0),1,0)</f>
        <v>0</v>
      </c>
    </row>
    <row r="13" spans="2:9" x14ac:dyDescent="0.35">
      <c r="B13" s="307"/>
      <c r="C13" s="308"/>
      <c r="E13" s="313"/>
      <c r="F13" s="314"/>
      <c r="H13" s="17" t="s">
        <v>30</v>
      </c>
      <c r="I13" s="49">
        <f>IF(OR(Table4[[#Totals],[السويداء]]&gt;0,Table3[[#Totals],[السويداء]]&gt;0),1,0)</f>
        <v>0</v>
      </c>
    </row>
    <row r="14" spans="2:9" ht="21.75" thickBot="1" x14ac:dyDescent="0.4">
      <c r="B14" s="309"/>
      <c r="C14" s="310"/>
      <c r="E14" s="315"/>
      <c r="F14" s="316"/>
      <c r="H14" s="17" t="s">
        <v>31</v>
      </c>
      <c r="I14" s="49">
        <f>IF(OR(Table3[[#Totals],[صلخد]]&gt;0,Table4[[#Totals],[صلخد]]&gt;0),1,0)</f>
        <v>0</v>
      </c>
    </row>
    <row r="15" spans="2:9" x14ac:dyDescent="0.35">
      <c r="H15" s="17" t="s">
        <v>32</v>
      </c>
      <c r="I15" s="48">
        <f>IF(الجدول11[[#Totals],[التاريخ]]&gt;0,1,0)</f>
        <v>0</v>
      </c>
    </row>
    <row r="16" spans="2:9" x14ac:dyDescent="0.35">
      <c r="H16" s="16" t="s">
        <v>33</v>
      </c>
      <c r="I16" s="49">
        <f>IF(OR('Reception ATHER'!A2&gt;0,'Reception ATHER'!B2&gt;0,'Reception ATHER'!C2&gt;0),1,0)</f>
        <v>0</v>
      </c>
    </row>
    <row r="17" spans="1:14" x14ac:dyDescent="0.35">
      <c r="H17" s="16" t="s">
        <v>34</v>
      </c>
      <c r="I17" s="48">
        <f>IF(OR('Reception NABEDH'!A2&gt;0,'Reception NABEDH'!B2&gt;0,'Reception NABEDH'!C3&gt;0),1,0)</f>
        <v>0</v>
      </c>
    </row>
    <row r="18" spans="1:14" x14ac:dyDescent="0.35">
      <c r="H18" s="38" t="s">
        <v>35</v>
      </c>
      <c r="I18" s="48">
        <f>IF(Table8[[#Totals],[المقترحات / التحديات / الملاحظات]]&gt;0,1,0)</f>
        <v>0</v>
      </c>
      <c r="N18" s="153" t="s">
        <v>14</v>
      </c>
    </row>
    <row r="24" spans="1:14" x14ac:dyDescent="0.35">
      <c r="A24" s="15">
        <f>COUNTA(Monitoring_NABEDH!A3:A23)</f>
        <v>0</v>
      </c>
    </row>
  </sheetData>
  <sheetProtection sheet="1" objects="1" scenarios="1" insertRows="0"/>
  <mergeCells count="4">
    <mergeCell ref="B12:C14"/>
    <mergeCell ref="E12:F14"/>
    <mergeCell ref="C2:E5"/>
    <mergeCell ref="C7:E10"/>
  </mergeCells>
  <hyperlinks>
    <hyperlink ref="H3" location="'MUAC_ ATHAR'!A1" display="MUAC ATHAR"/>
    <hyperlink ref="H5" location="'Help Disk_ATHAR'!A1" display="Help Disk ATHAR"/>
    <hyperlink ref="H11" location="Monitoring_ATHAR!A1" display="Monitoring ATHAR"/>
    <hyperlink ref="H9" location="Awareness_CB_ATHAR!A1" display="Awareness_CB_ATHAR"/>
    <hyperlink ref="H12" location="Monitoring_NABEDH!A1" display="Monitoring NABEDH"/>
    <hyperlink ref="H6" location="'Help Disk_NABEDH'!A1" display="Help Disk NABEDH"/>
    <hyperlink ref="H4" location="MUAC_NABEDH!A1" display="MUAC NABEDH"/>
    <hyperlink ref="H10" location="Awareness_CB_NABEDH!A1" display="Awareness_CB_NABEDH"/>
    <hyperlink ref="H16" location="'Reception ATHER'!A1" display="Reception ATHAR"/>
    <hyperlink ref="H17" location="'Reception NABEDH'!A1" display="Reception NABEDH"/>
    <hyperlink ref="H18" location="'Suggestions and challenges'!A1" display="مقترحات و تحديات"/>
    <hyperlink ref="C7:E10" location="Summary!A1" display="Summary"/>
    <hyperlink ref="C2:E5" location="Report!A1" display="Report"/>
    <hyperlink ref="B12:C14" location="Enrollment!A1" display="Enrollment"/>
    <hyperlink ref="E12:F14" location="Disterbution!A1" display="Disterbution"/>
    <hyperlink ref="H7" location="Disterbution!A1" display="موزع البطاقات_أثر"/>
    <hyperlink ref="H8" location="Disterbution!A1" display="موزع البطاقات_نبض"/>
    <hyperlink ref="H13" location="Enrollment!A1" display="SCOPE_ أثر"/>
    <hyperlink ref="H14" location="Enrollment!A1" display="SCOPE_نبض"/>
    <hyperlink ref="H15" location="protaction!A1" display="حماية"/>
  </hyperlink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784F1F29-6DA1-4C06-AD43-652647C138DC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I3:I18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B1:P106"/>
  <sheetViews>
    <sheetView showGridLines="0" topLeftCell="A40" zoomScale="80" zoomScaleNormal="80" workbookViewId="0">
      <selection activeCell="J4" sqref="J4"/>
    </sheetView>
  </sheetViews>
  <sheetFormatPr defaultRowHeight="18.75" x14ac:dyDescent="0.3"/>
  <cols>
    <col min="2" max="2" width="11.140625" style="40" bestFit="1" customWidth="1"/>
    <col min="3" max="3" width="22.85546875" style="155" bestFit="1" customWidth="1"/>
    <col min="4" max="4" width="53" style="39" bestFit="1" customWidth="1"/>
    <col min="5" max="5" width="7.7109375" bestFit="1" customWidth="1"/>
    <col min="6" max="6" width="8.7109375" bestFit="1" customWidth="1"/>
    <col min="7" max="7" width="6.28515625" bestFit="1" customWidth="1"/>
    <col min="11" max="11" width="15.7109375" bestFit="1" customWidth="1"/>
    <col min="12" max="12" width="8.7109375" bestFit="1" customWidth="1"/>
    <col min="13" max="13" width="8.7109375" customWidth="1"/>
    <col min="14" max="14" width="10.140625" customWidth="1"/>
    <col min="15" max="15" width="71.28515625" bestFit="1" customWidth="1"/>
  </cols>
  <sheetData>
    <row r="1" spans="2:16" ht="19.5" thickBot="1" x14ac:dyDescent="0.35"/>
    <row r="2" spans="2:16" ht="15.75" customHeight="1" x14ac:dyDescent="0.25">
      <c r="B2" s="354" t="s">
        <v>36</v>
      </c>
      <c r="C2" s="393" t="s">
        <v>37</v>
      </c>
      <c r="D2" s="41" t="s">
        <v>38</v>
      </c>
      <c r="E2" s="26">
        <f>'MUAC_ ATHAR'!$A$2</f>
        <v>0</v>
      </c>
      <c r="F2" s="19"/>
      <c r="G2" s="21"/>
      <c r="H2" s="21"/>
      <c r="K2" s="364" t="s">
        <v>39</v>
      </c>
      <c r="L2" s="363" t="s">
        <v>40</v>
      </c>
      <c r="M2" s="368" t="s">
        <v>2</v>
      </c>
      <c r="N2" s="340" t="s">
        <v>41</v>
      </c>
      <c r="O2" s="115" t="s">
        <v>42</v>
      </c>
      <c r="P2" s="116">
        <f>الجدول14[[#Totals],[تعريف ببرنامج الـ PLW]]</f>
        <v>0</v>
      </c>
    </row>
    <row r="3" spans="2:16" ht="15.75" customHeight="1" x14ac:dyDescent="0.25">
      <c r="B3" s="355"/>
      <c r="C3" s="394"/>
      <c r="D3" s="41" t="s">
        <v>43</v>
      </c>
      <c r="E3" s="26">
        <f>'MUAC_ ATHAR'!$B$2</f>
        <v>0</v>
      </c>
      <c r="F3" s="19"/>
      <c r="G3" s="21"/>
      <c r="H3" s="21"/>
      <c r="K3" s="364"/>
      <c r="L3" s="363"/>
      <c r="M3" s="368"/>
      <c r="N3" s="341"/>
      <c r="O3" s="46" t="s">
        <v>44</v>
      </c>
      <c r="P3" s="117">
        <f>الجدول14[[#Totals],[عدد الذكور في جلسات التعريف بـ PLW]]</f>
        <v>0</v>
      </c>
    </row>
    <row r="4" spans="2:16" ht="15.75" customHeight="1" x14ac:dyDescent="0.25">
      <c r="B4" s="355"/>
      <c r="C4" s="387" t="s">
        <v>45</v>
      </c>
      <c r="D4" s="42" t="s">
        <v>46</v>
      </c>
      <c r="E4" s="27">
        <f>الجدول1[[#Totals],[نوع الشكوى]]</f>
        <v>0</v>
      </c>
      <c r="F4" s="19"/>
      <c r="G4" s="21"/>
      <c r="H4" s="21"/>
      <c r="K4" s="364"/>
      <c r="L4" s="363"/>
      <c r="M4" s="368"/>
      <c r="N4" s="341"/>
      <c r="O4" s="46" t="s">
        <v>47</v>
      </c>
      <c r="P4" s="117">
        <f>الجدول14[[#Totals],[عدد الاناث في جلسات التعريف بـPLW]]</f>
        <v>0</v>
      </c>
    </row>
    <row r="5" spans="2:16" ht="15.75" customHeight="1" x14ac:dyDescent="0.25">
      <c r="B5" s="355"/>
      <c r="C5" s="388"/>
      <c r="D5" s="42" t="s">
        <v>48</v>
      </c>
      <c r="E5" s="27">
        <f>الجدول1[[#Totals],[Male]]</f>
        <v>0</v>
      </c>
      <c r="F5" s="19"/>
      <c r="G5" s="21"/>
      <c r="H5" s="21"/>
      <c r="K5" s="364"/>
      <c r="L5" s="363"/>
      <c r="M5" s="368"/>
      <c r="N5" s="341"/>
      <c r="O5" s="46" t="s">
        <v>49</v>
      </c>
      <c r="P5" s="117">
        <f>الجدول14[[#Totals],[الفئة العمرية الكبرى في جلسات التعريف بـPLW]]</f>
        <v>0</v>
      </c>
    </row>
    <row r="6" spans="2:16" ht="15.75" customHeight="1" thickBot="1" x14ac:dyDescent="0.3">
      <c r="B6" s="355"/>
      <c r="C6" s="388"/>
      <c r="D6" s="42" t="s">
        <v>50</v>
      </c>
      <c r="E6" s="27">
        <f>الجدول1[[#Totals],[Female]]</f>
        <v>0</v>
      </c>
      <c r="F6" s="19"/>
      <c r="G6" s="21"/>
      <c r="H6" s="21"/>
      <c r="K6" s="364"/>
      <c r="L6" s="363"/>
      <c r="M6" s="368"/>
      <c r="N6" s="342"/>
      <c r="O6" s="118" t="s">
        <v>51</v>
      </c>
      <c r="P6" s="119">
        <f>الجدول14[[#Totals],[الفئة العمرية الصغرى في جلسات التعريف بـPLW]]</f>
        <v>0</v>
      </c>
    </row>
    <row r="7" spans="2:16" ht="15.75" customHeight="1" thickBot="1" x14ac:dyDescent="0.3">
      <c r="B7" s="355"/>
      <c r="C7" s="388"/>
      <c r="D7" s="42" t="s">
        <v>52</v>
      </c>
      <c r="E7" s="27">
        <f>الجدول1[[#Totals],[Phone]]</f>
        <v>0</v>
      </c>
      <c r="F7" s="19"/>
      <c r="G7" s="21"/>
      <c r="H7" s="21"/>
      <c r="K7" s="364"/>
      <c r="L7" s="363"/>
      <c r="M7" s="368"/>
      <c r="N7" s="346" t="s">
        <v>53</v>
      </c>
      <c r="O7" s="115" t="s">
        <v>42</v>
      </c>
      <c r="P7" s="116">
        <f>الجدول14[[#Totals],[معلومات صحة تغذوية للسيدة الحامل]]</f>
        <v>0</v>
      </c>
    </row>
    <row r="8" spans="2:16" ht="15.75" customHeight="1" x14ac:dyDescent="0.25">
      <c r="B8" s="355"/>
      <c r="C8" s="388"/>
      <c r="D8" s="42" t="s">
        <v>54</v>
      </c>
      <c r="E8" s="27">
        <f>الجدول1[[#Totals],[personal]]</f>
        <v>0</v>
      </c>
      <c r="F8" s="19"/>
      <c r="G8" s="21"/>
      <c r="H8" s="377" t="s">
        <v>21</v>
      </c>
      <c r="I8" s="378"/>
      <c r="K8" s="364"/>
      <c r="L8" s="363"/>
      <c r="M8" s="368"/>
      <c r="N8" s="347"/>
      <c r="O8" s="46" t="s">
        <v>44</v>
      </c>
      <c r="P8" s="117">
        <f>الجدول14[[#Totals],[عدد الذكور في جلسات معلومات الصحة التغذوية]]</f>
        <v>0</v>
      </c>
    </row>
    <row r="9" spans="2:16" ht="15.75" customHeight="1" x14ac:dyDescent="0.25">
      <c r="B9" s="355"/>
      <c r="C9" s="388"/>
      <c r="D9" s="42" t="s">
        <v>55</v>
      </c>
      <c r="E9" s="27">
        <f>الجدول1[[#Totals],[Observe]]</f>
        <v>0</v>
      </c>
      <c r="F9" s="19"/>
      <c r="G9" s="21"/>
      <c r="H9" s="379"/>
      <c r="I9" s="380"/>
      <c r="K9" s="364"/>
      <c r="L9" s="363"/>
      <c r="M9" s="368"/>
      <c r="N9" s="347"/>
      <c r="O9" s="46" t="s">
        <v>47</v>
      </c>
      <c r="P9" s="117">
        <f>الجدول14[[#Totals],[عدد الاناث في جلسات معلومات الصحة التغذوية]]</f>
        <v>0</v>
      </c>
    </row>
    <row r="10" spans="2:16" ht="15.75" customHeight="1" x14ac:dyDescent="0.25">
      <c r="B10" s="355"/>
      <c r="C10" s="388"/>
      <c r="D10" s="42" t="s">
        <v>56</v>
      </c>
      <c r="E10" s="27">
        <f>الجدول1[[#Totals],[عدد طلب المعلومات]]</f>
        <v>0</v>
      </c>
      <c r="F10" s="19"/>
      <c r="G10" s="21"/>
      <c r="H10" s="379"/>
      <c r="I10" s="380"/>
      <c r="K10" s="364"/>
      <c r="L10" s="363"/>
      <c r="M10" s="368"/>
      <c r="N10" s="347"/>
      <c r="O10" s="46" t="s">
        <v>49</v>
      </c>
      <c r="P10" s="117">
        <f>الجدول14[[#Totals],[فئة عمرية كبرى لجلسات الصحة التغذوية]]</f>
        <v>0</v>
      </c>
    </row>
    <row r="11" spans="2:16" ht="15.75" customHeight="1" thickBot="1" x14ac:dyDescent="0.3">
      <c r="B11" s="355"/>
      <c r="C11" s="388"/>
      <c r="D11" s="42" t="s">
        <v>57</v>
      </c>
      <c r="E11" s="27">
        <f>الجدول1[[#Totals],[عدد حالات خلل البطاقات]]</f>
        <v>0</v>
      </c>
      <c r="F11" s="19"/>
      <c r="G11" s="21"/>
      <c r="H11" s="379"/>
      <c r="I11" s="380"/>
      <c r="K11" s="364"/>
      <c r="L11" s="363"/>
      <c r="M11" s="368"/>
      <c r="N11" s="348"/>
      <c r="O11" s="118" t="s">
        <v>51</v>
      </c>
      <c r="P11" s="119">
        <f>الجدول14[[#Totals],[فئة عمرية صغرى لجلسات الصحة التغذوية]]</f>
        <v>0</v>
      </c>
    </row>
    <row r="12" spans="2:16" ht="15.75" customHeight="1" thickBot="1" x14ac:dyDescent="0.3">
      <c r="B12" s="355"/>
      <c r="C12" s="388"/>
      <c r="D12" s="42" t="s">
        <v>58</v>
      </c>
      <c r="E12" s="27">
        <f>الجدول1[[#Totals],[تأخير صدور البطاقات]]</f>
        <v>0</v>
      </c>
      <c r="F12" s="19"/>
      <c r="G12" s="21"/>
      <c r="H12" s="381"/>
      <c r="I12" s="382"/>
      <c r="K12" s="364"/>
      <c r="L12" s="363"/>
      <c r="M12" s="368"/>
      <c r="N12" s="346" t="s">
        <v>59</v>
      </c>
      <c r="O12" s="115" t="s">
        <v>42</v>
      </c>
      <c r="P12" s="116">
        <f>الجدول14[[#Totals],[تعليمات الية صرف البطاقة لـ PLW]]</f>
        <v>0</v>
      </c>
    </row>
    <row r="13" spans="2:16" ht="15.75" customHeight="1" x14ac:dyDescent="0.25">
      <c r="B13" s="355"/>
      <c r="C13" s="388"/>
      <c r="D13" s="42" t="s">
        <v>60</v>
      </c>
      <c r="E13" s="27">
        <f>الجدول1[[#Totals],[شكوى عن  المتجر]]</f>
        <v>0</v>
      </c>
      <c r="F13" s="19"/>
      <c r="G13" s="21"/>
      <c r="K13" s="364"/>
      <c r="L13" s="363"/>
      <c r="M13" s="368"/>
      <c r="N13" s="347"/>
      <c r="O13" s="46" t="s">
        <v>44</v>
      </c>
      <c r="P13" s="117">
        <f>الجدول14[[#Totals],[عدد الذكور في جلسات تعليم آلية صرف البطاقة لـPLW]]</f>
        <v>0</v>
      </c>
    </row>
    <row r="14" spans="2:16" ht="15.75" customHeight="1" x14ac:dyDescent="0.25">
      <c r="B14" s="355"/>
      <c r="C14" s="388"/>
      <c r="D14" s="42" t="s">
        <v>61</v>
      </c>
      <c r="E14" s="27">
        <f>الجدول1[[#Totals],[شكوى عن معاملة الموظفين]]</f>
        <v>0</v>
      </c>
      <c r="F14" s="19"/>
      <c r="G14" s="21"/>
      <c r="K14" s="364"/>
      <c r="L14" s="363"/>
      <c r="M14" s="368"/>
      <c r="N14" s="347"/>
      <c r="O14" s="46" t="s">
        <v>47</v>
      </c>
      <c r="P14" s="117">
        <f>الجدول14[[#Totals],[عدد الاناث في جلسات تعليم آلية صرف البطاقة لـPLW]]</f>
        <v>0</v>
      </c>
    </row>
    <row r="15" spans="2:16" ht="15.75" customHeight="1" x14ac:dyDescent="0.25">
      <c r="B15" s="355"/>
      <c r="C15" s="388"/>
      <c r="D15" s="42" t="s">
        <v>62</v>
      </c>
      <c r="E15" s="27">
        <f>الجدول1[[#Totals],[عدد الشكاوى المعالجة]]</f>
        <v>0</v>
      </c>
      <c r="F15" s="19"/>
      <c r="G15" s="21"/>
      <c r="K15" s="364"/>
      <c r="L15" s="363"/>
      <c r="M15" s="368"/>
      <c r="N15" s="347"/>
      <c r="O15" s="46" t="s">
        <v>49</v>
      </c>
      <c r="P15" s="117">
        <f>الجدول14[[#Totals],[فئة عمرية كبرى لجلسات تعليم صرف البطاقة لـPLW]]</f>
        <v>0</v>
      </c>
    </row>
    <row r="16" spans="2:16" ht="15" customHeight="1" thickBot="1" x14ac:dyDescent="0.3">
      <c r="B16" s="355"/>
      <c r="C16" s="388"/>
      <c r="D16" s="42" t="s">
        <v>63</v>
      </c>
      <c r="E16" s="27">
        <f>الجدول1[[#Totals],[عدد الشكاوى المحالة]]</f>
        <v>0</v>
      </c>
      <c r="F16" s="19"/>
      <c r="G16" s="21"/>
      <c r="K16" s="364"/>
      <c r="L16" s="363"/>
      <c r="M16" s="368"/>
      <c r="N16" s="348"/>
      <c r="O16" s="118" t="s">
        <v>51</v>
      </c>
      <c r="P16" s="119">
        <f>الجدول14[[#Totals],[فئة عمرية صغرى لجلسات تعليم صرف البطاقة لـPLW]]</f>
        <v>0</v>
      </c>
    </row>
    <row r="17" spans="2:16" ht="15" customHeight="1" x14ac:dyDescent="0.25">
      <c r="B17" s="355"/>
      <c r="C17" s="388"/>
      <c r="D17" s="42" t="s">
        <v>64</v>
      </c>
      <c r="E17" s="27">
        <f>الجدول1[[#Totals],[عدد الشكاوى العالقة]]</f>
        <v>0</v>
      </c>
      <c r="F17" s="19"/>
      <c r="K17" s="364"/>
      <c r="L17" s="363"/>
      <c r="M17" s="368"/>
      <c r="N17" s="346" t="s">
        <v>65</v>
      </c>
      <c r="O17" s="115" t="s">
        <v>42</v>
      </c>
      <c r="P17" s="116">
        <f>الجدول14[[#Totals],[حماية PLW]]</f>
        <v>0</v>
      </c>
    </row>
    <row r="18" spans="2:16" ht="15" customHeight="1" x14ac:dyDescent="0.25">
      <c r="B18" s="355"/>
      <c r="C18" s="388"/>
      <c r="D18" s="42" t="s">
        <v>66</v>
      </c>
      <c r="E18" s="27">
        <f>الجدول1[[#Totals],[عدد الحالات المحالة الى براعم]]</f>
        <v>0</v>
      </c>
      <c r="F18" s="19"/>
      <c r="K18" s="364"/>
      <c r="L18" s="363"/>
      <c r="M18" s="368"/>
      <c r="N18" s="347"/>
      <c r="O18" s="46" t="s">
        <v>44</v>
      </c>
      <c r="P18" s="117">
        <f>الجدول14[[#Totals],[عدد الذكور في جلسات حماية PLW]]</f>
        <v>0</v>
      </c>
    </row>
    <row r="19" spans="2:16" ht="15" customHeight="1" x14ac:dyDescent="0.25">
      <c r="B19" s="355"/>
      <c r="C19" s="389"/>
      <c r="D19" s="42" t="s">
        <v>67</v>
      </c>
      <c r="E19" s="27">
        <f>الجدول1[[#Totals],[عدد الشكاوى المحالة الىGOPA]]</f>
        <v>0</v>
      </c>
      <c r="F19" s="19"/>
      <c r="K19" s="364"/>
      <c r="L19" s="363"/>
      <c r="M19" s="368"/>
      <c r="N19" s="347"/>
      <c r="O19" s="46" t="s">
        <v>47</v>
      </c>
      <c r="P19" s="117">
        <f>الجدول14[[#Totals],[عدد الاناث في جلسات حماية PLW]]</f>
        <v>0</v>
      </c>
    </row>
    <row r="20" spans="2:16" ht="15" customHeight="1" x14ac:dyDescent="0.25">
      <c r="B20" s="355"/>
      <c r="C20" s="386" t="s">
        <v>68</v>
      </c>
      <c r="D20" s="43" t="s">
        <v>2</v>
      </c>
      <c r="E20" s="28">
        <f>Table32[[#Totals],[السويداء]]</f>
        <v>0</v>
      </c>
      <c r="F20" s="19"/>
      <c r="K20" s="364"/>
      <c r="L20" s="363"/>
      <c r="M20" s="368"/>
      <c r="N20" s="347"/>
      <c r="O20" s="46" t="s">
        <v>49</v>
      </c>
      <c r="P20" s="117">
        <f>الجدول14[[#Totals],[فئة عمرية كبرى في جلسات حماية PLW]]</f>
        <v>0</v>
      </c>
    </row>
    <row r="21" spans="2:16" ht="15" customHeight="1" thickBot="1" x14ac:dyDescent="0.3">
      <c r="B21" s="355"/>
      <c r="C21" s="386"/>
      <c r="D21" s="43" t="s">
        <v>69</v>
      </c>
      <c r="E21" s="28">
        <f>Table43[[#Totals],[السويداء]]</f>
        <v>0</v>
      </c>
      <c r="F21" s="19"/>
      <c r="G21" s="78"/>
      <c r="K21" s="364"/>
      <c r="L21" s="363"/>
      <c r="M21" s="368"/>
      <c r="N21" s="348"/>
      <c r="O21" s="118" t="s">
        <v>51</v>
      </c>
      <c r="P21" s="119">
        <f>الجدول14[[#Totals],[فئة عمرية صغرى في جلسات حماية PLW]]</f>
        <v>0</v>
      </c>
    </row>
    <row r="22" spans="2:16" ht="15.75" customHeight="1" x14ac:dyDescent="0.25">
      <c r="B22" s="355"/>
      <c r="C22" s="383" t="s">
        <v>70</v>
      </c>
      <c r="D22" s="351" t="s">
        <v>71</v>
      </c>
      <c r="E22" s="44" t="s">
        <v>72</v>
      </c>
      <c r="F22" s="29">
        <f>Monitoring_ATHAR!$E$24</f>
        <v>0</v>
      </c>
      <c r="G22" s="78"/>
      <c r="K22" s="364"/>
      <c r="L22" s="363"/>
      <c r="M22" s="368"/>
      <c r="N22" s="346" t="s">
        <v>73</v>
      </c>
      <c r="O22" s="115" t="s">
        <v>42</v>
      </c>
      <c r="P22" s="116">
        <f>الجدول14[[#Totals],[تشاور PLW]]</f>
        <v>0</v>
      </c>
    </row>
    <row r="23" spans="2:16" ht="15.75" customHeight="1" x14ac:dyDescent="0.25">
      <c r="B23" s="355"/>
      <c r="C23" s="384"/>
      <c r="D23" s="353"/>
      <c r="E23" s="44" t="s">
        <v>74</v>
      </c>
      <c r="F23" s="29">
        <f>Monitoring_ATHAR!$F$24</f>
        <v>0</v>
      </c>
      <c r="K23" s="364"/>
      <c r="L23" s="363"/>
      <c r="M23" s="368"/>
      <c r="N23" s="347"/>
      <c r="O23" s="46" t="s">
        <v>44</v>
      </c>
      <c r="P23" s="117">
        <f>الجدول14[[#Totals],[عدد الذكور في جلسات التشاور لبرنامج PLW]]</f>
        <v>0</v>
      </c>
    </row>
    <row r="24" spans="2:16" ht="15.75" customHeight="1" x14ac:dyDescent="0.25">
      <c r="B24" s="355"/>
      <c r="C24" s="384"/>
      <c r="D24" s="351" t="s">
        <v>75</v>
      </c>
      <c r="E24" s="351">
        <f>الجدول16[[#Totals],[الموقع]]</f>
        <v>0</v>
      </c>
      <c r="F24" s="29" t="s">
        <v>40</v>
      </c>
      <c r="G24" s="79">
        <f>الجدول16[[#Totals],[Athar]]</f>
        <v>0</v>
      </c>
      <c r="K24" s="364"/>
      <c r="L24" s="363"/>
      <c r="M24" s="368"/>
      <c r="N24" s="347"/>
      <c r="O24" s="46" t="s">
        <v>47</v>
      </c>
      <c r="P24" s="117">
        <f>الجدول14[[#Totals],[عدد الاناث في جلسات التشاور PLW]]</f>
        <v>0</v>
      </c>
    </row>
    <row r="25" spans="2:16" ht="15.75" customHeight="1" x14ac:dyDescent="0.25">
      <c r="B25" s="355"/>
      <c r="C25" s="385"/>
      <c r="D25" s="352"/>
      <c r="E25" s="352"/>
      <c r="F25" s="29" t="s">
        <v>76</v>
      </c>
      <c r="G25" s="30">
        <f>الجدول16[[#Totals],[Nabedh]]</f>
        <v>0</v>
      </c>
      <c r="K25" s="364"/>
      <c r="L25" s="363"/>
      <c r="M25" s="368"/>
      <c r="N25" s="347"/>
      <c r="O25" s="46" t="s">
        <v>49</v>
      </c>
      <c r="P25" s="117">
        <f>الجدول14[[#Totals],[فئة عمرية كبرى لجلسات التشاور PLW]]</f>
        <v>0</v>
      </c>
    </row>
    <row r="26" spans="2:16" ht="15.75" customHeight="1" thickBot="1" x14ac:dyDescent="0.3">
      <c r="B26" s="355"/>
      <c r="C26" s="337" t="s">
        <v>77</v>
      </c>
      <c r="D26" s="376" t="s">
        <v>78</v>
      </c>
      <c r="E26" s="31" t="s">
        <v>2</v>
      </c>
      <c r="F26" s="32">
        <f>Table3[[#Totals],[السويداء]]</f>
        <v>0</v>
      </c>
      <c r="K26" s="364"/>
      <c r="L26" s="363"/>
      <c r="M26" s="368"/>
      <c r="N26" s="348"/>
      <c r="O26" s="118" t="s">
        <v>51</v>
      </c>
      <c r="P26" s="119">
        <f>الجدول14[[#Totals],[فئة عمرية صغرى لجلسات التشاور PLW]]</f>
        <v>0</v>
      </c>
    </row>
    <row r="27" spans="2:16" ht="15.75" customHeight="1" x14ac:dyDescent="0.25">
      <c r="B27" s="355"/>
      <c r="C27" s="338"/>
      <c r="D27" s="376"/>
      <c r="E27" s="31" t="s">
        <v>69</v>
      </c>
      <c r="F27" s="32">
        <f>Table4[[#Totals],[السويداء]]</f>
        <v>0</v>
      </c>
      <c r="K27" s="364"/>
      <c r="L27" s="363"/>
      <c r="M27" s="369" t="s">
        <v>69</v>
      </c>
      <c r="N27" s="370" t="s">
        <v>79</v>
      </c>
      <c r="O27" s="139" t="s">
        <v>42</v>
      </c>
      <c r="P27" s="140">
        <f>الجدول14[[#Totals],[تعريف ببرنامج الـ OOSCH]]</f>
        <v>0</v>
      </c>
    </row>
    <row r="28" spans="2:16" ht="15.75" customHeight="1" x14ac:dyDescent="0.25">
      <c r="B28" s="355"/>
      <c r="C28" s="337" t="s">
        <v>80</v>
      </c>
      <c r="D28" s="45" t="s">
        <v>81</v>
      </c>
      <c r="E28" s="33">
        <f>الجدول11[[#Totals],[(عدد الجلسات التدريبية/جلسات التوعية حول مسألة النوع والمنفذة لمصلحة موظفي الشريك ولجان إدارة المشروع]]</f>
        <v>0</v>
      </c>
      <c r="F28" s="19"/>
      <c r="K28" s="364"/>
      <c r="L28" s="363"/>
      <c r="M28" s="369"/>
      <c r="N28" s="371"/>
      <c r="O28" s="141" t="s">
        <v>44</v>
      </c>
      <c r="P28" s="142">
        <f>الجدول14[[#Totals],[عدد الذكور في جلسات التعريف بـ OOSCH]]</f>
        <v>0</v>
      </c>
    </row>
    <row r="29" spans="2:16" ht="15.75" customHeight="1" x14ac:dyDescent="0.25">
      <c r="B29" s="355"/>
      <c r="C29" s="338"/>
      <c r="D29" s="45" t="s">
        <v>82</v>
      </c>
      <c r="E29" s="33">
        <f>الجدول11[[#Totals],[عدد الحضور]]</f>
        <v>0</v>
      </c>
      <c r="F29" s="19"/>
      <c r="K29" s="364"/>
      <c r="L29" s="363"/>
      <c r="M29" s="369"/>
      <c r="N29" s="371"/>
      <c r="O29" s="141" t="s">
        <v>47</v>
      </c>
      <c r="P29" s="142">
        <f>الجدول14[[#Totals],[عدد الاناث في جلسات التعريف بـOOSCH]]</f>
        <v>0</v>
      </c>
    </row>
    <row r="30" spans="2:16" ht="15.75" customHeight="1" x14ac:dyDescent="0.25">
      <c r="B30" s="355"/>
      <c r="C30" s="338"/>
      <c r="D30" s="45" t="s">
        <v>83</v>
      </c>
      <c r="E30" s="33">
        <f>الجدول11[[#Totals],[ذكور]]</f>
        <v>0</v>
      </c>
      <c r="F30" s="19"/>
      <c r="K30" s="364"/>
      <c r="L30" s="363"/>
      <c r="M30" s="369"/>
      <c r="N30" s="371"/>
      <c r="O30" s="141" t="s">
        <v>49</v>
      </c>
      <c r="P30" s="142">
        <f>الجدول14[[#Totals],[الفئة العمرية الكبرى في جلسات التعريف بـOOSCH]]</f>
        <v>0</v>
      </c>
    </row>
    <row r="31" spans="2:16" ht="15.75" customHeight="1" thickBot="1" x14ac:dyDescent="0.3">
      <c r="B31" s="355"/>
      <c r="C31" s="338"/>
      <c r="D31" s="45" t="s">
        <v>84</v>
      </c>
      <c r="E31" s="33">
        <f>الجدول11[[#Totals],[إناث]]</f>
        <v>0</v>
      </c>
      <c r="F31" s="19"/>
      <c r="K31" s="364"/>
      <c r="L31" s="363"/>
      <c r="M31" s="369"/>
      <c r="N31" s="372"/>
      <c r="O31" s="143" t="s">
        <v>51</v>
      </c>
      <c r="P31" s="144">
        <f>الجدول14[[#Totals],[الفئة العمرية الصغرى في جلسات التعريف بـOOSCH2]]</f>
        <v>0</v>
      </c>
    </row>
    <row r="32" spans="2:16" ht="18" customHeight="1" x14ac:dyDescent="0.25">
      <c r="B32" s="355"/>
      <c r="C32" s="338"/>
      <c r="D32" s="45" t="s">
        <v>85</v>
      </c>
      <c r="E32" s="33">
        <f>الجدول11[[#Totals],[(عدد الجلسات التدريبية/جلسات التوعية حول مسألة النوع والمنفذة لمصلحة السكان المتضررين]]</f>
        <v>0</v>
      </c>
      <c r="F32" s="19"/>
      <c r="K32" s="364"/>
      <c r="L32" s="363"/>
      <c r="M32" s="369"/>
      <c r="N32" s="373" t="s">
        <v>86</v>
      </c>
      <c r="O32" s="139" t="s">
        <v>42</v>
      </c>
      <c r="P32" s="140">
        <f>الجدول14[[#Totals],[أهمية التعليم ومخاطر التسرب]]</f>
        <v>0</v>
      </c>
    </row>
    <row r="33" spans="2:16" ht="18" customHeight="1" x14ac:dyDescent="0.25">
      <c r="B33" s="355"/>
      <c r="C33" s="338"/>
      <c r="D33" s="45" t="s">
        <v>82</v>
      </c>
      <c r="E33" s="33">
        <f>الجدول11[[#Totals],[عدد لحضور]]</f>
        <v>0</v>
      </c>
      <c r="F33" s="19"/>
      <c r="K33" s="364"/>
      <c r="L33" s="363"/>
      <c r="M33" s="369"/>
      <c r="N33" s="374"/>
      <c r="O33" s="141" t="s">
        <v>44</v>
      </c>
      <c r="P33" s="142">
        <f>الجدول14[[#Totals],[عدد الذكور في جلسات أهمية التعليم]]</f>
        <v>0</v>
      </c>
    </row>
    <row r="34" spans="2:16" ht="18" customHeight="1" x14ac:dyDescent="0.25">
      <c r="B34" s="355"/>
      <c r="C34" s="338"/>
      <c r="D34" s="45" t="s">
        <v>83</v>
      </c>
      <c r="E34" s="33">
        <f>الجدول11[[#Totals],[الذكور]]</f>
        <v>0</v>
      </c>
      <c r="F34" s="19"/>
      <c r="K34" s="364"/>
      <c r="L34" s="363"/>
      <c r="M34" s="369"/>
      <c r="N34" s="374"/>
      <c r="O34" s="141" t="s">
        <v>47</v>
      </c>
      <c r="P34" s="142">
        <f>الجدول14[[#Totals],[عدد الاناث في جلسات أهمية التعلم]]</f>
        <v>0</v>
      </c>
    </row>
    <row r="35" spans="2:16" ht="18" customHeight="1" x14ac:dyDescent="0.25">
      <c r="B35" s="355"/>
      <c r="C35" s="339"/>
      <c r="D35" s="45" t="s">
        <v>84</v>
      </c>
      <c r="E35" s="33">
        <f>الجدول11[[#Totals],[الاناث]]</f>
        <v>0</v>
      </c>
      <c r="F35" s="19"/>
      <c r="K35" s="364"/>
      <c r="L35" s="363"/>
      <c r="M35" s="369"/>
      <c r="N35" s="374"/>
      <c r="O35" s="141" t="s">
        <v>49</v>
      </c>
      <c r="P35" s="142">
        <f>الجدول14[[#Totals],[فئة عمرية كبرى لجلسات أهمية التعلم]]</f>
        <v>0</v>
      </c>
    </row>
    <row r="36" spans="2:16" ht="15.75" customHeight="1" thickBot="1" x14ac:dyDescent="0.3">
      <c r="B36" s="355"/>
      <c r="C36" s="337" t="s">
        <v>87</v>
      </c>
      <c r="D36" s="47" t="s">
        <v>88</v>
      </c>
      <c r="E36" s="20">
        <f>'Reception ATHER'!A2</f>
        <v>0</v>
      </c>
      <c r="F36" s="19"/>
      <c r="K36" s="364"/>
      <c r="L36" s="363"/>
      <c r="M36" s="369"/>
      <c r="N36" s="375"/>
      <c r="O36" s="143" t="s">
        <v>51</v>
      </c>
      <c r="P36" s="144">
        <f>الجدول14[[#Totals],[فئة عمرية صغرى لجلسات أهمية التعلم]]</f>
        <v>0</v>
      </c>
    </row>
    <row r="37" spans="2:16" ht="15.75" customHeight="1" x14ac:dyDescent="0.25">
      <c r="B37" s="355"/>
      <c r="C37" s="339"/>
      <c r="D37" s="47" t="s">
        <v>89</v>
      </c>
      <c r="E37" s="20">
        <f>'Reception ATHER'!C2</f>
        <v>0</v>
      </c>
      <c r="K37" s="364"/>
      <c r="L37" s="363"/>
      <c r="M37" s="369"/>
      <c r="N37" s="373" t="s">
        <v>59</v>
      </c>
      <c r="O37" s="139" t="s">
        <v>42</v>
      </c>
      <c r="P37" s="140">
        <f>الجدول14[[#Totals],[تعليمات آلية صرف البطاقة لـOOSCH]]</f>
        <v>0</v>
      </c>
    </row>
    <row r="38" spans="2:16" ht="15.75" customHeight="1" x14ac:dyDescent="0.25">
      <c r="B38" s="355"/>
      <c r="C38" s="390" t="s">
        <v>90</v>
      </c>
      <c r="D38" s="51" t="s">
        <v>91</v>
      </c>
      <c r="E38" s="52">
        <f>'Help Disk_ATHAR'!B57</f>
        <v>0</v>
      </c>
      <c r="K38" s="364"/>
      <c r="L38" s="363"/>
      <c r="M38" s="369"/>
      <c r="N38" s="374"/>
      <c r="O38" s="141" t="s">
        <v>44</v>
      </c>
      <c r="P38" s="142">
        <f>الجدول14[[#Totals],[عدد الذكور في جلسات تعليم آلية صرف البطاقة لـOOSCH]]</f>
        <v>0</v>
      </c>
    </row>
    <row r="39" spans="2:16" ht="15.75" customHeight="1" x14ac:dyDescent="0.25">
      <c r="B39" s="355"/>
      <c r="C39" s="391"/>
      <c r="D39" s="51" t="s">
        <v>92</v>
      </c>
      <c r="E39" s="52">
        <f>الجدول10[[#Totals],[عدد المشاركين]]</f>
        <v>0</v>
      </c>
      <c r="K39" s="364"/>
      <c r="L39" s="363"/>
      <c r="M39" s="369"/>
      <c r="N39" s="374"/>
      <c r="O39" s="141" t="s">
        <v>47</v>
      </c>
      <c r="P39" s="142">
        <f>الجدول14[[#Totals],[عدد الاناث في جلسات تعليم آلية صرف البطاقة لـOOSCH]]</f>
        <v>0</v>
      </c>
    </row>
    <row r="40" spans="2:16" ht="15.75" customHeight="1" x14ac:dyDescent="0.25">
      <c r="B40" s="355"/>
      <c r="C40" s="391"/>
      <c r="D40" s="51" t="s">
        <v>44</v>
      </c>
      <c r="E40" s="52">
        <f>الجدول10[[#Totals],[ذكور]]</f>
        <v>0</v>
      </c>
      <c r="K40" s="364"/>
      <c r="L40" s="363"/>
      <c r="M40" s="369"/>
      <c r="N40" s="374"/>
      <c r="O40" s="141" t="s">
        <v>49</v>
      </c>
      <c r="P40" s="142">
        <f>الجدول14[[#Totals],[فئة عمرية كبرى لجلسات تعليم صرف البطاقة لـOOSCH]]</f>
        <v>0</v>
      </c>
    </row>
    <row r="41" spans="2:16" ht="16.5" customHeight="1" thickBot="1" x14ac:dyDescent="0.3">
      <c r="B41" s="356"/>
      <c r="C41" s="392"/>
      <c r="D41" s="51" t="s">
        <v>84</v>
      </c>
      <c r="E41" s="52">
        <f>الجدول10[[#Totals],[إناث]]</f>
        <v>0</v>
      </c>
      <c r="K41" s="364"/>
      <c r="L41" s="363"/>
      <c r="M41" s="369"/>
      <c r="N41" s="375"/>
      <c r="O41" s="143" t="s">
        <v>51</v>
      </c>
      <c r="P41" s="144">
        <f>الجدول14[[#Totals],[فئة عمرية صغرى لجلسات تعليم صرف البطاقة لHـOOSC]]</f>
        <v>0</v>
      </c>
    </row>
    <row r="42" spans="2:16" ht="15.75" customHeight="1" x14ac:dyDescent="0.25">
      <c r="B42" s="354" t="s">
        <v>93</v>
      </c>
      <c r="C42" s="337" t="s">
        <v>37</v>
      </c>
      <c r="D42" s="41" t="s">
        <v>38</v>
      </c>
      <c r="E42" s="26">
        <f>MUAC_NABEDH!A2</f>
        <v>0</v>
      </c>
      <c r="F42" s="19"/>
      <c r="K42" s="364"/>
      <c r="L42" s="363"/>
      <c r="M42" s="369"/>
      <c r="N42" s="373" t="s">
        <v>65</v>
      </c>
      <c r="O42" s="139" t="s">
        <v>42</v>
      </c>
      <c r="P42" s="140">
        <f>الجدول14[[#Totals],[حماية OOSCH]]</f>
        <v>0</v>
      </c>
    </row>
    <row r="43" spans="2:16" ht="15.75" customHeight="1" x14ac:dyDescent="0.25">
      <c r="B43" s="355"/>
      <c r="C43" s="339"/>
      <c r="D43" s="41" t="s">
        <v>94</v>
      </c>
      <c r="E43" s="26">
        <f>MUAC_NABEDH!B2</f>
        <v>0</v>
      </c>
      <c r="F43" s="19"/>
      <c r="K43" s="364"/>
      <c r="L43" s="363"/>
      <c r="M43" s="369"/>
      <c r="N43" s="374"/>
      <c r="O43" s="141" t="s">
        <v>44</v>
      </c>
      <c r="P43" s="142">
        <f>الجدول14[[#Totals],[عدد الذكور في جلسات حماية OOSCH]]</f>
        <v>0</v>
      </c>
    </row>
    <row r="44" spans="2:16" ht="15.75" customHeight="1" x14ac:dyDescent="0.25">
      <c r="B44" s="355"/>
      <c r="C44" s="337" t="s">
        <v>45</v>
      </c>
      <c r="D44" s="42" t="s">
        <v>46</v>
      </c>
      <c r="E44" s="27">
        <f>الجدول18[[#Totals],[نوع الشكوى]]</f>
        <v>0</v>
      </c>
      <c r="F44" s="19"/>
      <c r="K44" s="364"/>
      <c r="L44" s="363"/>
      <c r="M44" s="369"/>
      <c r="N44" s="374"/>
      <c r="O44" s="141" t="s">
        <v>47</v>
      </c>
      <c r="P44" s="142">
        <f>الجدول14[[#Totals],[عدد الاناث في جلسات حماية OOSCH]]</f>
        <v>0</v>
      </c>
    </row>
    <row r="45" spans="2:16" ht="15.75" customHeight="1" x14ac:dyDescent="0.25">
      <c r="B45" s="355"/>
      <c r="C45" s="338"/>
      <c r="D45" s="42" t="s">
        <v>48</v>
      </c>
      <c r="E45" s="27">
        <f>الجدول18[[#Totals],[Male]]</f>
        <v>0</v>
      </c>
      <c r="F45" s="19"/>
      <c r="K45" s="364"/>
      <c r="L45" s="363"/>
      <c r="M45" s="369"/>
      <c r="N45" s="374"/>
      <c r="O45" s="141" t="s">
        <v>49</v>
      </c>
      <c r="P45" s="142">
        <f>الجدول14[[#Totals],[فئة عمرية كبرى في جلسات حماية OOSCH]]</f>
        <v>0</v>
      </c>
    </row>
    <row r="46" spans="2:16" ht="16.5" customHeight="1" thickBot="1" x14ac:dyDescent="0.3">
      <c r="B46" s="355"/>
      <c r="C46" s="338"/>
      <c r="D46" s="42" t="s">
        <v>50</v>
      </c>
      <c r="E46" s="27">
        <f>الجدول18[[#Totals],[Female]]</f>
        <v>0</v>
      </c>
      <c r="F46" s="19"/>
      <c r="K46" s="364"/>
      <c r="L46" s="363"/>
      <c r="M46" s="369"/>
      <c r="N46" s="375"/>
      <c r="O46" s="143" t="s">
        <v>51</v>
      </c>
      <c r="P46" s="144">
        <f>الجدول14[[#Totals],[فئة عمرية صغرى في جلسات حماية OOSCH]]</f>
        <v>0</v>
      </c>
    </row>
    <row r="47" spans="2:16" ht="15.75" customHeight="1" x14ac:dyDescent="0.25">
      <c r="B47" s="355"/>
      <c r="C47" s="338"/>
      <c r="D47" s="42" t="s">
        <v>52</v>
      </c>
      <c r="E47" s="27">
        <f>الجدول18[[#Totals],[Phone]]</f>
        <v>0</v>
      </c>
      <c r="F47" s="19"/>
      <c r="K47" s="364"/>
      <c r="L47" s="363"/>
      <c r="M47" s="369"/>
      <c r="N47" s="373" t="s">
        <v>73</v>
      </c>
      <c r="O47" s="139" t="s">
        <v>42</v>
      </c>
      <c r="P47" s="140">
        <f>الجدول14[[#Totals],[تشاور OOSCH]]</f>
        <v>0</v>
      </c>
    </row>
    <row r="48" spans="2:16" ht="15.75" customHeight="1" x14ac:dyDescent="0.25">
      <c r="B48" s="355"/>
      <c r="C48" s="338"/>
      <c r="D48" s="42" t="s">
        <v>54</v>
      </c>
      <c r="E48" s="27">
        <f>الجدول18[[#Totals],[personal]]</f>
        <v>0</v>
      </c>
      <c r="F48" s="19"/>
      <c r="K48" s="364"/>
      <c r="L48" s="363"/>
      <c r="M48" s="369"/>
      <c r="N48" s="374"/>
      <c r="O48" s="141" t="s">
        <v>44</v>
      </c>
      <c r="P48" s="142">
        <f>الجدول14[[#Totals],[عدد الذكور في جلسات التشاور لبرنامج OOSCH]]</f>
        <v>0</v>
      </c>
    </row>
    <row r="49" spans="2:16" ht="15.75" customHeight="1" x14ac:dyDescent="0.25">
      <c r="B49" s="355"/>
      <c r="C49" s="338"/>
      <c r="D49" s="42" t="s">
        <v>55</v>
      </c>
      <c r="E49" s="27">
        <f>الجدول18[[#Totals],[Observe]]</f>
        <v>0</v>
      </c>
      <c r="F49" s="19"/>
      <c r="K49" s="364"/>
      <c r="L49" s="363"/>
      <c r="M49" s="369"/>
      <c r="N49" s="374"/>
      <c r="O49" s="141" t="s">
        <v>47</v>
      </c>
      <c r="P49" s="142">
        <f>الجدول14[[#Totals],[عدد الاناث في جلسات التشاور OOSCH]]</f>
        <v>0</v>
      </c>
    </row>
    <row r="50" spans="2:16" ht="15" customHeight="1" x14ac:dyDescent="0.25">
      <c r="B50" s="355"/>
      <c r="C50" s="338"/>
      <c r="D50" s="42" t="s">
        <v>56</v>
      </c>
      <c r="E50" s="27">
        <f>الجدول18[[#Totals],[عدد طلب المعلومات]]</f>
        <v>0</v>
      </c>
      <c r="F50" s="19"/>
      <c r="K50" s="364"/>
      <c r="L50" s="363"/>
      <c r="M50" s="369"/>
      <c r="N50" s="374"/>
      <c r="O50" s="141" t="s">
        <v>49</v>
      </c>
      <c r="P50" s="142">
        <f>الجدول14[[#Totals],[فئة عمرية كبرى لجلسات التشاور OOSCH]]</f>
        <v>0</v>
      </c>
    </row>
    <row r="51" spans="2:16" ht="15" customHeight="1" thickBot="1" x14ac:dyDescent="0.3">
      <c r="B51" s="355"/>
      <c r="C51" s="338"/>
      <c r="D51" s="42" t="s">
        <v>57</v>
      </c>
      <c r="E51" s="27">
        <f>الجدول18[[#Totals],[عدد حالات خلل البطاقات]]</f>
        <v>0</v>
      </c>
      <c r="F51" s="19"/>
      <c r="K51" s="364"/>
      <c r="L51" s="363"/>
      <c r="M51" s="369"/>
      <c r="N51" s="375"/>
      <c r="O51" s="143" t="s">
        <v>51</v>
      </c>
      <c r="P51" s="144">
        <f>الجدول14[[#Totals],[فئة عمرية صغرى لجلسات التشاور OOSCH]]</f>
        <v>0</v>
      </c>
    </row>
    <row r="52" spans="2:16" ht="15" customHeight="1" x14ac:dyDescent="0.25">
      <c r="B52" s="355"/>
      <c r="C52" s="338"/>
      <c r="D52" s="42" t="s">
        <v>58</v>
      </c>
      <c r="E52" s="27">
        <f>الجدول18[[#Totals],[تأخير صدور البطاقات]]</f>
        <v>0</v>
      </c>
      <c r="F52" s="19"/>
    </row>
    <row r="53" spans="2:16" ht="15" customHeight="1" x14ac:dyDescent="0.25">
      <c r="B53" s="355"/>
      <c r="C53" s="338"/>
      <c r="D53" s="42" t="s">
        <v>267</v>
      </c>
      <c r="E53" s="27">
        <f>الجدول18[[#Totals],[شكوى معاملة المتجر]]</f>
        <v>0</v>
      </c>
      <c r="F53" s="19"/>
    </row>
    <row r="54" spans="2:16" ht="15" customHeight="1" x14ac:dyDescent="0.25">
      <c r="B54" s="355"/>
      <c r="C54" s="338"/>
      <c r="D54" s="42" t="s">
        <v>61</v>
      </c>
      <c r="E54" s="27">
        <f>الجدول18[[#Totals],[شكوى عن معاملة الموظفين]]</f>
        <v>0</v>
      </c>
      <c r="F54" s="19"/>
    </row>
    <row r="55" spans="2:16" ht="15" customHeight="1" x14ac:dyDescent="0.25">
      <c r="B55" s="355"/>
      <c r="C55" s="338"/>
      <c r="D55" s="42" t="s">
        <v>62</v>
      </c>
      <c r="E55" s="27">
        <f>الجدول18[[#Totals],[عدد الشكاوى المعالجة]]</f>
        <v>0</v>
      </c>
      <c r="F55" s="19"/>
    </row>
    <row r="56" spans="2:16" ht="15.75" customHeight="1" thickBot="1" x14ac:dyDescent="0.3">
      <c r="B56" s="355"/>
      <c r="C56" s="338"/>
      <c r="D56" s="42" t="s">
        <v>63</v>
      </c>
      <c r="E56" s="27">
        <f>الجدول18[[#Totals],[عدد الشكاوى المحالة]]</f>
        <v>0</v>
      </c>
      <c r="F56" s="19"/>
    </row>
    <row r="57" spans="2:16" ht="15.75" customHeight="1" x14ac:dyDescent="0.25">
      <c r="B57" s="355"/>
      <c r="C57" s="338"/>
      <c r="D57" s="42" t="s">
        <v>64</v>
      </c>
      <c r="E57" s="27">
        <f>الجدول18[[#Totals],[عدد الشكاوى العالقة]]</f>
        <v>0</v>
      </c>
      <c r="F57" s="19"/>
      <c r="K57" s="357" t="s">
        <v>39</v>
      </c>
      <c r="L57" s="360" t="s">
        <v>76</v>
      </c>
      <c r="M57" s="365" t="s">
        <v>2</v>
      </c>
      <c r="N57" s="340" t="s">
        <v>41</v>
      </c>
      <c r="O57" s="115" t="s">
        <v>42</v>
      </c>
      <c r="P57" s="116">
        <f>الجدول145[[#Totals],[تعريف ببرنامج الـ PLW]]</f>
        <v>0</v>
      </c>
    </row>
    <row r="58" spans="2:16" ht="18" customHeight="1" x14ac:dyDescent="0.25">
      <c r="B58" s="355"/>
      <c r="C58" s="339"/>
      <c r="D58" s="42" t="s">
        <v>95</v>
      </c>
      <c r="E58" s="27">
        <f>الجدول18[[#Totals],[عدد الحالات المحالة الى نبض]]</f>
        <v>0</v>
      </c>
      <c r="F58" s="19"/>
      <c r="K58" s="358"/>
      <c r="L58" s="361"/>
      <c r="M58" s="366"/>
      <c r="N58" s="341"/>
      <c r="O58" s="46" t="s">
        <v>44</v>
      </c>
      <c r="P58" s="117">
        <f>الجدول145[[#Totals],[عدد الذكور في جلسات التعريف بـ PLW]]</f>
        <v>0</v>
      </c>
    </row>
    <row r="59" spans="2:16" ht="18" customHeight="1" x14ac:dyDescent="0.25">
      <c r="B59" s="355"/>
      <c r="C59" s="335" t="s">
        <v>68</v>
      </c>
      <c r="D59" s="43" t="s">
        <v>2</v>
      </c>
      <c r="E59" s="28">
        <f>Table32[[#Totals],[صلخد]]</f>
        <v>0</v>
      </c>
      <c r="F59" s="19"/>
      <c r="K59" s="358"/>
      <c r="L59" s="361"/>
      <c r="M59" s="366"/>
      <c r="N59" s="341"/>
      <c r="O59" s="46" t="s">
        <v>47</v>
      </c>
      <c r="P59" s="117">
        <f>الجدول145[[#Totals],[عدد الاناث في جلسات التعريف بـPLW]]</f>
        <v>0</v>
      </c>
    </row>
    <row r="60" spans="2:16" ht="18" customHeight="1" x14ac:dyDescent="0.25">
      <c r="B60" s="355"/>
      <c r="C60" s="336"/>
      <c r="D60" s="43" t="s">
        <v>69</v>
      </c>
      <c r="E60" s="28">
        <f>Table43[[#Totals],[صلخد]]</f>
        <v>0</v>
      </c>
      <c r="F60" s="19"/>
      <c r="G60" s="78"/>
      <c r="K60" s="358"/>
      <c r="L60" s="361"/>
      <c r="M60" s="366"/>
      <c r="N60" s="341"/>
      <c r="O60" s="46" t="s">
        <v>49</v>
      </c>
      <c r="P60" s="117">
        <f>الجدول145[[#Totals],[الفئة العمرية الكبرى في جلسات التعريف بـPLW]]</f>
        <v>0</v>
      </c>
    </row>
    <row r="61" spans="2:16" ht="18.75" customHeight="1" thickBot="1" x14ac:dyDescent="0.3">
      <c r="B61" s="355"/>
      <c r="C61" s="337" t="s">
        <v>70</v>
      </c>
      <c r="D61" s="351" t="s">
        <v>71</v>
      </c>
      <c r="E61" s="44" t="s">
        <v>72</v>
      </c>
      <c r="F61" s="79">
        <f>Monitoring_NABEDH!E24</f>
        <v>0</v>
      </c>
      <c r="G61" s="78"/>
      <c r="K61" s="358"/>
      <c r="L61" s="361"/>
      <c r="M61" s="366"/>
      <c r="N61" s="342"/>
      <c r="O61" s="118" t="s">
        <v>51</v>
      </c>
      <c r="P61" s="119">
        <f>الجدول145[[#Totals],[الفئة العمرية الصغرى في جلسات التعريف بـPLW]]</f>
        <v>0</v>
      </c>
    </row>
    <row r="62" spans="2:16" ht="18" customHeight="1" x14ac:dyDescent="0.25">
      <c r="B62" s="355"/>
      <c r="C62" s="338"/>
      <c r="D62" s="353"/>
      <c r="E62" s="44" t="s">
        <v>74</v>
      </c>
      <c r="F62" s="30">
        <f>Monitoring_NABEDH!F24</f>
        <v>0</v>
      </c>
      <c r="G62" s="78"/>
      <c r="K62" s="358"/>
      <c r="L62" s="361"/>
      <c r="M62" s="366"/>
      <c r="N62" s="343" t="s">
        <v>53</v>
      </c>
      <c r="O62" s="115" t="s">
        <v>42</v>
      </c>
      <c r="P62" s="116">
        <f>الجدول145[[#Totals],[معلومات صحة تغذوية للسيدة الحامل]]</f>
        <v>0</v>
      </c>
    </row>
    <row r="63" spans="2:16" ht="18" customHeight="1" x14ac:dyDescent="0.25">
      <c r="B63" s="355"/>
      <c r="C63" s="338"/>
      <c r="D63" s="351" t="s">
        <v>75</v>
      </c>
      <c r="E63" s="351">
        <f>الجدول1610[[#Totals],[الموقع]]</f>
        <v>0</v>
      </c>
      <c r="F63" s="29" t="s">
        <v>40</v>
      </c>
      <c r="G63" s="79">
        <f>الجدول1610[[#Totals],[Athar]]</f>
        <v>0</v>
      </c>
      <c r="K63" s="358"/>
      <c r="L63" s="361"/>
      <c r="M63" s="366"/>
      <c r="N63" s="344"/>
      <c r="O63" s="46" t="s">
        <v>44</v>
      </c>
      <c r="P63" s="117">
        <f>الجدول145[[#Totals],[عدد الذكور في جلسات معلومات الصحة التغذوية]]</f>
        <v>0</v>
      </c>
    </row>
    <row r="64" spans="2:16" ht="18" customHeight="1" x14ac:dyDescent="0.25">
      <c r="B64" s="355"/>
      <c r="C64" s="339"/>
      <c r="D64" s="352"/>
      <c r="E64" s="352"/>
      <c r="F64" s="29" t="s">
        <v>76</v>
      </c>
      <c r="G64" s="30">
        <f>الجدول1610[[#Totals],[Nabedh]]</f>
        <v>0</v>
      </c>
      <c r="K64" s="358"/>
      <c r="L64" s="361"/>
      <c r="M64" s="366"/>
      <c r="N64" s="344"/>
      <c r="O64" s="46" t="s">
        <v>47</v>
      </c>
      <c r="P64" s="117">
        <f>الجدول145[[#Totals],[عدد الاناث في جلسات معلومات الصحة التغذوية]]</f>
        <v>0</v>
      </c>
    </row>
    <row r="65" spans="2:16" ht="15.75" customHeight="1" x14ac:dyDescent="0.25">
      <c r="B65" s="355"/>
      <c r="C65" s="337" t="s">
        <v>77</v>
      </c>
      <c r="D65" s="349" t="s">
        <v>78</v>
      </c>
      <c r="E65" s="31" t="s">
        <v>2</v>
      </c>
      <c r="F65" s="32">
        <f>Table3[[#Totals],[صلخد]]</f>
        <v>0</v>
      </c>
      <c r="K65" s="358"/>
      <c r="L65" s="361"/>
      <c r="M65" s="366"/>
      <c r="N65" s="344"/>
      <c r="O65" s="46" t="s">
        <v>49</v>
      </c>
      <c r="P65" s="117">
        <f>الجدول145[[#Totals],[فئة عمرية كبرى لجلسات الصحة التغذوية]]</f>
        <v>0</v>
      </c>
    </row>
    <row r="66" spans="2:16" ht="16.5" customHeight="1" thickBot="1" x14ac:dyDescent="0.3">
      <c r="B66" s="355"/>
      <c r="C66" s="339"/>
      <c r="D66" s="350"/>
      <c r="E66" s="31" t="s">
        <v>69</v>
      </c>
      <c r="F66" s="32">
        <f>Table4[[#Totals],[صلخد]]</f>
        <v>0</v>
      </c>
      <c r="K66" s="358"/>
      <c r="L66" s="361"/>
      <c r="M66" s="366"/>
      <c r="N66" s="345"/>
      <c r="O66" s="118" t="s">
        <v>51</v>
      </c>
      <c r="P66" s="119">
        <f>الجدول145[[#Totals],[فئة عمرية صغرى لجلسات الصحة التغذوية]]</f>
        <v>0</v>
      </c>
    </row>
    <row r="67" spans="2:16" ht="15.75" customHeight="1" x14ac:dyDescent="0.25">
      <c r="B67" s="355"/>
      <c r="C67" s="337" t="s">
        <v>87</v>
      </c>
      <c r="D67" s="47" t="s">
        <v>88</v>
      </c>
      <c r="E67" s="20">
        <f>'Reception NABEDH'!A2</f>
        <v>0</v>
      </c>
      <c r="K67" s="358"/>
      <c r="L67" s="361"/>
      <c r="M67" s="366"/>
      <c r="N67" s="346" t="s">
        <v>59</v>
      </c>
      <c r="O67" s="115" t="s">
        <v>42</v>
      </c>
      <c r="P67" s="116">
        <f>الجدول145[[#Totals],[تعليمات الية صرف البطاقة لـ PLW]]</f>
        <v>0</v>
      </c>
    </row>
    <row r="68" spans="2:16" ht="15.75" customHeight="1" x14ac:dyDescent="0.25">
      <c r="B68" s="356"/>
      <c r="C68" s="339"/>
      <c r="D68" s="47" t="s">
        <v>89</v>
      </c>
      <c r="E68" s="20">
        <f>'Reception NABEDH'!C2</f>
        <v>0</v>
      </c>
      <c r="K68" s="358"/>
      <c r="L68" s="361"/>
      <c r="M68" s="366"/>
      <c r="N68" s="347"/>
      <c r="O68" s="46" t="s">
        <v>44</v>
      </c>
      <c r="P68" s="117">
        <f>الجدول145[[#Totals],[عدد الذكور في جلسات تعليم آلية صرف البطاقة لـPLW]]</f>
        <v>0</v>
      </c>
    </row>
    <row r="69" spans="2:16" ht="15.75" customHeight="1" x14ac:dyDescent="0.3">
      <c r="C69" s="154"/>
      <c r="F69" s="19"/>
      <c r="K69" s="358"/>
      <c r="L69" s="361"/>
      <c r="M69" s="366"/>
      <c r="N69" s="347"/>
      <c r="O69" s="46" t="s">
        <v>47</v>
      </c>
      <c r="P69" s="117">
        <f>الجدول145[[#Totals],[عدد الاناث في جلسات تعليم آلية صرف البطاقة لـPLW]]</f>
        <v>0</v>
      </c>
    </row>
    <row r="70" spans="2:16" ht="18.75" customHeight="1" x14ac:dyDescent="0.3">
      <c r="K70" s="358"/>
      <c r="L70" s="361"/>
      <c r="M70" s="366"/>
      <c r="N70" s="347"/>
      <c r="O70" s="46" t="s">
        <v>49</v>
      </c>
      <c r="P70" s="117">
        <f>الجدول145[[#Totals],[فئة عمرية كبرى لجلسات تعليم صرف البطاقة لـPLW]]</f>
        <v>0</v>
      </c>
    </row>
    <row r="71" spans="2:16" ht="19.5" customHeight="1" thickBot="1" x14ac:dyDescent="0.35">
      <c r="K71" s="358"/>
      <c r="L71" s="361"/>
      <c r="M71" s="366"/>
      <c r="N71" s="348"/>
      <c r="O71" s="118" t="s">
        <v>51</v>
      </c>
      <c r="P71" s="117">
        <f>الجدول145[[#Totals],[فئة عمرية صغرى لجلسات تعليم صرف البطاقة لـPLW]]</f>
        <v>0</v>
      </c>
    </row>
    <row r="72" spans="2:16" ht="18.75" customHeight="1" x14ac:dyDescent="0.3">
      <c r="K72" s="358"/>
      <c r="L72" s="361"/>
      <c r="M72" s="366"/>
      <c r="N72" s="346" t="s">
        <v>65</v>
      </c>
      <c r="O72" s="115" t="s">
        <v>42</v>
      </c>
      <c r="P72" s="116">
        <f>الجدول145[[#Totals],[حماية PLW]]</f>
        <v>0</v>
      </c>
    </row>
    <row r="73" spans="2:16" ht="18.75" customHeight="1" x14ac:dyDescent="0.3">
      <c r="K73" s="358"/>
      <c r="L73" s="361"/>
      <c r="M73" s="366"/>
      <c r="N73" s="347"/>
      <c r="O73" s="46" t="s">
        <v>44</v>
      </c>
      <c r="P73" s="117">
        <f>الجدول145[[#Totals],[عدد الذكور في جلسات حماية PLW]]</f>
        <v>0</v>
      </c>
    </row>
    <row r="74" spans="2:16" ht="18.75" customHeight="1" x14ac:dyDescent="0.3">
      <c r="K74" s="358"/>
      <c r="L74" s="361"/>
      <c r="M74" s="366"/>
      <c r="N74" s="347"/>
      <c r="O74" s="46" t="s">
        <v>47</v>
      </c>
      <c r="P74" s="117">
        <f>الجدول145[[#Totals],[عدد الاناث في جلسات حماية PLW]]</f>
        <v>0</v>
      </c>
    </row>
    <row r="75" spans="2:16" ht="18.75" customHeight="1" x14ac:dyDescent="0.3">
      <c r="K75" s="358"/>
      <c r="L75" s="361"/>
      <c r="M75" s="366"/>
      <c r="N75" s="347"/>
      <c r="O75" s="46" t="s">
        <v>49</v>
      </c>
      <c r="P75" s="117">
        <f>الجدول145[[#Totals],[فئة عمرية كبرى في جلسات حماية PLW]]</f>
        <v>0</v>
      </c>
    </row>
    <row r="76" spans="2:16" ht="19.5" customHeight="1" thickBot="1" x14ac:dyDescent="0.35">
      <c r="K76" s="358"/>
      <c r="L76" s="361"/>
      <c r="M76" s="366"/>
      <c r="N76" s="348"/>
      <c r="O76" s="118" t="s">
        <v>51</v>
      </c>
      <c r="P76" s="119">
        <f>الجدول145[[#Totals],[فئة عمرية صغرى في جلسات حماية PLW]]</f>
        <v>0</v>
      </c>
    </row>
    <row r="77" spans="2:16" ht="18.75" customHeight="1" x14ac:dyDescent="0.3">
      <c r="K77" s="358"/>
      <c r="L77" s="361"/>
      <c r="M77" s="366"/>
      <c r="N77" s="346" t="s">
        <v>73</v>
      </c>
      <c r="O77" s="115" t="s">
        <v>42</v>
      </c>
      <c r="P77" s="116">
        <f>الجدول145[[#Totals],[تشاور PLW]]</f>
        <v>0</v>
      </c>
    </row>
    <row r="78" spans="2:16" ht="18.75" customHeight="1" x14ac:dyDescent="0.3">
      <c r="K78" s="358"/>
      <c r="L78" s="361"/>
      <c r="M78" s="366"/>
      <c r="N78" s="347"/>
      <c r="O78" s="46" t="s">
        <v>44</v>
      </c>
      <c r="P78" s="117">
        <f>الجدول145[[#Totals],[عدد الذكور في جلسات التشاور لبرنامج PLW]]</f>
        <v>0</v>
      </c>
    </row>
    <row r="79" spans="2:16" ht="18.75" customHeight="1" x14ac:dyDescent="0.3">
      <c r="K79" s="358"/>
      <c r="L79" s="361"/>
      <c r="M79" s="366"/>
      <c r="N79" s="347"/>
      <c r="O79" s="46" t="s">
        <v>47</v>
      </c>
      <c r="P79" s="117">
        <f>الجدول145[[#Totals],[عدد الاناث في جلسات التشاور PLW]]</f>
        <v>0</v>
      </c>
    </row>
    <row r="80" spans="2:16" ht="18.75" customHeight="1" x14ac:dyDescent="0.3">
      <c r="C80" s="153" t="s">
        <v>14</v>
      </c>
      <c r="K80" s="358"/>
      <c r="L80" s="361"/>
      <c r="M80" s="366"/>
      <c r="N80" s="347"/>
      <c r="O80" s="46" t="s">
        <v>49</v>
      </c>
      <c r="P80" s="117">
        <f>الجدول145[[#Totals],[فئة عمرية كبرى لجلسات التشاور PLW]]</f>
        <v>0</v>
      </c>
    </row>
    <row r="81" spans="11:16" ht="19.5" customHeight="1" thickBot="1" x14ac:dyDescent="0.35">
      <c r="K81" s="358"/>
      <c r="L81" s="361"/>
      <c r="M81" s="367"/>
      <c r="N81" s="348"/>
      <c r="O81" s="118" t="s">
        <v>51</v>
      </c>
      <c r="P81" s="119">
        <f>الجدول145[[#Totals],[فئة عمرية صغرى لجلسات التشاور PLW]]</f>
        <v>0</v>
      </c>
    </row>
    <row r="82" spans="11:16" ht="18.75" customHeight="1" x14ac:dyDescent="0.3">
      <c r="K82" s="358"/>
      <c r="L82" s="361"/>
      <c r="M82" s="369" t="s">
        <v>69</v>
      </c>
      <c r="N82" s="370" t="s">
        <v>79</v>
      </c>
      <c r="O82" s="139" t="s">
        <v>42</v>
      </c>
      <c r="P82" s="140">
        <f>الجدول145[[#Totals],[تعريف ببرنامج الـ OOSCH]]</f>
        <v>0</v>
      </c>
    </row>
    <row r="83" spans="11:16" ht="18.75" customHeight="1" x14ac:dyDescent="0.3">
      <c r="K83" s="358"/>
      <c r="L83" s="361"/>
      <c r="M83" s="369"/>
      <c r="N83" s="371"/>
      <c r="O83" s="141" t="s">
        <v>44</v>
      </c>
      <c r="P83" s="142">
        <f>الجدول145[[#Totals],[عدد الذكور في جلسات التعريف بـ OOSCH]]</f>
        <v>0</v>
      </c>
    </row>
    <row r="84" spans="11:16" ht="18.75" customHeight="1" x14ac:dyDescent="0.3">
      <c r="K84" s="358"/>
      <c r="L84" s="361"/>
      <c r="M84" s="369"/>
      <c r="N84" s="371"/>
      <c r="O84" s="141" t="s">
        <v>47</v>
      </c>
      <c r="P84" s="142">
        <f>الجدول145[[#Totals],[عدد الاناث في جلسات التعريف بـOOSCH]]</f>
        <v>0</v>
      </c>
    </row>
    <row r="85" spans="11:16" ht="18.75" customHeight="1" x14ac:dyDescent="0.3">
      <c r="K85" s="358"/>
      <c r="L85" s="361"/>
      <c r="M85" s="369"/>
      <c r="N85" s="371"/>
      <c r="O85" s="141" t="s">
        <v>49</v>
      </c>
      <c r="P85" s="142">
        <f>الجدول145[[#Totals],[الفئة العمرية الكبرى في جلسات التعريف بـOOSCH]]</f>
        <v>0</v>
      </c>
    </row>
    <row r="86" spans="11:16" ht="19.5" customHeight="1" thickBot="1" x14ac:dyDescent="0.35">
      <c r="K86" s="358"/>
      <c r="L86" s="361"/>
      <c r="M86" s="369"/>
      <c r="N86" s="372"/>
      <c r="O86" s="143" t="s">
        <v>51</v>
      </c>
      <c r="P86" s="144">
        <f>الجدول145[[#Totals],[الفئة العمرية الصغرى في جلسات التعريف بـOOSCH2]]</f>
        <v>0</v>
      </c>
    </row>
    <row r="87" spans="11:16" ht="18.75" customHeight="1" x14ac:dyDescent="0.3">
      <c r="K87" s="358"/>
      <c r="L87" s="361"/>
      <c r="M87" s="369"/>
      <c r="N87" s="373" t="s">
        <v>86</v>
      </c>
      <c r="O87" s="139" t="s">
        <v>42</v>
      </c>
      <c r="P87" s="140">
        <f>الجدول145[[#Totals],[أهمية التعليم ومخاطر التسرب]]</f>
        <v>0</v>
      </c>
    </row>
    <row r="88" spans="11:16" ht="18.75" customHeight="1" x14ac:dyDescent="0.3">
      <c r="K88" s="358"/>
      <c r="L88" s="361"/>
      <c r="M88" s="369"/>
      <c r="N88" s="374"/>
      <c r="O88" s="141" t="s">
        <v>44</v>
      </c>
      <c r="P88" s="142">
        <f>الجدول145[[#Totals],[عدد الذكور في جلسات أهمية التعليم]]</f>
        <v>0</v>
      </c>
    </row>
    <row r="89" spans="11:16" ht="18.75" customHeight="1" x14ac:dyDescent="0.3">
      <c r="K89" s="358"/>
      <c r="L89" s="361"/>
      <c r="M89" s="369"/>
      <c r="N89" s="374"/>
      <c r="O89" s="141" t="s">
        <v>47</v>
      </c>
      <c r="P89" s="142">
        <f>الجدول145[[#Totals],[عدد الاناث في جلسات أهمية التعلم]]</f>
        <v>0</v>
      </c>
    </row>
    <row r="90" spans="11:16" ht="18.75" customHeight="1" x14ac:dyDescent="0.3">
      <c r="K90" s="358"/>
      <c r="L90" s="361"/>
      <c r="M90" s="369"/>
      <c r="N90" s="374"/>
      <c r="O90" s="141" t="s">
        <v>49</v>
      </c>
      <c r="P90" s="142">
        <f>الجدول145[[#Totals],[فئة عمرية كبرى لجلسات أهمية التعلم]]</f>
        <v>0</v>
      </c>
    </row>
    <row r="91" spans="11:16" ht="19.5" customHeight="1" thickBot="1" x14ac:dyDescent="0.35">
      <c r="K91" s="358"/>
      <c r="L91" s="361"/>
      <c r="M91" s="369"/>
      <c r="N91" s="375"/>
      <c r="O91" s="143" t="s">
        <v>51</v>
      </c>
      <c r="P91" s="144">
        <f>الجدول145[[#Totals],[فئة عمرية صغرى لجلسات أهمية التعلم]]</f>
        <v>0</v>
      </c>
    </row>
    <row r="92" spans="11:16" ht="18.75" customHeight="1" x14ac:dyDescent="0.3">
      <c r="K92" s="358"/>
      <c r="L92" s="361"/>
      <c r="M92" s="369"/>
      <c r="N92" s="373" t="s">
        <v>59</v>
      </c>
      <c r="O92" s="139" t="s">
        <v>42</v>
      </c>
      <c r="P92" s="140">
        <f>الجدول145[[#Totals],[تعليمات آلية صرف البطاقة لـOOSCH]]</f>
        <v>0</v>
      </c>
    </row>
    <row r="93" spans="11:16" ht="18.75" customHeight="1" x14ac:dyDescent="0.3">
      <c r="K93" s="358"/>
      <c r="L93" s="361"/>
      <c r="M93" s="369"/>
      <c r="N93" s="374"/>
      <c r="O93" s="141" t="s">
        <v>44</v>
      </c>
      <c r="P93" s="142">
        <f>الجدول145[[#Totals],[عدد الذكور في جلسات تعليم آلية صرف البطاقة لـOOSCH]]</f>
        <v>0</v>
      </c>
    </row>
    <row r="94" spans="11:16" ht="18.75" customHeight="1" x14ac:dyDescent="0.3">
      <c r="K94" s="358"/>
      <c r="L94" s="361"/>
      <c r="M94" s="369"/>
      <c r="N94" s="374"/>
      <c r="O94" s="141" t="s">
        <v>47</v>
      </c>
      <c r="P94" s="142">
        <f>الجدول145[[#Totals],[عدد الاناث في جلسات تعليم آلية صرف البطاقة لـOOSCH]]</f>
        <v>0</v>
      </c>
    </row>
    <row r="95" spans="11:16" ht="18.75" customHeight="1" x14ac:dyDescent="0.3">
      <c r="K95" s="358"/>
      <c r="L95" s="361"/>
      <c r="M95" s="369"/>
      <c r="N95" s="374"/>
      <c r="O95" s="141" t="s">
        <v>49</v>
      </c>
      <c r="P95" s="142">
        <f>الجدول145[[#Totals],[فئة عمرية كبرى لجلسات تعليم صرف البطاقة لـOOSCH]]</f>
        <v>0</v>
      </c>
    </row>
    <row r="96" spans="11:16" ht="19.5" customHeight="1" thickBot="1" x14ac:dyDescent="0.35">
      <c r="K96" s="358"/>
      <c r="L96" s="361"/>
      <c r="M96" s="369"/>
      <c r="N96" s="375"/>
      <c r="O96" s="143" t="s">
        <v>51</v>
      </c>
      <c r="P96" s="144">
        <f>الجدول145[[#Totals],[فئة عمرية صغرى لجلسات تعليم صرف البطاقة لHـOOSC]]</f>
        <v>0</v>
      </c>
    </row>
    <row r="97" spans="11:16" ht="18.75" customHeight="1" x14ac:dyDescent="0.3">
      <c r="K97" s="358"/>
      <c r="L97" s="361"/>
      <c r="M97" s="369"/>
      <c r="N97" s="373" t="s">
        <v>65</v>
      </c>
      <c r="O97" s="139" t="s">
        <v>42</v>
      </c>
      <c r="P97" s="140">
        <f>الجدول145[[#Totals],[حماية OOSCH]]</f>
        <v>0</v>
      </c>
    </row>
    <row r="98" spans="11:16" ht="18.75" customHeight="1" x14ac:dyDescent="0.3">
      <c r="K98" s="358"/>
      <c r="L98" s="361"/>
      <c r="M98" s="369"/>
      <c r="N98" s="374"/>
      <c r="O98" s="141" t="s">
        <v>44</v>
      </c>
      <c r="P98" s="142">
        <f>الجدول145[[#Totals],[عدد الذكور في جلسات حماية OOSCH]]</f>
        <v>0</v>
      </c>
    </row>
    <row r="99" spans="11:16" ht="18.75" customHeight="1" x14ac:dyDescent="0.3">
      <c r="K99" s="358"/>
      <c r="L99" s="361"/>
      <c r="M99" s="369"/>
      <c r="N99" s="374"/>
      <c r="O99" s="141" t="s">
        <v>47</v>
      </c>
      <c r="P99" s="142">
        <f>الجدول145[[#Totals],[عدد الاناث في جلسات حماية OOSCH]]</f>
        <v>0</v>
      </c>
    </row>
    <row r="100" spans="11:16" ht="18.75" customHeight="1" x14ac:dyDescent="0.3">
      <c r="K100" s="358"/>
      <c r="L100" s="361"/>
      <c r="M100" s="369"/>
      <c r="N100" s="374"/>
      <c r="O100" s="141" t="s">
        <v>49</v>
      </c>
      <c r="P100" s="142">
        <f>الجدول145[[#Totals],[فئة عمرية كبرى في جلسات حماية OOSCH]]</f>
        <v>0</v>
      </c>
    </row>
    <row r="101" spans="11:16" ht="19.5" customHeight="1" thickBot="1" x14ac:dyDescent="0.35">
      <c r="K101" s="358"/>
      <c r="L101" s="361"/>
      <c r="M101" s="369"/>
      <c r="N101" s="375"/>
      <c r="O101" s="143" t="s">
        <v>51</v>
      </c>
      <c r="P101" s="144">
        <f>الجدول145[[#Totals],[فئة عمرية صغرى في جلسات حماية OOSCH]]</f>
        <v>0</v>
      </c>
    </row>
    <row r="102" spans="11:16" ht="18.75" customHeight="1" x14ac:dyDescent="0.3">
      <c r="K102" s="358"/>
      <c r="L102" s="361"/>
      <c r="M102" s="369"/>
      <c r="N102" s="373" t="s">
        <v>73</v>
      </c>
      <c r="O102" s="139" t="s">
        <v>42</v>
      </c>
      <c r="P102" s="140">
        <f>الجدول145[[#Totals],[تشاور OOSCH]]</f>
        <v>0</v>
      </c>
    </row>
    <row r="103" spans="11:16" ht="18.75" customHeight="1" x14ac:dyDescent="0.3">
      <c r="K103" s="358"/>
      <c r="L103" s="361"/>
      <c r="M103" s="369"/>
      <c r="N103" s="374"/>
      <c r="O103" s="141" t="s">
        <v>44</v>
      </c>
      <c r="P103" s="142">
        <f>الجدول145[[#Totals],[عدد الذكور في جلسات التشاور لبرنامج OOSCH]]</f>
        <v>0</v>
      </c>
    </row>
    <row r="104" spans="11:16" ht="18.75" customHeight="1" x14ac:dyDescent="0.3">
      <c r="K104" s="358"/>
      <c r="L104" s="361"/>
      <c r="M104" s="369"/>
      <c r="N104" s="374"/>
      <c r="O104" s="141" t="s">
        <v>47</v>
      </c>
      <c r="P104" s="142">
        <f>الجدول145[[#Totals],[عدد الاناث في جلسات التشاور OOSCH]]</f>
        <v>0</v>
      </c>
    </row>
    <row r="105" spans="11:16" ht="18.75" customHeight="1" x14ac:dyDescent="0.3">
      <c r="K105" s="358"/>
      <c r="L105" s="361"/>
      <c r="M105" s="369"/>
      <c r="N105" s="374"/>
      <c r="O105" s="141" t="s">
        <v>49</v>
      </c>
      <c r="P105" s="142">
        <f>الجدول145[[#Totals],[فئة عمرية كبرى لجلسات التشاور OOSCH]]</f>
        <v>0</v>
      </c>
    </row>
    <row r="106" spans="11:16" ht="19.5" customHeight="1" thickBot="1" x14ac:dyDescent="0.35">
      <c r="K106" s="359"/>
      <c r="L106" s="362"/>
      <c r="M106" s="369"/>
      <c r="N106" s="375"/>
      <c r="O106" s="143" t="s">
        <v>51</v>
      </c>
      <c r="P106" s="144">
        <f>الجدول145[[#Totals],[فئة عمرية صغرى لجلسات التشاور OOSCH]]</f>
        <v>0</v>
      </c>
    </row>
  </sheetData>
  <sheetProtection password="F128" sheet="1" objects="1" scenarios="1"/>
  <mergeCells count="53">
    <mergeCell ref="H8:I12"/>
    <mergeCell ref="B2:B41"/>
    <mergeCell ref="C26:C27"/>
    <mergeCell ref="C22:C25"/>
    <mergeCell ref="C20:C21"/>
    <mergeCell ref="C4:C19"/>
    <mergeCell ref="C28:C35"/>
    <mergeCell ref="C36:C37"/>
    <mergeCell ref="C38:C41"/>
    <mergeCell ref="C2:C3"/>
    <mergeCell ref="N92:N96"/>
    <mergeCell ref="N97:N101"/>
    <mergeCell ref="N102:N106"/>
    <mergeCell ref="D26:D27"/>
    <mergeCell ref="N7:N11"/>
    <mergeCell ref="N12:N16"/>
    <mergeCell ref="N17:N21"/>
    <mergeCell ref="N22:N26"/>
    <mergeCell ref="N27:N31"/>
    <mergeCell ref="E24:E25"/>
    <mergeCell ref="D22:D23"/>
    <mergeCell ref="D24:D25"/>
    <mergeCell ref="N32:N36"/>
    <mergeCell ref="N37:N41"/>
    <mergeCell ref="N42:N46"/>
    <mergeCell ref="N47:N51"/>
    <mergeCell ref="C42:C43"/>
    <mergeCell ref="B42:B68"/>
    <mergeCell ref="C44:C58"/>
    <mergeCell ref="N72:N76"/>
    <mergeCell ref="N77:N81"/>
    <mergeCell ref="K57:K106"/>
    <mergeCell ref="L57:L106"/>
    <mergeCell ref="L2:L51"/>
    <mergeCell ref="K2:K51"/>
    <mergeCell ref="M57:M81"/>
    <mergeCell ref="M2:M26"/>
    <mergeCell ref="M27:M51"/>
    <mergeCell ref="N2:N6"/>
    <mergeCell ref="M82:M106"/>
    <mergeCell ref="N82:N86"/>
    <mergeCell ref="N87:N91"/>
    <mergeCell ref="N67:N71"/>
    <mergeCell ref="C67:C68"/>
    <mergeCell ref="D65:D66"/>
    <mergeCell ref="D63:D64"/>
    <mergeCell ref="E63:E64"/>
    <mergeCell ref="C59:C60"/>
    <mergeCell ref="C61:C64"/>
    <mergeCell ref="C65:C66"/>
    <mergeCell ref="N57:N61"/>
    <mergeCell ref="N62:N66"/>
    <mergeCell ref="D61:D62"/>
  </mergeCells>
  <hyperlinks>
    <hyperlink ref="C4:C17" location="'Help Disk_ATHAR'!A1" display="Help Disk "/>
    <hyperlink ref="K2:K12" location="Awareness_CB_ATHAR!A1" display="Awareness/CB"/>
    <hyperlink ref="I8:I12" location="Summary!A1" display="Summary"/>
    <hyperlink ref="K57:K106" location="Awareness_CB_NABEDH!A1" display="Awareness/CB"/>
    <hyperlink ref="C2:C3" location="'MUAC_ ATHAR'!A1" display="MUAC"/>
    <hyperlink ref="C22:C25" location="Monitoring_ATHAR!A1" display="Monitoring "/>
    <hyperlink ref="C28:C35" location="'Reception ATHER'!A1" display="Protection"/>
    <hyperlink ref="C36:C37" location="'Reception ATHER'!A1" display="Reception"/>
    <hyperlink ref="C38:C41" location="'Help Disk_ATHAR'!A1" display="Training"/>
    <hyperlink ref="C20:C21" location="Disterbution!A1" display="Distribution Vouchers"/>
    <hyperlink ref="C26:C27" location="Enrollment!A1" display="SCOPE"/>
    <hyperlink ref="C42:C43" location="MUAC_NABEDH!A1" display="MUAC"/>
    <hyperlink ref="C44:C58" location="'Help Disk_NABEDH'!A1" display="Help Disk "/>
    <hyperlink ref="C59:C60" location="Disterbution!A1" display="Distribution Vouchers"/>
    <hyperlink ref="C61:C64" location="Monitoring_NABEDH!A1" display="Monitoring "/>
    <hyperlink ref="C65:C66" location="Enrollment!A1" display="SCOPE"/>
    <hyperlink ref="C67:C68" location="'Reception NABEDH'!A1" display="Reception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85" fitToHeight="2" orientation="portrait" r:id="rId1"/>
  <rowBreaks count="1" manualBreakCount="1">
    <brk id="35" max="6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7"/>
  <sheetViews>
    <sheetView showGridLines="0" topLeftCell="A19" zoomScale="60" zoomScaleNormal="60" workbookViewId="0">
      <selection activeCell="C28" sqref="C28"/>
    </sheetView>
  </sheetViews>
  <sheetFormatPr defaultColWidth="8.85546875" defaultRowHeight="28.9" customHeight="1" x14ac:dyDescent="0.25"/>
  <cols>
    <col min="1" max="1" width="15.140625" style="1" bestFit="1" customWidth="1"/>
    <col min="2" max="2" width="10.7109375" style="1" customWidth="1"/>
    <col min="3" max="3" width="38.28515625" style="1" customWidth="1"/>
    <col min="4" max="4" width="10.28515625" style="1" bestFit="1" customWidth="1"/>
    <col min="5" max="5" width="10.7109375" style="1" bestFit="1" customWidth="1"/>
    <col min="6" max="6" width="26" style="1" bestFit="1" customWidth="1"/>
    <col min="7" max="7" width="24" style="1" bestFit="1" customWidth="1"/>
    <col min="8" max="8" width="8.85546875" style="1"/>
    <col min="9" max="9" width="15.140625" style="1" bestFit="1" customWidth="1"/>
    <col min="10" max="10" width="10.7109375" style="1" customWidth="1"/>
    <col min="11" max="11" width="35.7109375" style="1" customWidth="1"/>
    <col min="12" max="12" width="10.28515625" style="1" bestFit="1" customWidth="1"/>
    <col min="13" max="13" width="10.7109375" style="1" bestFit="1" customWidth="1"/>
    <col min="14" max="14" width="25" style="1" bestFit="1" customWidth="1"/>
    <col min="15" max="15" width="23" style="1" bestFit="1" customWidth="1"/>
    <col min="16" max="19" width="9" customWidth="1"/>
    <col min="20" max="16384" width="8.85546875" style="1"/>
  </cols>
  <sheetData>
    <row r="1" spans="1:15" ht="28.9" customHeight="1" x14ac:dyDescent="0.25">
      <c r="A1" s="399" t="s">
        <v>96</v>
      </c>
      <c r="B1" s="399"/>
      <c r="C1" s="399"/>
      <c r="D1" s="399"/>
      <c r="E1" s="399"/>
      <c r="F1" s="399"/>
      <c r="G1" s="399"/>
      <c r="I1" s="399" t="s">
        <v>97</v>
      </c>
      <c r="J1" s="399"/>
      <c r="K1" s="399"/>
      <c r="L1" s="399"/>
      <c r="M1" s="399"/>
      <c r="N1" s="399"/>
      <c r="O1" s="399"/>
    </row>
    <row r="2" spans="1:15" ht="28.9" customHeight="1" x14ac:dyDescent="0.25">
      <c r="A2" s="84" t="s">
        <v>98</v>
      </c>
      <c r="B2" s="84" t="s">
        <v>4</v>
      </c>
      <c r="C2" s="85" t="s">
        <v>5</v>
      </c>
      <c r="D2" s="85" t="s">
        <v>6</v>
      </c>
      <c r="E2" s="85" t="s">
        <v>7</v>
      </c>
      <c r="F2" s="86" t="s">
        <v>99</v>
      </c>
      <c r="G2" s="87" t="s">
        <v>100</v>
      </c>
      <c r="I2" s="84" t="s">
        <v>98</v>
      </c>
      <c r="J2" s="84" t="s">
        <v>4</v>
      </c>
      <c r="K2" s="88" t="s">
        <v>5</v>
      </c>
      <c r="L2" s="88" t="s">
        <v>6</v>
      </c>
      <c r="M2" s="88" t="s">
        <v>7</v>
      </c>
      <c r="N2" s="88" t="s">
        <v>101</v>
      </c>
      <c r="O2" s="88" t="s">
        <v>100</v>
      </c>
    </row>
    <row r="3" spans="1:15" ht="28.9" customHeight="1" x14ac:dyDescent="0.25">
      <c r="A3" s="248">
        <v>45261</v>
      </c>
      <c r="B3" s="263" t="s">
        <v>106</v>
      </c>
      <c r="C3" s="159"/>
      <c r="D3" s="159"/>
      <c r="E3" s="250">
        <f>Table3[[#This Row],[السويداء]]+Table3[[#This Row],[صلخد]]</f>
        <v>0</v>
      </c>
      <c r="F3" s="252">
        <f>Table3[[#This Row],[السويداء]]+D35</f>
        <v>0</v>
      </c>
      <c r="G3" s="252">
        <f>D36+Table3[[#This Row],[صلخد]]</f>
        <v>0</v>
      </c>
      <c r="H3" s="524"/>
      <c r="I3" s="248">
        <v>45261</v>
      </c>
      <c r="J3" s="263" t="s">
        <v>106</v>
      </c>
      <c r="K3" s="159"/>
      <c r="L3" s="159"/>
      <c r="M3" s="250">
        <f>Table4[[#This Row],[السويداء]]+Table4[[#This Row],[صلخد]]</f>
        <v>0</v>
      </c>
      <c r="N3" s="89">
        <f>Table4[[#This Row],[السويداء]]+L35</f>
        <v>0</v>
      </c>
      <c r="O3" s="89">
        <f>Table4[[#This Row],[صلخد]]+L36</f>
        <v>0</v>
      </c>
    </row>
    <row r="4" spans="1:15" ht="28.9" customHeight="1" x14ac:dyDescent="0.25">
      <c r="A4" s="248">
        <v>45262</v>
      </c>
      <c r="B4" s="263" t="s">
        <v>102</v>
      </c>
      <c r="C4" s="159"/>
      <c r="D4" s="159"/>
      <c r="E4" s="250">
        <f>Table3[[#This Row],[السويداء]]+Table3[[#This Row],[صلخد]]</f>
        <v>0</v>
      </c>
      <c r="F4" s="252">
        <f>F3+Table3[[#This Row],[السويداء]]</f>
        <v>0</v>
      </c>
      <c r="G4" s="252">
        <f>G3+Table3[[#This Row],[صلخد]]</f>
        <v>0</v>
      </c>
      <c r="H4" s="524"/>
      <c r="I4" s="248">
        <v>45262</v>
      </c>
      <c r="J4" s="263" t="s">
        <v>102</v>
      </c>
      <c r="K4" s="159"/>
      <c r="L4" s="159"/>
      <c r="M4" s="252">
        <f>Table4[[#This Row],[السويداء]]+Table4[[#This Row],[صلخد]]</f>
        <v>0</v>
      </c>
      <c r="N4" s="89">
        <f>N3+Table4[[#This Row],[السويداء]]</f>
        <v>0</v>
      </c>
      <c r="O4" s="22">
        <f>Table4[[#This Row],[صلخد]]+O3</f>
        <v>0</v>
      </c>
    </row>
    <row r="5" spans="1:15" ht="28.9" customHeight="1" x14ac:dyDescent="0.25">
      <c r="A5" s="248">
        <v>45263</v>
      </c>
      <c r="B5" s="248" t="s">
        <v>103</v>
      </c>
      <c r="C5" s="249"/>
      <c r="D5" s="249"/>
      <c r="E5" s="250">
        <f>Table3[[#This Row],[السويداء]]+Table3[[#This Row],[صلخد]]</f>
        <v>0</v>
      </c>
      <c r="F5" s="252">
        <f>Table3[[#This Row],[السويداء]]+F4</f>
        <v>0</v>
      </c>
      <c r="G5" s="252">
        <f>G4+Table3[[#This Row],[صلخد]]</f>
        <v>0</v>
      </c>
      <c r="H5" s="524"/>
      <c r="I5" s="248">
        <v>45263</v>
      </c>
      <c r="J5" s="248" t="s">
        <v>103</v>
      </c>
      <c r="K5" s="251"/>
      <c r="L5" s="251"/>
      <c r="M5" s="252">
        <f>Table4[[#This Row],[السويداء]]+Table4[[#This Row],[صلخد]]</f>
        <v>0</v>
      </c>
      <c r="N5" s="89">
        <f>N4+Table4[[#This Row],[السويداء]]</f>
        <v>0</v>
      </c>
      <c r="O5" s="89">
        <f>Table4[[#This Row],[صلخد]]+O4</f>
        <v>0</v>
      </c>
    </row>
    <row r="6" spans="1:15" ht="28.9" customHeight="1" x14ac:dyDescent="0.25">
      <c r="A6" s="248">
        <v>45264</v>
      </c>
      <c r="B6" s="248" t="s">
        <v>104</v>
      </c>
      <c r="C6" s="249"/>
      <c r="D6" s="249"/>
      <c r="E6" s="250">
        <f>Table3[[#This Row],[السويداء]]+Table3[[#This Row],[صلخد]]</f>
        <v>0</v>
      </c>
      <c r="F6" s="252">
        <f>F5+Table3[[#This Row],[السويداء]]</f>
        <v>0</v>
      </c>
      <c r="G6" s="252">
        <f>G5+Table3[[#This Row],[صلخد]]</f>
        <v>0</v>
      </c>
      <c r="H6" s="524"/>
      <c r="I6" s="248">
        <v>45264</v>
      </c>
      <c r="J6" s="248" t="s">
        <v>104</v>
      </c>
      <c r="K6" s="249"/>
      <c r="L6" s="249"/>
      <c r="M6" s="252">
        <f>Table4[[#This Row],[السويداء]]+Table4[[#This Row],[صلخد]]</f>
        <v>0</v>
      </c>
      <c r="N6" s="89">
        <f>N5+Table4[[#This Row],[السويداء]]</f>
        <v>0</v>
      </c>
      <c r="O6" s="22">
        <f>Table4[[#This Row],[صلخد]]+O5</f>
        <v>0</v>
      </c>
    </row>
    <row r="7" spans="1:15" ht="28.9" customHeight="1" x14ac:dyDescent="0.25">
      <c r="A7" s="248">
        <v>45265</v>
      </c>
      <c r="B7" s="248" t="s">
        <v>249</v>
      </c>
      <c r="C7" s="249"/>
      <c r="D7" s="249"/>
      <c r="E7" s="250">
        <f>Table3[[#This Row],[السويداء]]+Table3[[#This Row],[صلخد]]</f>
        <v>0</v>
      </c>
      <c r="F7" s="252">
        <f>Table3[[#This Row],[السويداء]]+F6</f>
        <v>0</v>
      </c>
      <c r="G7" s="252">
        <f>G6+Table3[[#This Row],[صلخد]]</f>
        <v>0</v>
      </c>
      <c r="H7" s="524"/>
      <c r="I7" s="248">
        <v>45265</v>
      </c>
      <c r="J7" s="248" t="s">
        <v>249</v>
      </c>
      <c r="K7" s="249"/>
      <c r="L7" s="249"/>
      <c r="M7" s="252">
        <f>Table4[[#This Row],[السويداء]]+Table4[[#This Row],[صلخد]]</f>
        <v>0</v>
      </c>
      <c r="N7" s="89">
        <f>N6+Table4[[#This Row],[السويداء]]</f>
        <v>0</v>
      </c>
      <c r="O7" s="89">
        <f>Table4[[#This Row],[صلخد]]+O6</f>
        <v>0</v>
      </c>
    </row>
    <row r="8" spans="1:15" ht="28.9" customHeight="1" x14ac:dyDescent="0.25">
      <c r="A8" s="248">
        <v>45266</v>
      </c>
      <c r="B8" s="248" t="s">
        <v>250</v>
      </c>
      <c r="C8" s="249"/>
      <c r="D8" s="249"/>
      <c r="E8" s="250">
        <f>Table3[[#This Row],[السويداء]]+Table3[[#This Row],[صلخد]]</f>
        <v>0</v>
      </c>
      <c r="F8" s="252">
        <f>F7+Table3[[#This Row],[السويداء]]</f>
        <v>0</v>
      </c>
      <c r="G8" s="252">
        <f>G7+Table3[[#This Row],[صلخد]]</f>
        <v>0</v>
      </c>
      <c r="H8" s="524"/>
      <c r="I8" s="248">
        <v>45266</v>
      </c>
      <c r="J8" s="248" t="s">
        <v>250</v>
      </c>
      <c r="K8" s="251"/>
      <c r="L8" s="251"/>
      <c r="M8" s="252">
        <f>Table4[[#This Row],[السويداء]]+Table4[[#This Row],[صلخد]]</f>
        <v>0</v>
      </c>
      <c r="N8" s="89">
        <f>N7+Table4[[#This Row],[السويداء]]</f>
        <v>0</v>
      </c>
      <c r="O8" s="22">
        <f>Table4[[#This Row],[صلخد]]+O7</f>
        <v>0</v>
      </c>
    </row>
    <row r="9" spans="1:15" ht="28.9" customHeight="1" x14ac:dyDescent="0.25">
      <c r="A9" s="248">
        <v>45267</v>
      </c>
      <c r="B9" s="248" t="s">
        <v>105</v>
      </c>
      <c r="C9" s="249"/>
      <c r="D9" s="249"/>
      <c r="E9" s="250">
        <f>Table3[[#This Row],[السويداء]]+Table3[[#This Row],[صلخد]]</f>
        <v>0</v>
      </c>
      <c r="F9" s="252">
        <f>Table3[[#This Row],[السويداء]]+F8</f>
        <v>0</v>
      </c>
      <c r="G9" s="252">
        <f>G8+Table3[[#This Row],[صلخد]]</f>
        <v>0</v>
      </c>
      <c r="H9" s="524"/>
      <c r="I9" s="248">
        <v>45267</v>
      </c>
      <c r="J9" s="248" t="s">
        <v>105</v>
      </c>
      <c r="K9" s="249"/>
      <c r="L9" s="249"/>
      <c r="M9" s="250">
        <f>Table4[[#This Row],[السويداء]]+Table4[[#This Row],[صلخد]]</f>
        <v>0</v>
      </c>
      <c r="N9" s="89">
        <f>N8+Table4[[#This Row],[السويداء]]</f>
        <v>0</v>
      </c>
      <c r="O9" s="89">
        <f>Table4[[#This Row],[صلخد]]+O8</f>
        <v>0</v>
      </c>
    </row>
    <row r="10" spans="1:15" ht="28.9" customHeight="1" x14ac:dyDescent="0.25">
      <c r="A10" s="248">
        <v>45268</v>
      </c>
      <c r="B10" s="263" t="s">
        <v>106</v>
      </c>
      <c r="C10" s="159"/>
      <c r="D10" s="159"/>
      <c r="E10" s="250">
        <f>Table3[[#This Row],[السويداء]]+Table3[[#This Row],[صلخد]]</f>
        <v>0</v>
      </c>
      <c r="F10" s="252">
        <f>F9+Table3[[#This Row],[السويداء]]</f>
        <v>0</v>
      </c>
      <c r="G10" s="252">
        <f>G9+Table3[[#This Row],[صلخد]]</f>
        <v>0</v>
      </c>
      <c r="H10" s="524"/>
      <c r="I10" s="248">
        <v>45268</v>
      </c>
      <c r="J10" s="263" t="s">
        <v>106</v>
      </c>
      <c r="K10" s="159"/>
      <c r="L10" s="159"/>
      <c r="M10" s="250">
        <f>Table4[[#This Row],[السويداء]]+Table4[[#This Row],[صلخد]]</f>
        <v>0</v>
      </c>
      <c r="N10" s="89">
        <f>N9+Table4[[#This Row],[السويداء]]</f>
        <v>0</v>
      </c>
      <c r="O10" s="22">
        <f>Table4[[#This Row],[صلخد]]+O9</f>
        <v>0</v>
      </c>
    </row>
    <row r="11" spans="1:15" ht="28.9" customHeight="1" x14ac:dyDescent="0.25">
      <c r="A11" s="248">
        <v>45269</v>
      </c>
      <c r="B11" s="263" t="s">
        <v>102</v>
      </c>
      <c r="C11" s="159"/>
      <c r="D11" s="159"/>
      <c r="E11" s="250">
        <f>Table3[[#This Row],[السويداء]]+Table3[[#This Row],[صلخد]]</f>
        <v>0</v>
      </c>
      <c r="F11" s="252">
        <f>Table3[[#This Row],[السويداء]]+F10</f>
        <v>0</v>
      </c>
      <c r="G11" s="252">
        <f>G10+Table3[[#This Row],[صلخد]]</f>
        <v>0</v>
      </c>
      <c r="H11" s="524"/>
      <c r="I11" s="248">
        <v>45269</v>
      </c>
      <c r="J11" s="263" t="s">
        <v>102</v>
      </c>
      <c r="K11" s="159"/>
      <c r="L11" s="159"/>
      <c r="M11" s="252">
        <f>Table4[[#This Row],[السويداء]]+Table4[[#This Row],[صلخد]]</f>
        <v>0</v>
      </c>
      <c r="N11" s="89">
        <f>N10+Table4[[#This Row],[السويداء]]</f>
        <v>0</v>
      </c>
      <c r="O11" s="89">
        <f>Table4[[#This Row],[صلخد]]+O10</f>
        <v>0</v>
      </c>
    </row>
    <row r="12" spans="1:15" ht="28.9" customHeight="1" x14ac:dyDescent="0.25">
      <c r="A12" s="248">
        <v>45270</v>
      </c>
      <c r="B12" s="248" t="s">
        <v>103</v>
      </c>
      <c r="C12" s="249"/>
      <c r="D12" s="249"/>
      <c r="E12" s="250">
        <f>Table3[[#This Row],[السويداء]]+Table3[[#This Row],[صلخد]]</f>
        <v>0</v>
      </c>
      <c r="F12" s="252">
        <f>F11+Table3[[#This Row],[السويداء]]</f>
        <v>0</v>
      </c>
      <c r="G12" s="252">
        <f>G11+Table3[[#This Row],[صلخد]]</f>
        <v>0</v>
      </c>
      <c r="H12" s="524"/>
      <c r="I12" s="248">
        <v>45270</v>
      </c>
      <c r="J12" s="248" t="s">
        <v>103</v>
      </c>
      <c r="K12" s="251"/>
      <c r="L12" s="251"/>
      <c r="M12" s="252">
        <f>Table4[[#This Row],[السويداء]]+Table4[[#This Row],[صلخد]]</f>
        <v>0</v>
      </c>
      <c r="N12" s="89">
        <f>N11+Table4[[#This Row],[السويداء]]</f>
        <v>0</v>
      </c>
      <c r="O12" s="22">
        <f>Table4[[#This Row],[صلخد]]+O11</f>
        <v>0</v>
      </c>
    </row>
    <row r="13" spans="1:15" ht="28.9" customHeight="1" x14ac:dyDescent="0.25">
      <c r="A13" s="248">
        <v>45271</v>
      </c>
      <c r="B13" s="248" t="s">
        <v>104</v>
      </c>
      <c r="C13" s="249"/>
      <c r="D13" s="249"/>
      <c r="E13" s="250">
        <f>Table3[[#This Row],[السويداء]]+Table3[[#This Row],[صلخد]]</f>
        <v>0</v>
      </c>
      <c r="F13" s="252">
        <f>Table3[[#This Row],[السويداء]]+F12</f>
        <v>0</v>
      </c>
      <c r="G13" s="252">
        <f>G12+Table3[[#This Row],[صلخد]]</f>
        <v>0</v>
      </c>
      <c r="H13" s="524"/>
      <c r="I13" s="248">
        <v>45271</v>
      </c>
      <c r="J13" s="248" t="s">
        <v>104</v>
      </c>
      <c r="K13" s="249"/>
      <c r="L13" s="249"/>
      <c r="M13" s="252">
        <f>Table4[[#This Row],[السويداء]]+Table4[[#This Row],[صلخد]]</f>
        <v>0</v>
      </c>
      <c r="N13" s="89">
        <f>N12+Table4[[#This Row],[السويداء]]</f>
        <v>0</v>
      </c>
      <c r="O13" s="89">
        <f>Table4[[#This Row],[صلخد]]+O12</f>
        <v>0</v>
      </c>
    </row>
    <row r="14" spans="1:15" ht="28.9" customHeight="1" x14ac:dyDescent="0.25">
      <c r="A14" s="248">
        <v>45272</v>
      </c>
      <c r="B14" s="248" t="s">
        <v>249</v>
      </c>
      <c r="C14" s="249"/>
      <c r="D14" s="249"/>
      <c r="E14" s="250">
        <f>Table3[[#This Row],[السويداء]]+Table3[[#This Row],[صلخد]]</f>
        <v>0</v>
      </c>
      <c r="F14" s="252">
        <f>F13+Table3[[#This Row],[السويداء]]</f>
        <v>0</v>
      </c>
      <c r="G14" s="252">
        <f>G13+Table3[[#This Row],[صلخد]]</f>
        <v>0</v>
      </c>
      <c r="H14" s="524"/>
      <c r="I14" s="248">
        <v>45272</v>
      </c>
      <c r="J14" s="248" t="s">
        <v>249</v>
      </c>
      <c r="K14" s="249"/>
      <c r="L14" s="249"/>
      <c r="M14" s="252">
        <f>Table4[[#This Row],[السويداء]]+Table4[[#This Row],[صلخد]]</f>
        <v>0</v>
      </c>
      <c r="N14" s="89">
        <f>N13+Table4[[#This Row],[السويداء]]</f>
        <v>0</v>
      </c>
      <c r="O14" s="22">
        <f>Table4[[#This Row],[صلخد]]+O13</f>
        <v>0</v>
      </c>
    </row>
    <row r="15" spans="1:15" ht="28.9" customHeight="1" x14ac:dyDescent="0.25">
      <c r="A15" s="248">
        <v>45273</v>
      </c>
      <c r="B15" s="248" t="s">
        <v>250</v>
      </c>
      <c r="C15" s="249"/>
      <c r="D15" s="249"/>
      <c r="E15" s="250">
        <f>Table3[[#This Row],[السويداء]]+Table3[[#This Row],[صلخد]]</f>
        <v>0</v>
      </c>
      <c r="F15" s="252">
        <f>Table3[[#This Row],[السويداء]]+F14</f>
        <v>0</v>
      </c>
      <c r="G15" s="252">
        <f>G14+Table3[[#This Row],[صلخد]]</f>
        <v>0</v>
      </c>
      <c r="H15" s="524"/>
      <c r="I15" s="248">
        <v>45273</v>
      </c>
      <c r="J15" s="248" t="s">
        <v>250</v>
      </c>
      <c r="K15" s="251"/>
      <c r="L15" s="251"/>
      <c r="M15" s="252">
        <f>Table4[[#This Row],[السويداء]]+Table4[[#This Row],[صلخد]]</f>
        <v>0</v>
      </c>
      <c r="N15" s="89">
        <f>N14+Table4[[#This Row],[السويداء]]</f>
        <v>0</v>
      </c>
      <c r="O15" s="89">
        <f>Table4[[#This Row],[صلخد]]+O14</f>
        <v>0</v>
      </c>
    </row>
    <row r="16" spans="1:15" ht="28.9" customHeight="1" x14ac:dyDescent="0.25">
      <c r="A16" s="248">
        <v>45274</v>
      </c>
      <c r="B16" s="248" t="s">
        <v>105</v>
      </c>
      <c r="C16" s="249"/>
      <c r="D16" s="249"/>
      <c r="E16" s="250">
        <f>Table3[[#This Row],[السويداء]]+Table3[[#This Row],[صلخد]]</f>
        <v>0</v>
      </c>
      <c r="F16" s="252">
        <f>F15+Table3[[#This Row],[السويداء]]</f>
        <v>0</v>
      </c>
      <c r="G16" s="252">
        <f>G15+Table3[[#This Row],[صلخد]]</f>
        <v>0</v>
      </c>
      <c r="H16" s="524"/>
      <c r="I16" s="248">
        <v>45274</v>
      </c>
      <c r="J16" s="248" t="s">
        <v>105</v>
      </c>
      <c r="K16" s="249"/>
      <c r="L16" s="249"/>
      <c r="M16" s="250">
        <f>Table4[[#This Row],[السويداء]]+Table4[[#This Row],[صلخد]]</f>
        <v>0</v>
      </c>
      <c r="N16" s="89">
        <f>N15+Table4[[#This Row],[السويداء]]</f>
        <v>0</v>
      </c>
      <c r="O16" s="22">
        <f>Table4[[#This Row],[صلخد]]+O15</f>
        <v>0</v>
      </c>
    </row>
    <row r="17" spans="1:15" ht="28.9" customHeight="1" x14ac:dyDescent="0.25">
      <c r="A17" s="248">
        <v>45275</v>
      </c>
      <c r="B17" s="263" t="s">
        <v>106</v>
      </c>
      <c r="C17" s="159"/>
      <c r="D17" s="159"/>
      <c r="E17" s="250">
        <f>Table3[[#This Row],[السويداء]]+Table3[[#This Row],[صلخد]]</f>
        <v>0</v>
      </c>
      <c r="F17" s="252">
        <f>Table3[[#This Row],[السويداء]]+F16</f>
        <v>0</v>
      </c>
      <c r="G17" s="252">
        <f>G16+Table3[[#This Row],[صلخد]]</f>
        <v>0</v>
      </c>
      <c r="H17" s="524"/>
      <c r="I17" s="248">
        <v>45275</v>
      </c>
      <c r="J17" s="263" t="s">
        <v>106</v>
      </c>
      <c r="K17" s="159"/>
      <c r="L17" s="159"/>
      <c r="M17" s="250">
        <f>Table4[[#This Row],[السويداء]]+Table4[[#This Row],[صلخد]]</f>
        <v>0</v>
      </c>
      <c r="N17" s="89">
        <f>N16+Table4[[#This Row],[السويداء]]</f>
        <v>0</v>
      </c>
      <c r="O17" s="89">
        <f>Table4[[#This Row],[صلخد]]+O16</f>
        <v>0</v>
      </c>
    </row>
    <row r="18" spans="1:15" ht="28.9" customHeight="1" x14ac:dyDescent="0.25">
      <c r="A18" s="248">
        <v>45276</v>
      </c>
      <c r="B18" s="263" t="s">
        <v>102</v>
      </c>
      <c r="C18" s="159"/>
      <c r="D18" s="159"/>
      <c r="E18" s="250">
        <f>Table3[[#This Row],[السويداء]]+Table3[[#This Row],[صلخد]]</f>
        <v>0</v>
      </c>
      <c r="F18" s="252">
        <f>F17+Table3[[#This Row],[السويداء]]</f>
        <v>0</v>
      </c>
      <c r="G18" s="252">
        <f>G17+Table3[[#This Row],[صلخد]]</f>
        <v>0</v>
      </c>
      <c r="H18" s="524"/>
      <c r="I18" s="248">
        <v>45276</v>
      </c>
      <c r="J18" s="263" t="s">
        <v>102</v>
      </c>
      <c r="K18" s="159"/>
      <c r="L18" s="159"/>
      <c r="M18" s="252">
        <f>Table4[[#This Row],[السويداء]]+Table4[[#This Row],[صلخد]]</f>
        <v>0</v>
      </c>
      <c r="N18" s="89">
        <f>N17+Table4[[#This Row],[السويداء]]</f>
        <v>0</v>
      </c>
      <c r="O18" s="22">
        <f>Table4[[#This Row],[صلخد]]+O17</f>
        <v>0</v>
      </c>
    </row>
    <row r="19" spans="1:15" ht="28.9" customHeight="1" x14ac:dyDescent="0.25">
      <c r="A19" s="248">
        <v>45277</v>
      </c>
      <c r="B19" s="248" t="s">
        <v>103</v>
      </c>
      <c r="C19" s="249"/>
      <c r="D19" s="249"/>
      <c r="E19" s="250">
        <f>Table3[[#This Row],[السويداء]]+Table3[[#This Row],[صلخد]]</f>
        <v>0</v>
      </c>
      <c r="F19" s="252">
        <f>Table3[[#This Row],[السويداء]]+F18</f>
        <v>0</v>
      </c>
      <c r="G19" s="252">
        <f>G18+Table3[[#This Row],[صلخد]]</f>
        <v>0</v>
      </c>
      <c r="H19" s="524"/>
      <c r="I19" s="248">
        <v>45277</v>
      </c>
      <c r="J19" s="248" t="s">
        <v>103</v>
      </c>
      <c r="K19" s="251"/>
      <c r="L19" s="251"/>
      <c r="M19" s="252">
        <f>Table4[[#This Row],[السويداء]]+Table4[[#This Row],[صلخد]]</f>
        <v>0</v>
      </c>
      <c r="N19" s="89">
        <f>N18+Table4[[#This Row],[السويداء]]</f>
        <v>0</v>
      </c>
      <c r="O19" s="89">
        <f>Table4[[#This Row],[صلخد]]+O18</f>
        <v>0</v>
      </c>
    </row>
    <row r="20" spans="1:15" ht="28.9" customHeight="1" x14ac:dyDescent="0.25">
      <c r="A20" s="248">
        <v>45278</v>
      </c>
      <c r="B20" s="248" t="s">
        <v>104</v>
      </c>
      <c r="C20" s="249"/>
      <c r="D20" s="249"/>
      <c r="E20" s="250">
        <f>Table3[[#This Row],[السويداء]]+Table3[[#This Row],[صلخد]]</f>
        <v>0</v>
      </c>
      <c r="F20" s="252">
        <f>F19+Table3[[#This Row],[السويداء]]</f>
        <v>0</v>
      </c>
      <c r="G20" s="252">
        <f>G19+Table3[[#This Row],[صلخد]]</f>
        <v>0</v>
      </c>
      <c r="H20" s="524"/>
      <c r="I20" s="248">
        <v>45278</v>
      </c>
      <c r="J20" s="248" t="s">
        <v>104</v>
      </c>
      <c r="K20" s="249"/>
      <c r="L20" s="249"/>
      <c r="M20" s="252">
        <f>Table4[[#This Row],[السويداء]]+Table4[[#This Row],[صلخد]]</f>
        <v>0</v>
      </c>
      <c r="N20" s="89">
        <f>N19+Table4[[#This Row],[السويداء]]</f>
        <v>0</v>
      </c>
      <c r="O20" s="22">
        <f>Table4[[#This Row],[صلخد]]+O19</f>
        <v>0</v>
      </c>
    </row>
    <row r="21" spans="1:15" ht="28.9" customHeight="1" x14ac:dyDescent="0.25">
      <c r="A21" s="248">
        <v>45279</v>
      </c>
      <c r="B21" s="248" t="s">
        <v>249</v>
      </c>
      <c r="C21" s="249"/>
      <c r="D21" s="249"/>
      <c r="E21" s="250">
        <f>Table3[[#This Row],[السويداء]]+Table3[[#This Row],[صلخد]]</f>
        <v>0</v>
      </c>
      <c r="F21" s="252">
        <f>Table3[[#This Row],[السويداء]]+F20</f>
        <v>0</v>
      </c>
      <c r="G21" s="252">
        <f>G20+Table3[[#This Row],[صلخد]]</f>
        <v>0</v>
      </c>
      <c r="H21" s="524"/>
      <c r="I21" s="248">
        <v>45279</v>
      </c>
      <c r="J21" s="248" t="s">
        <v>249</v>
      </c>
      <c r="K21" s="249"/>
      <c r="L21" s="249"/>
      <c r="M21" s="252">
        <f>Table4[[#This Row],[السويداء]]+Table4[[#This Row],[صلخد]]</f>
        <v>0</v>
      </c>
      <c r="N21" s="89">
        <f>N20+Table4[[#This Row],[السويداء]]</f>
        <v>0</v>
      </c>
      <c r="O21" s="89">
        <f>Table4[[#This Row],[صلخد]]+O20</f>
        <v>0</v>
      </c>
    </row>
    <row r="22" spans="1:15" ht="28.9" customHeight="1" x14ac:dyDescent="0.25">
      <c r="A22" s="248">
        <v>45280</v>
      </c>
      <c r="B22" s="248" t="s">
        <v>250</v>
      </c>
      <c r="C22" s="249"/>
      <c r="D22" s="249"/>
      <c r="E22" s="250">
        <f>Table3[[#This Row],[السويداء]]+Table3[[#This Row],[صلخد]]</f>
        <v>0</v>
      </c>
      <c r="F22" s="252">
        <f>F21+Table3[[#This Row],[السويداء]]</f>
        <v>0</v>
      </c>
      <c r="G22" s="252">
        <f>G21+Table3[[#This Row],[صلخد]]</f>
        <v>0</v>
      </c>
      <c r="H22" s="524"/>
      <c r="I22" s="248">
        <v>45280</v>
      </c>
      <c r="J22" s="248" t="s">
        <v>250</v>
      </c>
      <c r="K22" s="251"/>
      <c r="L22" s="251"/>
      <c r="M22" s="252">
        <f>Table4[[#This Row],[السويداء]]+Table4[[#This Row],[صلخد]]</f>
        <v>0</v>
      </c>
      <c r="N22" s="89">
        <f>N21+Table4[[#This Row],[السويداء]]</f>
        <v>0</v>
      </c>
      <c r="O22" s="22">
        <f>Table4[[#This Row],[صلخد]]+O21</f>
        <v>0</v>
      </c>
    </row>
    <row r="23" spans="1:15" ht="28.9" customHeight="1" x14ac:dyDescent="0.25">
      <c r="A23" s="248">
        <v>45281</v>
      </c>
      <c r="B23" s="248" t="s">
        <v>105</v>
      </c>
      <c r="C23" s="249"/>
      <c r="D23" s="249"/>
      <c r="E23" s="250">
        <f>Table3[[#This Row],[السويداء]]+Table3[[#This Row],[صلخد]]</f>
        <v>0</v>
      </c>
      <c r="F23" s="252">
        <f>Table3[[#This Row],[السويداء]]+F22</f>
        <v>0</v>
      </c>
      <c r="G23" s="252">
        <f>G22+Table3[[#This Row],[صلخد]]</f>
        <v>0</v>
      </c>
      <c r="H23" s="524"/>
      <c r="I23" s="248">
        <v>45281</v>
      </c>
      <c r="J23" s="248" t="s">
        <v>105</v>
      </c>
      <c r="K23" s="249"/>
      <c r="L23" s="249"/>
      <c r="M23" s="250">
        <f>Table4[[#This Row],[السويداء]]+Table4[[#This Row],[صلخد]]</f>
        <v>0</v>
      </c>
      <c r="N23" s="89">
        <f>N22+Table4[[#This Row],[السويداء]]</f>
        <v>0</v>
      </c>
      <c r="O23" s="89">
        <f>Table4[[#This Row],[صلخد]]+O22</f>
        <v>0</v>
      </c>
    </row>
    <row r="24" spans="1:15" ht="28.9" customHeight="1" x14ac:dyDescent="0.25">
      <c r="A24" s="248">
        <v>45282</v>
      </c>
      <c r="B24" s="263" t="s">
        <v>106</v>
      </c>
      <c r="C24" s="159"/>
      <c r="D24" s="159"/>
      <c r="E24" s="250">
        <f>Table3[[#This Row],[السويداء]]+Table3[[#This Row],[صلخد]]</f>
        <v>0</v>
      </c>
      <c r="F24" s="252">
        <f>F23+Table3[[#This Row],[السويداء]]</f>
        <v>0</v>
      </c>
      <c r="G24" s="252">
        <f>G23+Table3[[#This Row],[صلخد]]</f>
        <v>0</v>
      </c>
      <c r="H24" s="524"/>
      <c r="I24" s="248">
        <v>45282</v>
      </c>
      <c r="J24" s="263" t="s">
        <v>106</v>
      </c>
      <c r="K24" s="159"/>
      <c r="L24" s="159"/>
      <c r="M24" s="250">
        <f>Table4[[#This Row],[السويداء]]+Table4[[#This Row],[صلخد]]</f>
        <v>0</v>
      </c>
      <c r="N24" s="89">
        <f>N23+Table4[[#This Row],[السويداء]]</f>
        <v>0</v>
      </c>
      <c r="O24" s="22">
        <f>Table4[[#This Row],[صلخد]]+O23</f>
        <v>0</v>
      </c>
    </row>
    <row r="25" spans="1:15" ht="28.9" customHeight="1" x14ac:dyDescent="0.25">
      <c r="A25" s="248">
        <v>45283</v>
      </c>
      <c r="B25" s="263" t="s">
        <v>102</v>
      </c>
      <c r="C25" s="159"/>
      <c r="D25" s="159"/>
      <c r="E25" s="250">
        <f>Table3[[#This Row],[السويداء]]+Table3[[#This Row],[صلخد]]</f>
        <v>0</v>
      </c>
      <c r="F25" s="252">
        <f>Table3[[#This Row],[السويداء]]+F24</f>
        <v>0</v>
      </c>
      <c r="G25" s="252">
        <f>G24+Table3[[#This Row],[صلخد]]</f>
        <v>0</v>
      </c>
      <c r="H25" s="524"/>
      <c r="I25" s="248">
        <v>45283</v>
      </c>
      <c r="J25" s="263" t="s">
        <v>102</v>
      </c>
      <c r="K25" s="159"/>
      <c r="L25" s="159"/>
      <c r="M25" s="252">
        <f>Table4[[#This Row],[السويداء]]+Table4[[#This Row],[صلخد]]</f>
        <v>0</v>
      </c>
      <c r="N25" s="89">
        <f>N24+Table4[[#This Row],[السويداء]]</f>
        <v>0</v>
      </c>
      <c r="O25" s="89">
        <f>Table4[[#This Row],[صلخد]]+O24</f>
        <v>0</v>
      </c>
    </row>
    <row r="26" spans="1:15" ht="28.9" customHeight="1" x14ac:dyDescent="0.25">
      <c r="A26" s="248">
        <v>45284</v>
      </c>
      <c r="B26" s="248" t="s">
        <v>103</v>
      </c>
      <c r="C26" s="249"/>
      <c r="D26" s="249"/>
      <c r="E26" s="250">
        <f>Table3[[#This Row],[السويداء]]+Table3[[#This Row],[صلخد]]</f>
        <v>0</v>
      </c>
      <c r="F26" s="252">
        <f>F25+Table3[[#This Row],[السويداء]]</f>
        <v>0</v>
      </c>
      <c r="G26" s="252">
        <f>G25+Table3[[#This Row],[صلخد]]</f>
        <v>0</v>
      </c>
      <c r="H26" s="524"/>
      <c r="I26" s="248">
        <v>45284</v>
      </c>
      <c r="J26" s="248" t="s">
        <v>103</v>
      </c>
      <c r="K26" s="251"/>
      <c r="L26" s="251"/>
      <c r="M26" s="252">
        <f>Table4[[#This Row],[السويداء]]+Table4[[#This Row],[صلخد]]</f>
        <v>0</v>
      </c>
      <c r="N26" s="89">
        <f>N25+Table4[[#This Row],[السويداء]]</f>
        <v>0</v>
      </c>
      <c r="O26" s="22">
        <f>Table4[[#This Row],[صلخد]]+O25</f>
        <v>0</v>
      </c>
    </row>
    <row r="27" spans="1:15" ht="28.9" customHeight="1" x14ac:dyDescent="0.25">
      <c r="A27" s="248">
        <v>45285</v>
      </c>
      <c r="B27" s="248" t="s">
        <v>104</v>
      </c>
      <c r="C27" s="249"/>
      <c r="D27" s="249"/>
      <c r="E27" s="250">
        <f>Table3[[#This Row],[السويداء]]+Table3[[#This Row],[صلخد]]</f>
        <v>0</v>
      </c>
      <c r="F27" s="252">
        <f>Table3[[#This Row],[السويداء]]+F26</f>
        <v>0</v>
      </c>
      <c r="G27" s="252">
        <f>G26+Table3[[#This Row],[صلخد]]</f>
        <v>0</v>
      </c>
      <c r="H27" s="524"/>
      <c r="I27" s="248">
        <v>45285</v>
      </c>
      <c r="J27" s="248" t="s">
        <v>104</v>
      </c>
      <c r="K27" s="249"/>
      <c r="L27" s="249"/>
      <c r="M27" s="252">
        <f>Table4[[#This Row],[السويداء]]+Table4[[#This Row],[صلخد]]</f>
        <v>0</v>
      </c>
      <c r="N27" s="89">
        <f>N26+Table4[[#This Row],[السويداء]]</f>
        <v>0</v>
      </c>
      <c r="O27" s="89">
        <f>Table4[[#This Row],[صلخد]]+O26</f>
        <v>0</v>
      </c>
    </row>
    <row r="28" spans="1:15" ht="28.9" customHeight="1" x14ac:dyDescent="0.25">
      <c r="A28" s="248">
        <v>45286</v>
      </c>
      <c r="B28" s="248" t="s">
        <v>249</v>
      </c>
      <c r="C28" s="249"/>
      <c r="D28" s="249"/>
      <c r="E28" s="250">
        <f>Table3[[#This Row],[السويداء]]+Table3[[#This Row],[صلخد]]</f>
        <v>0</v>
      </c>
      <c r="F28" s="252">
        <f>F27+Table3[[#This Row],[السويداء]]</f>
        <v>0</v>
      </c>
      <c r="G28" s="252">
        <f>G27+Table3[[#This Row],[صلخد]]</f>
        <v>0</v>
      </c>
      <c r="H28" s="524"/>
      <c r="I28" s="248">
        <v>45286</v>
      </c>
      <c r="J28" s="248" t="s">
        <v>249</v>
      </c>
      <c r="K28" s="249"/>
      <c r="L28" s="249"/>
      <c r="M28" s="252">
        <f>Table4[[#This Row],[السويداء]]+Table4[[#This Row],[صلخد]]</f>
        <v>0</v>
      </c>
      <c r="N28" s="89">
        <f>N27+Table4[[#This Row],[السويداء]]</f>
        <v>0</v>
      </c>
      <c r="O28" s="22">
        <f>Table4[[#This Row],[صلخد]]+O27</f>
        <v>0</v>
      </c>
    </row>
    <row r="29" spans="1:15" ht="28.9" customHeight="1" x14ac:dyDescent="0.25">
      <c r="A29" s="248">
        <v>45287</v>
      </c>
      <c r="B29" s="248" t="s">
        <v>250</v>
      </c>
      <c r="C29" s="249"/>
      <c r="D29" s="249"/>
      <c r="E29" s="250">
        <f>Table3[[#This Row],[السويداء]]+Table3[[#This Row],[صلخد]]</f>
        <v>0</v>
      </c>
      <c r="F29" s="252">
        <f>Table3[[#This Row],[السويداء]]+F28</f>
        <v>0</v>
      </c>
      <c r="G29" s="252">
        <f>G28+Table3[[#This Row],[صلخد]]</f>
        <v>0</v>
      </c>
      <c r="H29" s="524"/>
      <c r="I29" s="248">
        <v>45287</v>
      </c>
      <c r="J29" s="248" t="s">
        <v>250</v>
      </c>
      <c r="K29" s="251"/>
      <c r="L29" s="251"/>
      <c r="M29" s="252">
        <f>Table4[[#This Row],[السويداء]]+Table4[[#This Row],[صلخد]]</f>
        <v>0</v>
      </c>
      <c r="N29" s="89">
        <f>N28+Table4[[#This Row],[السويداء]]</f>
        <v>0</v>
      </c>
      <c r="O29" s="89">
        <f>Table4[[#This Row],[صلخد]]+O28</f>
        <v>0</v>
      </c>
    </row>
    <row r="30" spans="1:15" ht="28.9" customHeight="1" x14ac:dyDescent="0.25">
      <c r="A30" s="248">
        <v>45288</v>
      </c>
      <c r="B30" s="248" t="s">
        <v>105</v>
      </c>
      <c r="C30" s="249"/>
      <c r="D30" s="249"/>
      <c r="E30" s="250">
        <f>Table3[[#This Row],[السويداء]]+Table3[[#This Row],[صلخد]]</f>
        <v>0</v>
      </c>
      <c r="F30" s="252">
        <f>F29+Table3[[#This Row],[السويداء]]</f>
        <v>0</v>
      </c>
      <c r="G30" s="252">
        <f>G29+Table3[[#This Row],[صلخد]]</f>
        <v>0</v>
      </c>
      <c r="H30" s="524"/>
      <c r="I30" s="248">
        <v>45288</v>
      </c>
      <c r="J30" s="248" t="s">
        <v>105</v>
      </c>
      <c r="K30" s="249"/>
      <c r="L30" s="249"/>
      <c r="M30" s="250">
        <f>Table4[[#This Row],[السويداء]]+Table4[[#This Row],[صلخد]]</f>
        <v>0</v>
      </c>
      <c r="N30" s="89">
        <f>N29+Table4[[#This Row],[السويداء]]</f>
        <v>0</v>
      </c>
      <c r="O30" s="89">
        <f>Table4[[#This Row],[صلخد]]+O29</f>
        <v>0</v>
      </c>
    </row>
    <row r="31" spans="1:15" ht="28.9" customHeight="1" x14ac:dyDescent="0.25">
      <c r="A31" s="248">
        <v>45289</v>
      </c>
      <c r="B31" s="263" t="s">
        <v>106</v>
      </c>
      <c r="C31" s="159"/>
      <c r="D31" s="159"/>
      <c r="E31" s="250">
        <f>Table3[[#This Row],[السويداء]]+Table3[[#This Row],[صلخد]]</f>
        <v>0</v>
      </c>
      <c r="F31" s="252">
        <f>Table3[[#This Row],[السويداء]]+F30</f>
        <v>0</v>
      </c>
      <c r="G31" s="252">
        <f>G30+Table3[[#This Row],[صلخد]]</f>
        <v>0</v>
      </c>
      <c r="H31" s="524"/>
      <c r="I31" s="248">
        <v>45289</v>
      </c>
      <c r="J31" s="263" t="s">
        <v>106</v>
      </c>
      <c r="K31" s="159"/>
      <c r="L31" s="159"/>
      <c r="M31" s="250">
        <f>Table4[[#This Row],[السويداء]]+Table4[[#This Row],[صلخد]]</f>
        <v>0</v>
      </c>
      <c r="N31" s="89">
        <f>N30+Table4[[#This Row],[السويداء]]</f>
        <v>0</v>
      </c>
      <c r="O31" s="89">
        <f>Table4[[#This Row],[صلخد]]+O30</f>
        <v>0</v>
      </c>
    </row>
    <row r="32" spans="1:15" ht="28.9" customHeight="1" x14ac:dyDescent="0.25">
      <c r="A32" s="248">
        <v>45290</v>
      </c>
      <c r="B32" s="263" t="s">
        <v>102</v>
      </c>
      <c r="C32" s="159"/>
      <c r="D32" s="159"/>
      <c r="E32" s="252">
        <f>Table3[[#This Row],[السويداء]]+Table3[[#This Row],[صلخد]]</f>
        <v>0</v>
      </c>
      <c r="F32" s="252">
        <f>F31+Table3[[#This Row],[السويداء]]</f>
        <v>0</v>
      </c>
      <c r="G32" s="252">
        <f>G31+Table3[[#This Row],[صلخد]]</f>
        <v>0</v>
      </c>
      <c r="H32" s="524"/>
      <c r="I32" s="248">
        <v>45290</v>
      </c>
      <c r="J32" s="263" t="s">
        <v>102</v>
      </c>
      <c r="K32" s="159"/>
      <c r="L32" s="159"/>
      <c r="M32" s="252">
        <f>Table4[[#This Row],[السويداء]]+Table4[[#This Row],[صلخد]]</f>
        <v>0</v>
      </c>
      <c r="N32" s="240">
        <f>N31+Table4[[#This Row],[السويداء]]</f>
        <v>0</v>
      </c>
      <c r="O32" s="89">
        <f>Table4[[#This Row],[صلخد]]+O31</f>
        <v>0</v>
      </c>
    </row>
    <row r="33" spans="1:15" ht="28.9" customHeight="1" x14ac:dyDescent="0.25">
      <c r="A33" s="248">
        <v>45291</v>
      </c>
      <c r="B33" s="248" t="s">
        <v>103</v>
      </c>
      <c r="C33" s="251"/>
      <c r="D33" s="251"/>
      <c r="E33" s="252">
        <f>Table3[[#This Row],[السويداء]]+Table3[[#This Row],[صلخد]]</f>
        <v>0</v>
      </c>
      <c r="F33" s="252">
        <f>Table3[[#This Row],[السويداء]]+F32</f>
        <v>0</v>
      </c>
      <c r="G33" s="252">
        <f>G32+Table3[[#This Row],[صلخد]]</f>
        <v>0</v>
      </c>
      <c r="H33" s="524"/>
      <c r="I33" s="248">
        <v>45291</v>
      </c>
      <c r="J33" s="248" t="s">
        <v>103</v>
      </c>
      <c r="K33" s="251"/>
      <c r="L33" s="251"/>
      <c r="M33" s="252">
        <f>Table4[[#This Row],[السويداء]]+Table4[[#This Row],[صلخد]]</f>
        <v>0</v>
      </c>
      <c r="N33" s="240">
        <f>N32+Table4[[#This Row],[السويداء]]</f>
        <v>0</v>
      </c>
      <c r="O33" s="89">
        <f>Table4[[#This Row],[صلخد]]+O32</f>
        <v>0</v>
      </c>
    </row>
    <row r="34" spans="1:15" ht="28.9" customHeight="1" x14ac:dyDescent="0.25">
      <c r="A34" s="90" t="s">
        <v>107</v>
      </c>
      <c r="B34" s="90"/>
      <c r="C34" s="91">
        <f>SUBTOTAL(109,Table3[السويداء])</f>
        <v>0</v>
      </c>
      <c r="D34" s="90">
        <f>SUBTOTAL(109,Table3[صلخد])</f>
        <v>0</v>
      </c>
      <c r="E34" s="3">
        <f>SUBTOTAL(109,Table3[المجموع])</f>
        <v>0</v>
      </c>
      <c r="F34" s="92"/>
      <c r="G34" s="92"/>
      <c r="I34" s="90" t="s">
        <v>107</v>
      </c>
      <c r="J34" s="90"/>
      <c r="K34" s="90">
        <f>SUBTOTAL(109,Table4[السويداء])</f>
        <v>0</v>
      </c>
      <c r="L34" s="90">
        <f>SUBTOTAL(109,Table4[صلخد])</f>
        <v>0</v>
      </c>
      <c r="M34" s="3">
        <f>SUBTOTAL(109,Table4[المجموع])</f>
        <v>0</v>
      </c>
    </row>
    <row r="35" spans="1:15" ht="28.9" customHeight="1" x14ac:dyDescent="0.25">
      <c r="A35" s="395" t="s">
        <v>108</v>
      </c>
      <c r="B35" s="395"/>
      <c r="C35" s="395"/>
      <c r="D35" s="396"/>
      <c r="E35" s="397"/>
      <c r="I35" s="395" t="s">
        <v>109</v>
      </c>
      <c r="J35" s="395"/>
      <c r="K35" s="395"/>
      <c r="L35" s="398"/>
      <c r="M35" s="398"/>
    </row>
    <row r="36" spans="1:15" ht="28.9" customHeight="1" x14ac:dyDescent="0.25">
      <c r="A36" s="395" t="s">
        <v>110</v>
      </c>
      <c r="B36" s="395"/>
      <c r="C36" s="395"/>
      <c r="D36" s="396"/>
      <c r="E36" s="397"/>
      <c r="I36" s="395" t="s">
        <v>111</v>
      </c>
      <c r="J36" s="395"/>
      <c r="K36" s="395"/>
      <c r="L36" s="398"/>
      <c r="M36" s="398"/>
    </row>
    <row r="37" spans="1:15" ht="28.9" customHeight="1" x14ac:dyDescent="0.25">
      <c r="O37" s="153" t="s">
        <v>14</v>
      </c>
    </row>
  </sheetData>
  <sheetProtection password="F128" sheet="1" objects="1" scenarios="1"/>
  <protectedRanges>
    <protectedRange algorithmName="SHA-512" hashValue="+UiFJoOItntTUeiH6MxGgwkdfMlNMP1GU+CNGampwdXh76D3TfwxScQLOLTXkuL1TCgCAopIFcPlLDrjhBBRlQ==" saltValue="+VIACU4N3Ysx/kjpyeoNvg==" spinCount="100000" sqref="D35:E36" name="باسم0"/>
    <protectedRange algorithmName="SHA-512" hashValue="/kp6LsrTfjiWNUoIpo/BWIFQir2lITopzEwAwsRF9HvJrve8rNKSz0qi2vVdxNT7jh+LnEkJN4zkbT8PLQWNrQ==" saltValue="Xx+MV7c2/a5eqXoFdE+8mA==" spinCount="100000" sqref="L3:L33" name="وسام2"/>
    <protectedRange algorithmName="SHA-512" hashValue="iDdaQVImKx9zV2BPN7JfaF/pgDYdOBU+CtQRAhL73jksNitAECvSNPxWllZglwMnVbqq/e8gbub5gwzOZozZfQ==" saltValue="KZ1xlUbfty57h94kEMMssg==" spinCount="100000" sqref="C3:C33" name="ديما2"/>
    <protectedRange algorithmName="SHA-512" hashValue="a0lNNYwYpcZ4HVelrAP6bT3N2Wg8oybeShuOwU5WyeF6pJRoGeBh4SEtqNKaLazFpd/WZwkKgroF7er60084hw==" saltValue="R99vzFOU7L9vrUNu/q0lCg==" spinCount="100000" sqref="D3:D33" name="وسام1"/>
    <protectedRange algorithmName="SHA-512" hashValue="oGi5o6w11eAcqIDlPaL2FPa/xTtdj+mLfnTFDoftIsS3WlpzEojVkCPAtX0G8tDpQAnMvhkRBUsCKPwWoYFKWQ==" saltValue="zZJDMjMqtNxaU12WLZab0A==" spinCount="100000" sqref="K3:K33" name="ديما1"/>
    <protectedRange algorithmName="SHA-512" hashValue="nVx+YoEfIUsiJBUxRvfNDLYFi1eydvLvsBwr0kuKq7DzRNRf6jYKTOFGUdhQuhswy7f0aAngwKhDEQg9mI82Jg==" saltValue="1ap5ifkPsMjG2OBU29IQhQ==" spinCount="100000" sqref="L35:M36" name="باسم"/>
  </protectedRanges>
  <mergeCells count="10">
    <mergeCell ref="A36:C36"/>
    <mergeCell ref="D36:E36"/>
    <mergeCell ref="I36:K36"/>
    <mergeCell ref="L36:M36"/>
    <mergeCell ref="A1:G1"/>
    <mergeCell ref="I1:O1"/>
    <mergeCell ref="A35:C35"/>
    <mergeCell ref="D35:E35"/>
    <mergeCell ref="I35:K35"/>
    <mergeCell ref="L35:M35"/>
  </mergeCells>
  <dataValidations count="1">
    <dataValidation type="whole" operator="greaterThanOrEqual" allowBlank="1" showInputMessage="1" showErrorMessage="1" sqref="C3:D33 K3:L33 D35:E36 L35:M36">
      <formula1>0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37"/>
  <sheetViews>
    <sheetView showGridLines="0" topLeftCell="A13" zoomScale="55" zoomScaleNormal="55" workbookViewId="0">
      <selection activeCell="J31" sqref="J31:L32"/>
    </sheetView>
  </sheetViews>
  <sheetFormatPr defaultColWidth="8.85546875" defaultRowHeight="15" x14ac:dyDescent="0.25"/>
  <cols>
    <col min="1" max="1" width="16.28515625" style="1" bestFit="1" customWidth="1"/>
    <col min="2" max="2" width="10.7109375" style="1" customWidth="1"/>
    <col min="3" max="3" width="38.28515625" style="1" customWidth="1"/>
    <col min="4" max="4" width="10.28515625" style="1" bestFit="1" customWidth="1"/>
    <col min="5" max="5" width="10.7109375" style="1" bestFit="1" customWidth="1"/>
    <col min="6" max="6" width="26.28515625" style="1" bestFit="1" customWidth="1"/>
    <col min="7" max="7" width="23.7109375" style="1" bestFit="1" customWidth="1"/>
    <col min="8" max="8" width="8.85546875" style="1"/>
    <col min="9" max="9" width="16.28515625" style="1" bestFit="1" customWidth="1"/>
    <col min="10" max="10" width="10.7109375" style="1" customWidth="1"/>
    <col min="11" max="11" width="35.7109375" style="1" customWidth="1"/>
    <col min="12" max="12" width="10.28515625" style="1" bestFit="1" customWidth="1"/>
    <col min="13" max="13" width="10.7109375" style="1" bestFit="1" customWidth="1"/>
    <col min="14" max="14" width="30.7109375" style="1" bestFit="1" customWidth="1"/>
    <col min="15" max="15" width="24.28515625" style="1" bestFit="1" customWidth="1"/>
    <col min="16" max="19" width="9" customWidth="1"/>
    <col min="20" max="16384" width="8.85546875" style="1"/>
  </cols>
  <sheetData>
    <row r="1" spans="1:15" ht="28.9" customHeight="1" x14ac:dyDescent="0.25">
      <c r="A1" s="399" t="s">
        <v>112</v>
      </c>
      <c r="B1" s="399"/>
      <c r="C1" s="399"/>
      <c r="D1" s="399"/>
      <c r="E1" s="399"/>
      <c r="F1" s="399"/>
      <c r="G1" s="399"/>
      <c r="I1" s="399" t="s">
        <v>113</v>
      </c>
      <c r="J1" s="399"/>
      <c r="K1" s="399"/>
      <c r="L1" s="399"/>
      <c r="M1" s="399"/>
      <c r="N1" s="399"/>
      <c r="O1" s="399"/>
    </row>
    <row r="2" spans="1:15" ht="28.9" customHeight="1" x14ac:dyDescent="0.25">
      <c r="A2" s="88" t="s">
        <v>98</v>
      </c>
      <c r="B2" s="88" t="s">
        <v>4</v>
      </c>
      <c r="C2" s="88" t="s">
        <v>5</v>
      </c>
      <c r="D2" s="85" t="s">
        <v>6</v>
      </c>
      <c r="E2" s="85" t="s">
        <v>7</v>
      </c>
      <c r="F2" s="86" t="s">
        <v>99</v>
      </c>
      <c r="G2" s="87" t="s">
        <v>114</v>
      </c>
      <c r="I2" s="88" t="s">
        <v>98</v>
      </c>
      <c r="J2" s="88" t="s">
        <v>4</v>
      </c>
      <c r="K2" s="85" t="s">
        <v>5</v>
      </c>
      <c r="L2" s="85" t="s">
        <v>6</v>
      </c>
      <c r="M2" s="85" t="s">
        <v>7</v>
      </c>
      <c r="N2" s="86" t="s">
        <v>101</v>
      </c>
      <c r="O2" s="87" t="s">
        <v>100</v>
      </c>
    </row>
    <row r="3" spans="1:15" ht="28.9" customHeight="1" x14ac:dyDescent="0.25">
      <c r="A3" s="248">
        <v>45261</v>
      </c>
      <c r="B3" s="263" t="s">
        <v>106</v>
      </c>
      <c r="C3" s="158"/>
      <c r="D3" s="159"/>
      <c r="E3" s="250">
        <f>Table32[[#This Row],[صلخد]]+Table32[[#This Row],[السويداء]]</f>
        <v>0</v>
      </c>
      <c r="F3" s="93">
        <f>Table32[[#This Row],[السويداء]]+D35</f>
        <v>0</v>
      </c>
      <c r="G3" s="94">
        <f>Table32[[#This Row],[صلخد]]+D36</f>
        <v>0</v>
      </c>
      <c r="I3" s="248">
        <v>45261</v>
      </c>
      <c r="J3" s="263" t="s">
        <v>106</v>
      </c>
      <c r="K3" s="158"/>
      <c r="L3" s="159"/>
      <c r="M3" s="250"/>
      <c r="N3" s="93">
        <f>Table43[[#This Row],[السويداء]]+L35</f>
        <v>0</v>
      </c>
      <c r="O3" s="94">
        <f>Table43[[#This Row],[صلخد]]+L36</f>
        <v>0</v>
      </c>
    </row>
    <row r="4" spans="1:15" ht="28.9" customHeight="1" x14ac:dyDescent="0.25">
      <c r="A4" s="248">
        <v>45262</v>
      </c>
      <c r="B4" s="263" t="s">
        <v>102</v>
      </c>
      <c r="C4" s="158"/>
      <c r="D4" s="159"/>
      <c r="E4" s="250">
        <f>Table32[[#This Row],[صلخد]]+Table32[[#This Row],[السويداء]]</f>
        <v>0</v>
      </c>
      <c r="F4" s="95">
        <f>F3+Table32[[#This Row],[السويداء]]</f>
        <v>0</v>
      </c>
      <c r="G4" s="96">
        <f>Table32[[#This Row],[صلخد]]+G3</f>
        <v>0</v>
      </c>
      <c r="I4" s="248">
        <v>45262</v>
      </c>
      <c r="J4" s="263" t="s">
        <v>102</v>
      </c>
      <c r="K4" s="158"/>
      <c r="L4" s="159"/>
      <c r="M4" s="250"/>
      <c r="N4" s="95">
        <f>Table43[[#This Row],[السويداء]]+N3</f>
        <v>0</v>
      </c>
      <c r="O4" s="96">
        <f>Table43[[#This Row],[صلخد]]+O3</f>
        <v>0</v>
      </c>
    </row>
    <row r="5" spans="1:15" ht="28.9" customHeight="1" x14ac:dyDescent="0.25">
      <c r="A5" s="248">
        <v>45263</v>
      </c>
      <c r="B5" s="248" t="s">
        <v>103</v>
      </c>
      <c r="C5" s="251"/>
      <c r="D5" s="249"/>
      <c r="E5" s="250">
        <f>Table32[[#This Row],[صلخد]]+Table32[[#This Row],[السويداء]]</f>
        <v>0</v>
      </c>
      <c r="F5" s="93">
        <f>Table32[[#This Row],[السويداء]]+F4</f>
        <v>0</v>
      </c>
      <c r="G5" s="94">
        <f>Table32[[#This Row],[صلخد]]+G4</f>
        <v>0</v>
      </c>
      <c r="I5" s="248">
        <v>45263</v>
      </c>
      <c r="J5" s="248" t="s">
        <v>103</v>
      </c>
      <c r="K5" s="249"/>
      <c r="L5" s="249"/>
      <c r="M5" s="250"/>
      <c r="N5" s="93">
        <f>Table43[[#This Row],[السويداء]]+N4</f>
        <v>0</v>
      </c>
      <c r="O5" s="94">
        <f>Table43[[#This Row],[صلخد]]+O4</f>
        <v>0</v>
      </c>
    </row>
    <row r="6" spans="1:15" ht="28.9" customHeight="1" x14ac:dyDescent="0.25">
      <c r="A6" s="248">
        <v>45264</v>
      </c>
      <c r="B6" s="248" t="s">
        <v>104</v>
      </c>
      <c r="C6" s="251"/>
      <c r="D6" s="249"/>
      <c r="E6" s="250">
        <f>Table32[[#This Row],[صلخد]]+Table32[[#This Row],[السويداء]]</f>
        <v>0</v>
      </c>
      <c r="F6" s="95">
        <f>F5+Table32[[#This Row],[السويداء]]</f>
        <v>0</v>
      </c>
      <c r="G6" s="96">
        <f>Table32[[#This Row],[صلخد]]+G5</f>
        <v>0</v>
      </c>
      <c r="I6" s="248">
        <v>45264</v>
      </c>
      <c r="J6" s="248" t="s">
        <v>104</v>
      </c>
      <c r="K6" s="251"/>
      <c r="L6" s="249"/>
      <c r="M6" s="250"/>
      <c r="N6" s="95">
        <f>Table43[[#This Row],[السويداء]]+N5</f>
        <v>0</v>
      </c>
      <c r="O6" s="96">
        <f>Table43[[#This Row],[صلخد]]+O5</f>
        <v>0</v>
      </c>
    </row>
    <row r="7" spans="1:15" ht="28.9" customHeight="1" x14ac:dyDescent="0.25">
      <c r="A7" s="248">
        <v>45265</v>
      </c>
      <c r="B7" s="248" t="s">
        <v>249</v>
      </c>
      <c r="C7" s="251"/>
      <c r="D7" s="249"/>
      <c r="E7" s="250">
        <f>Table32[[#This Row],[صلخد]]+Table32[[#This Row],[السويداء]]</f>
        <v>0</v>
      </c>
      <c r="F7" s="93">
        <f>Table32[[#This Row],[السويداء]]+F6</f>
        <v>0</v>
      </c>
      <c r="G7" s="94">
        <f>Table32[[#This Row],[صلخد]]+G6</f>
        <v>0</v>
      </c>
      <c r="I7" s="248">
        <v>45265</v>
      </c>
      <c r="J7" s="248" t="s">
        <v>249</v>
      </c>
      <c r="K7" s="251"/>
      <c r="L7" s="249"/>
      <c r="M7" s="250"/>
      <c r="N7" s="93">
        <f>Table43[[#This Row],[السويداء]]+N6</f>
        <v>0</v>
      </c>
      <c r="O7" s="94">
        <f>Table43[[#This Row],[صلخد]]+O6</f>
        <v>0</v>
      </c>
    </row>
    <row r="8" spans="1:15" ht="28.9" customHeight="1" x14ac:dyDescent="0.25">
      <c r="A8" s="248">
        <v>45266</v>
      </c>
      <c r="B8" s="248" t="s">
        <v>250</v>
      </c>
      <c r="C8" s="251"/>
      <c r="D8" s="249"/>
      <c r="E8" s="250">
        <f>Table32[[#This Row],[صلخد]]+Table32[[#This Row],[السويداء]]</f>
        <v>0</v>
      </c>
      <c r="F8" s="95">
        <f>F7+Table32[[#This Row],[السويداء]]</f>
        <v>0</v>
      </c>
      <c r="G8" s="96">
        <f>Table32[[#This Row],[صلخد]]+G7</f>
        <v>0</v>
      </c>
      <c r="I8" s="248">
        <v>45266</v>
      </c>
      <c r="J8" s="248" t="s">
        <v>250</v>
      </c>
      <c r="K8" s="249"/>
      <c r="L8" s="249"/>
      <c r="M8" s="250"/>
      <c r="N8" s="95">
        <f>Table43[[#This Row],[السويداء]]+N7</f>
        <v>0</v>
      </c>
      <c r="O8" s="96">
        <f>Table43[[#This Row],[صلخد]]+O7</f>
        <v>0</v>
      </c>
    </row>
    <row r="9" spans="1:15" ht="28.9" customHeight="1" x14ac:dyDescent="0.25">
      <c r="A9" s="248">
        <v>45267</v>
      </c>
      <c r="B9" s="248" t="s">
        <v>105</v>
      </c>
      <c r="C9" s="251"/>
      <c r="D9" s="249"/>
      <c r="E9" s="250">
        <f>Table32[[#This Row],[صلخد]]+Table32[[#This Row],[السويداء]]</f>
        <v>0</v>
      </c>
      <c r="F9" s="93">
        <f>Table32[[#This Row],[السويداء]]+F8</f>
        <v>0</v>
      </c>
      <c r="G9" s="94">
        <f>Table32[[#This Row],[صلخد]]+G8</f>
        <v>0</v>
      </c>
      <c r="I9" s="248">
        <v>45267</v>
      </c>
      <c r="J9" s="248" t="s">
        <v>105</v>
      </c>
      <c r="K9" s="249"/>
      <c r="L9" s="249"/>
      <c r="M9" s="250"/>
      <c r="N9" s="93">
        <f>Table43[[#This Row],[السويداء]]+N8</f>
        <v>0</v>
      </c>
      <c r="O9" s="94">
        <f>Table43[[#This Row],[صلخد]]+O8</f>
        <v>0</v>
      </c>
    </row>
    <row r="10" spans="1:15" ht="28.9" customHeight="1" x14ac:dyDescent="0.25">
      <c r="A10" s="248">
        <v>45268</v>
      </c>
      <c r="B10" s="263" t="s">
        <v>106</v>
      </c>
      <c r="C10" s="158"/>
      <c r="D10" s="159"/>
      <c r="E10" s="250">
        <f>Table32[[#This Row],[صلخد]]+Table32[[#This Row],[السويداء]]</f>
        <v>0</v>
      </c>
      <c r="F10" s="95">
        <f>F9+Table32[[#This Row],[السويداء]]</f>
        <v>0</v>
      </c>
      <c r="G10" s="96">
        <f>Table32[[#This Row],[صلخد]]+G9</f>
        <v>0</v>
      </c>
      <c r="I10" s="248">
        <v>45268</v>
      </c>
      <c r="J10" s="263" t="s">
        <v>106</v>
      </c>
      <c r="K10" s="158"/>
      <c r="L10" s="159"/>
      <c r="M10" s="250"/>
      <c r="N10" s="95">
        <f>Table43[[#This Row],[السويداء]]+N9</f>
        <v>0</v>
      </c>
      <c r="O10" s="96">
        <f>Table43[[#This Row],[صلخد]]+O9</f>
        <v>0</v>
      </c>
    </row>
    <row r="11" spans="1:15" ht="28.9" customHeight="1" x14ac:dyDescent="0.25">
      <c r="A11" s="248">
        <v>45269</v>
      </c>
      <c r="B11" s="263" t="s">
        <v>102</v>
      </c>
      <c r="C11" s="158"/>
      <c r="D11" s="159"/>
      <c r="E11" s="250">
        <f>Table32[[#This Row],[صلخد]]+Table32[[#This Row],[السويداء]]</f>
        <v>0</v>
      </c>
      <c r="F11" s="93">
        <f>Table32[[#This Row],[السويداء]]+F10</f>
        <v>0</v>
      </c>
      <c r="G11" s="94">
        <f>Table32[[#This Row],[صلخد]]+G10</f>
        <v>0</v>
      </c>
      <c r="I11" s="248">
        <v>45269</v>
      </c>
      <c r="J11" s="263" t="s">
        <v>102</v>
      </c>
      <c r="K11" s="158"/>
      <c r="L11" s="159"/>
      <c r="M11" s="250"/>
      <c r="N11" s="93">
        <f>Table43[[#This Row],[السويداء]]+N10</f>
        <v>0</v>
      </c>
      <c r="O11" s="94">
        <f>Table43[[#This Row],[صلخد]]+O10</f>
        <v>0</v>
      </c>
    </row>
    <row r="12" spans="1:15" ht="28.9" customHeight="1" x14ac:dyDescent="0.25">
      <c r="A12" s="248">
        <v>45270</v>
      </c>
      <c r="B12" s="248" t="s">
        <v>103</v>
      </c>
      <c r="C12" s="251"/>
      <c r="D12" s="249"/>
      <c r="E12" s="250">
        <f>Table32[[#This Row],[صلخد]]+Table32[[#This Row],[السويداء]]</f>
        <v>0</v>
      </c>
      <c r="F12" s="95">
        <f>F11+Table32[[#This Row],[السويداء]]</f>
        <v>0</v>
      </c>
      <c r="G12" s="96">
        <f>Table32[[#This Row],[صلخد]]+G11</f>
        <v>0</v>
      </c>
      <c r="I12" s="248">
        <v>45270</v>
      </c>
      <c r="J12" s="248" t="s">
        <v>103</v>
      </c>
      <c r="K12" s="249"/>
      <c r="L12" s="249"/>
      <c r="M12" s="250"/>
      <c r="N12" s="95">
        <f>Table43[[#This Row],[السويداء]]+N11</f>
        <v>0</v>
      </c>
      <c r="O12" s="96">
        <f>Table43[[#This Row],[صلخد]]+O11</f>
        <v>0</v>
      </c>
    </row>
    <row r="13" spans="1:15" ht="28.9" customHeight="1" x14ac:dyDescent="0.25">
      <c r="A13" s="248">
        <v>45271</v>
      </c>
      <c r="B13" s="248" t="s">
        <v>104</v>
      </c>
      <c r="C13" s="251"/>
      <c r="D13" s="249"/>
      <c r="E13" s="250">
        <f>Table32[[#This Row],[صلخد]]+Table32[[#This Row],[السويداء]]</f>
        <v>0</v>
      </c>
      <c r="F13" s="93">
        <f>Table32[[#This Row],[السويداء]]+F12</f>
        <v>0</v>
      </c>
      <c r="G13" s="94">
        <f>Table32[[#This Row],[صلخد]]+G12</f>
        <v>0</v>
      </c>
      <c r="I13" s="248">
        <v>45271</v>
      </c>
      <c r="J13" s="248" t="s">
        <v>104</v>
      </c>
      <c r="K13" s="251"/>
      <c r="L13" s="249"/>
      <c r="M13" s="250"/>
      <c r="N13" s="93">
        <f>Table43[[#This Row],[السويداء]]+N12</f>
        <v>0</v>
      </c>
      <c r="O13" s="94">
        <f>Table43[[#This Row],[صلخد]]+O12</f>
        <v>0</v>
      </c>
    </row>
    <row r="14" spans="1:15" ht="28.9" customHeight="1" x14ac:dyDescent="0.25">
      <c r="A14" s="248">
        <v>45272</v>
      </c>
      <c r="B14" s="248" t="s">
        <v>249</v>
      </c>
      <c r="C14" s="251"/>
      <c r="D14" s="249"/>
      <c r="E14" s="250">
        <f>Table32[[#This Row],[صلخد]]+Table32[[#This Row],[السويداء]]</f>
        <v>0</v>
      </c>
      <c r="F14" s="95">
        <f>F13+Table32[[#This Row],[السويداء]]</f>
        <v>0</v>
      </c>
      <c r="G14" s="96">
        <f>Table32[[#This Row],[صلخد]]+G13</f>
        <v>0</v>
      </c>
      <c r="I14" s="248">
        <v>45272</v>
      </c>
      <c r="J14" s="248" t="s">
        <v>249</v>
      </c>
      <c r="K14" s="251"/>
      <c r="L14" s="249"/>
      <c r="M14" s="250"/>
      <c r="N14" s="95">
        <f>Table43[[#This Row],[السويداء]]+N13</f>
        <v>0</v>
      </c>
      <c r="O14" s="96">
        <f>Table43[[#This Row],[صلخد]]+O13</f>
        <v>0</v>
      </c>
    </row>
    <row r="15" spans="1:15" ht="28.9" customHeight="1" x14ac:dyDescent="0.25">
      <c r="A15" s="248">
        <v>45273</v>
      </c>
      <c r="B15" s="248" t="s">
        <v>250</v>
      </c>
      <c r="C15" s="251"/>
      <c r="D15" s="249"/>
      <c r="E15" s="250">
        <f>Table32[[#This Row],[صلخد]]+Table32[[#This Row],[السويداء]]</f>
        <v>0</v>
      </c>
      <c r="F15" s="93">
        <f>Table32[[#This Row],[السويداء]]+F14</f>
        <v>0</v>
      </c>
      <c r="G15" s="94">
        <f>Table32[[#This Row],[صلخد]]+G14</f>
        <v>0</v>
      </c>
      <c r="I15" s="248">
        <v>45273</v>
      </c>
      <c r="J15" s="248" t="s">
        <v>250</v>
      </c>
      <c r="K15" s="249"/>
      <c r="L15" s="249"/>
      <c r="M15" s="250"/>
      <c r="N15" s="93">
        <f>Table43[[#This Row],[السويداء]]+N14</f>
        <v>0</v>
      </c>
      <c r="O15" s="94">
        <f>Table43[[#This Row],[صلخد]]+O14</f>
        <v>0</v>
      </c>
    </row>
    <row r="16" spans="1:15" ht="28.9" customHeight="1" x14ac:dyDescent="0.25">
      <c r="A16" s="248">
        <v>45274</v>
      </c>
      <c r="B16" s="248" t="s">
        <v>105</v>
      </c>
      <c r="C16" s="251"/>
      <c r="D16" s="249"/>
      <c r="E16" s="250">
        <f>Table32[[#This Row],[صلخد]]+Table32[[#This Row],[السويداء]]</f>
        <v>0</v>
      </c>
      <c r="F16" s="95">
        <f>F15+Table32[[#This Row],[السويداء]]</f>
        <v>0</v>
      </c>
      <c r="G16" s="96">
        <f>Table32[[#This Row],[صلخد]]+G15</f>
        <v>0</v>
      </c>
      <c r="I16" s="248">
        <v>45274</v>
      </c>
      <c r="J16" s="248" t="s">
        <v>105</v>
      </c>
      <c r="K16" s="249"/>
      <c r="L16" s="249"/>
      <c r="M16" s="250"/>
      <c r="N16" s="95">
        <f>Table43[[#This Row],[السويداء]]+N15</f>
        <v>0</v>
      </c>
      <c r="O16" s="96">
        <f>Table43[[#This Row],[صلخد]]+O15</f>
        <v>0</v>
      </c>
    </row>
    <row r="17" spans="1:15" ht="28.9" customHeight="1" x14ac:dyDescent="0.25">
      <c r="A17" s="248">
        <v>45275</v>
      </c>
      <c r="B17" s="263" t="s">
        <v>106</v>
      </c>
      <c r="C17" s="158"/>
      <c r="D17" s="159"/>
      <c r="E17" s="250">
        <f>Table32[[#This Row],[صلخد]]+Table32[[#This Row],[السويداء]]</f>
        <v>0</v>
      </c>
      <c r="F17" s="93">
        <f>Table32[[#This Row],[السويداء]]+F16</f>
        <v>0</v>
      </c>
      <c r="G17" s="94">
        <f>Table32[[#This Row],[صلخد]]+G16</f>
        <v>0</v>
      </c>
      <c r="I17" s="248">
        <v>45275</v>
      </c>
      <c r="J17" s="263" t="s">
        <v>106</v>
      </c>
      <c r="K17" s="158"/>
      <c r="L17" s="159"/>
      <c r="M17" s="250"/>
      <c r="N17" s="93">
        <f>Table43[[#This Row],[السويداء]]+N16</f>
        <v>0</v>
      </c>
      <c r="O17" s="94">
        <f>Table43[[#This Row],[صلخد]]+O16</f>
        <v>0</v>
      </c>
    </row>
    <row r="18" spans="1:15" ht="28.9" customHeight="1" x14ac:dyDescent="0.25">
      <c r="A18" s="248">
        <v>45276</v>
      </c>
      <c r="B18" s="263" t="s">
        <v>102</v>
      </c>
      <c r="C18" s="158"/>
      <c r="D18" s="159"/>
      <c r="E18" s="250">
        <f>Table32[[#This Row],[صلخد]]+Table32[[#This Row],[السويداء]]</f>
        <v>0</v>
      </c>
      <c r="F18" s="95">
        <f>F17+Table32[[#This Row],[السويداء]]</f>
        <v>0</v>
      </c>
      <c r="G18" s="96">
        <f>Table32[[#This Row],[صلخد]]+G17</f>
        <v>0</v>
      </c>
      <c r="I18" s="248">
        <v>45276</v>
      </c>
      <c r="J18" s="263" t="s">
        <v>102</v>
      </c>
      <c r="K18" s="158"/>
      <c r="L18" s="159"/>
      <c r="M18" s="250"/>
      <c r="N18" s="95">
        <f>Table43[[#This Row],[السويداء]]+N17</f>
        <v>0</v>
      </c>
      <c r="O18" s="96">
        <f>Table43[[#This Row],[صلخد]]+O17</f>
        <v>0</v>
      </c>
    </row>
    <row r="19" spans="1:15" ht="28.9" customHeight="1" x14ac:dyDescent="0.25">
      <c r="A19" s="248">
        <v>45277</v>
      </c>
      <c r="B19" s="248" t="s">
        <v>103</v>
      </c>
      <c r="C19" s="251"/>
      <c r="D19" s="249"/>
      <c r="E19" s="250">
        <f>Table32[[#This Row],[صلخد]]+Table32[[#This Row],[السويداء]]</f>
        <v>0</v>
      </c>
      <c r="F19" s="93">
        <f>Table32[[#This Row],[السويداء]]+F18</f>
        <v>0</v>
      </c>
      <c r="G19" s="94">
        <f>Table32[[#This Row],[صلخد]]+G18</f>
        <v>0</v>
      </c>
      <c r="I19" s="248">
        <v>45277</v>
      </c>
      <c r="J19" s="248" t="s">
        <v>103</v>
      </c>
      <c r="K19" s="249"/>
      <c r="L19" s="249"/>
      <c r="M19" s="250"/>
      <c r="N19" s="93">
        <f>Table43[[#This Row],[السويداء]]+N18</f>
        <v>0</v>
      </c>
      <c r="O19" s="94">
        <f>Table43[[#This Row],[صلخد]]+O18</f>
        <v>0</v>
      </c>
    </row>
    <row r="20" spans="1:15" ht="28.9" customHeight="1" x14ac:dyDescent="0.25">
      <c r="A20" s="248">
        <v>45278</v>
      </c>
      <c r="B20" s="248" t="s">
        <v>104</v>
      </c>
      <c r="C20" s="251"/>
      <c r="D20" s="249"/>
      <c r="E20" s="250">
        <f>Table32[[#This Row],[صلخد]]+Table32[[#This Row],[السويداء]]</f>
        <v>0</v>
      </c>
      <c r="F20" s="95">
        <f>F19+Table32[[#This Row],[السويداء]]</f>
        <v>0</v>
      </c>
      <c r="G20" s="96">
        <f>Table32[[#This Row],[صلخد]]+G19</f>
        <v>0</v>
      </c>
      <c r="I20" s="248">
        <v>45278</v>
      </c>
      <c r="J20" s="248" t="s">
        <v>104</v>
      </c>
      <c r="K20" s="251"/>
      <c r="L20" s="249"/>
      <c r="M20" s="250"/>
      <c r="N20" s="95">
        <f>Table43[[#This Row],[السويداء]]+N19</f>
        <v>0</v>
      </c>
      <c r="O20" s="96">
        <f>Table43[[#This Row],[صلخد]]+O19</f>
        <v>0</v>
      </c>
    </row>
    <row r="21" spans="1:15" ht="28.9" customHeight="1" x14ac:dyDescent="0.25">
      <c r="A21" s="248">
        <v>45279</v>
      </c>
      <c r="B21" s="248" t="s">
        <v>249</v>
      </c>
      <c r="C21" s="251"/>
      <c r="D21" s="249"/>
      <c r="E21" s="250">
        <f>Table32[[#This Row],[صلخد]]+Table32[[#This Row],[السويداء]]</f>
        <v>0</v>
      </c>
      <c r="F21" s="93">
        <f>Table32[[#This Row],[السويداء]]+F20</f>
        <v>0</v>
      </c>
      <c r="G21" s="94">
        <f>Table32[[#This Row],[صلخد]]+G20</f>
        <v>0</v>
      </c>
      <c r="I21" s="248">
        <v>45279</v>
      </c>
      <c r="J21" s="248" t="s">
        <v>249</v>
      </c>
      <c r="K21" s="251"/>
      <c r="L21" s="249"/>
      <c r="M21" s="250"/>
      <c r="N21" s="93">
        <f>Table43[[#This Row],[السويداء]]+N20</f>
        <v>0</v>
      </c>
      <c r="O21" s="94">
        <f>Table43[[#This Row],[صلخد]]+O20</f>
        <v>0</v>
      </c>
    </row>
    <row r="22" spans="1:15" ht="28.9" customHeight="1" x14ac:dyDescent="0.25">
      <c r="A22" s="248">
        <v>45280</v>
      </c>
      <c r="B22" s="248" t="s">
        <v>250</v>
      </c>
      <c r="C22" s="251"/>
      <c r="D22" s="249"/>
      <c r="E22" s="250">
        <f>Table32[[#This Row],[صلخد]]+Table32[[#This Row],[السويداء]]</f>
        <v>0</v>
      </c>
      <c r="F22" s="95">
        <f>F21+Table32[[#This Row],[السويداء]]</f>
        <v>0</v>
      </c>
      <c r="G22" s="96">
        <f>Table32[[#This Row],[صلخد]]+G21</f>
        <v>0</v>
      </c>
      <c r="I22" s="248">
        <v>45280</v>
      </c>
      <c r="J22" s="248" t="s">
        <v>250</v>
      </c>
      <c r="K22" s="249"/>
      <c r="L22" s="249"/>
      <c r="M22" s="250"/>
      <c r="N22" s="95">
        <f>Table43[[#This Row],[السويداء]]+N21</f>
        <v>0</v>
      </c>
      <c r="O22" s="96">
        <f>Table43[[#This Row],[صلخد]]+O21</f>
        <v>0</v>
      </c>
    </row>
    <row r="23" spans="1:15" ht="28.9" customHeight="1" x14ac:dyDescent="0.25">
      <c r="A23" s="248">
        <v>45281</v>
      </c>
      <c r="B23" s="248" t="s">
        <v>105</v>
      </c>
      <c r="C23" s="251"/>
      <c r="D23" s="249"/>
      <c r="E23" s="250">
        <f>Table32[[#This Row],[صلخد]]+Table32[[#This Row],[السويداء]]</f>
        <v>0</v>
      </c>
      <c r="F23" s="93">
        <f>Table32[[#This Row],[السويداء]]+F22</f>
        <v>0</v>
      </c>
      <c r="G23" s="94">
        <f>Table32[[#This Row],[صلخد]]+G22</f>
        <v>0</v>
      </c>
      <c r="I23" s="248">
        <v>45281</v>
      </c>
      <c r="J23" s="248" t="s">
        <v>105</v>
      </c>
      <c r="K23" s="249"/>
      <c r="L23" s="249"/>
      <c r="M23" s="250"/>
      <c r="N23" s="93">
        <f>Table43[[#This Row],[السويداء]]+N22</f>
        <v>0</v>
      </c>
      <c r="O23" s="94">
        <f>Table43[[#This Row],[صلخد]]+O22</f>
        <v>0</v>
      </c>
    </row>
    <row r="24" spans="1:15" ht="28.9" customHeight="1" x14ac:dyDescent="0.25">
      <c r="A24" s="248">
        <v>45282</v>
      </c>
      <c r="B24" s="263" t="s">
        <v>106</v>
      </c>
      <c r="C24" s="158"/>
      <c r="D24" s="159"/>
      <c r="E24" s="250">
        <f>Table32[[#This Row],[صلخد]]+Table32[[#This Row],[السويداء]]</f>
        <v>0</v>
      </c>
      <c r="F24" s="95">
        <f>F23+Table32[[#This Row],[السويداء]]</f>
        <v>0</v>
      </c>
      <c r="G24" s="96">
        <f>Table32[[#This Row],[صلخد]]+G23</f>
        <v>0</v>
      </c>
      <c r="I24" s="248">
        <v>45282</v>
      </c>
      <c r="J24" s="263" t="s">
        <v>106</v>
      </c>
      <c r="K24" s="158"/>
      <c r="L24" s="159"/>
      <c r="M24" s="250"/>
      <c r="N24" s="95">
        <f>Table43[[#This Row],[السويداء]]+N23</f>
        <v>0</v>
      </c>
      <c r="O24" s="96">
        <f>Table43[[#This Row],[صلخد]]+O23</f>
        <v>0</v>
      </c>
    </row>
    <row r="25" spans="1:15" ht="28.9" customHeight="1" x14ac:dyDescent="0.25">
      <c r="A25" s="248">
        <v>45283</v>
      </c>
      <c r="B25" s="263" t="s">
        <v>102</v>
      </c>
      <c r="C25" s="158"/>
      <c r="D25" s="159"/>
      <c r="E25" s="250">
        <f>Table32[[#This Row],[صلخد]]+Table32[[#This Row],[السويداء]]</f>
        <v>0</v>
      </c>
      <c r="F25" s="93">
        <f>Table32[[#This Row],[السويداء]]+F24</f>
        <v>0</v>
      </c>
      <c r="G25" s="94">
        <f>Table32[[#This Row],[صلخد]]+G24</f>
        <v>0</v>
      </c>
      <c r="I25" s="248">
        <v>45283</v>
      </c>
      <c r="J25" s="263" t="s">
        <v>102</v>
      </c>
      <c r="K25" s="158"/>
      <c r="L25" s="159"/>
      <c r="M25" s="250"/>
      <c r="N25" s="93">
        <f>Table43[[#This Row],[السويداء]]+N24</f>
        <v>0</v>
      </c>
      <c r="O25" s="94">
        <f>Table43[[#This Row],[صلخد]]+O24</f>
        <v>0</v>
      </c>
    </row>
    <row r="26" spans="1:15" ht="28.9" customHeight="1" x14ac:dyDescent="0.25">
      <c r="A26" s="248">
        <v>45284</v>
      </c>
      <c r="B26" s="248" t="s">
        <v>103</v>
      </c>
      <c r="C26" s="251"/>
      <c r="D26" s="249"/>
      <c r="E26" s="250">
        <f>Table32[[#This Row],[صلخد]]+Table32[[#This Row],[السويداء]]</f>
        <v>0</v>
      </c>
      <c r="F26" s="95">
        <f>F25+Table32[[#This Row],[السويداء]]</f>
        <v>0</v>
      </c>
      <c r="G26" s="96">
        <f>Table32[[#This Row],[صلخد]]+G25</f>
        <v>0</v>
      </c>
      <c r="I26" s="248">
        <v>45284</v>
      </c>
      <c r="J26" s="248" t="s">
        <v>103</v>
      </c>
      <c r="K26" s="249"/>
      <c r="L26" s="249"/>
      <c r="M26" s="250"/>
      <c r="N26" s="95">
        <f>Table43[[#This Row],[السويداء]]+N25</f>
        <v>0</v>
      </c>
      <c r="O26" s="96">
        <f>Table43[[#This Row],[صلخد]]+O25</f>
        <v>0</v>
      </c>
    </row>
    <row r="27" spans="1:15" ht="28.9" customHeight="1" x14ac:dyDescent="0.25">
      <c r="A27" s="248">
        <v>45285</v>
      </c>
      <c r="B27" s="248" t="s">
        <v>104</v>
      </c>
      <c r="C27" s="251"/>
      <c r="D27" s="249"/>
      <c r="E27" s="250">
        <f>Table32[[#This Row],[صلخد]]+Table32[[#This Row],[السويداء]]</f>
        <v>0</v>
      </c>
      <c r="F27" s="93">
        <f>Table32[[#This Row],[السويداء]]+F26</f>
        <v>0</v>
      </c>
      <c r="G27" s="94">
        <f>Table32[[#This Row],[صلخد]]+G26</f>
        <v>0</v>
      </c>
      <c r="I27" s="248">
        <v>45285</v>
      </c>
      <c r="J27" s="248" t="s">
        <v>104</v>
      </c>
      <c r="K27" s="251"/>
      <c r="L27" s="249"/>
      <c r="M27" s="250"/>
      <c r="N27" s="93">
        <f>Table43[[#This Row],[السويداء]]+N26</f>
        <v>0</v>
      </c>
      <c r="O27" s="94">
        <f>Table43[[#This Row],[صلخد]]+O26</f>
        <v>0</v>
      </c>
    </row>
    <row r="28" spans="1:15" ht="28.9" customHeight="1" x14ac:dyDescent="0.25">
      <c r="A28" s="248">
        <v>45286</v>
      </c>
      <c r="B28" s="248" t="s">
        <v>249</v>
      </c>
      <c r="C28" s="251"/>
      <c r="D28" s="249"/>
      <c r="E28" s="250">
        <f>Table32[[#This Row],[صلخد]]+Table32[[#This Row],[السويداء]]</f>
        <v>0</v>
      </c>
      <c r="F28" s="95">
        <f>F27+Table32[[#This Row],[السويداء]]</f>
        <v>0</v>
      </c>
      <c r="G28" s="96">
        <f>Table32[[#This Row],[صلخد]]+G27</f>
        <v>0</v>
      </c>
      <c r="I28" s="248">
        <v>45286</v>
      </c>
      <c r="J28" s="248" t="s">
        <v>249</v>
      </c>
      <c r="K28" s="251"/>
      <c r="L28" s="249"/>
      <c r="M28" s="250"/>
      <c r="N28" s="95">
        <f>Table43[[#This Row],[السويداء]]+N27</f>
        <v>0</v>
      </c>
      <c r="O28" s="96">
        <f>Table43[[#This Row],[صلخد]]+O27</f>
        <v>0</v>
      </c>
    </row>
    <row r="29" spans="1:15" ht="28.9" customHeight="1" x14ac:dyDescent="0.25">
      <c r="A29" s="248">
        <v>45287</v>
      </c>
      <c r="B29" s="248" t="s">
        <v>250</v>
      </c>
      <c r="C29" s="251"/>
      <c r="D29" s="249"/>
      <c r="E29" s="250">
        <f>Table32[[#This Row],[صلخد]]+Table32[[#This Row],[السويداء]]</f>
        <v>0</v>
      </c>
      <c r="F29" s="93">
        <f>Table32[[#This Row],[السويداء]]+F28</f>
        <v>0</v>
      </c>
      <c r="G29" s="94">
        <f>Table32[[#This Row],[صلخد]]+G28</f>
        <v>0</v>
      </c>
      <c r="I29" s="248">
        <v>45287</v>
      </c>
      <c r="J29" s="248" t="s">
        <v>250</v>
      </c>
      <c r="K29" s="249"/>
      <c r="L29" s="249"/>
      <c r="M29" s="250"/>
      <c r="N29" s="93">
        <f>Table43[[#This Row],[السويداء]]+N28</f>
        <v>0</v>
      </c>
      <c r="O29" s="94">
        <f>Table43[[#This Row],[صلخد]]+O28</f>
        <v>0</v>
      </c>
    </row>
    <row r="30" spans="1:15" ht="28.9" customHeight="1" x14ac:dyDescent="0.25">
      <c r="A30" s="248">
        <v>45288</v>
      </c>
      <c r="B30" s="248" t="s">
        <v>105</v>
      </c>
      <c r="C30" s="251"/>
      <c r="D30" s="249"/>
      <c r="E30" s="250">
        <f>Table32[[#This Row],[صلخد]]+Table32[[#This Row],[السويداء]]</f>
        <v>0</v>
      </c>
      <c r="F30" s="95">
        <f>F29+Table32[[#This Row],[السويداء]]</f>
        <v>0</v>
      </c>
      <c r="G30" s="96">
        <f>Table32[[#This Row],[صلخد]]+G29</f>
        <v>0</v>
      </c>
      <c r="I30" s="248">
        <v>45288</v>
      </c>
      <c r="J30" s="248" t="s">
        <v>105</v>
      </c>
      <c r="K30" s="249"/>
      <c r="L30" s="249"/>
      <c r="M30" s="250"/>
      <c r="N30" s="95">
        <f>Table43[[#This Row],[السويداء]]+N29</f>
        <v>0</v>
      </c>
      <c r="O30" s="96">
        <f>Table43[[#This Row],[صلخد]]+O29</f>
        <v>0</v>
      </c>
    </row>
    <row r="31" spans="1:15" ht="28.9" customHeight="1" x14ac:dyDescent="0.25">
      <c r="A31" s="248">
        <v>45289</v>
      </c>
      <c r="B31" s="263" t="s">
        <v>106</v>
      </c>
      <c r="C31" s="158"/>
      <c r="D31" s="159"/>
      <c r="E31" s="252">
        <f>Table32[[#This Row],[صلخد]]+Table32[[#This Row],[السويداء]]</f>
        <v>0</v>
      </c>
      <c r="F31" s="89">
        <f>Table32[[#This Row],[السويداء]]+F30</f>
        <v>0</v>
      </c>
      <c r="G31" s="94">
        <f>Table32[[#This Row],[صلخد]]+G30</f>
        <v>0</v>
      </c>
      <c r="I31" s="248">
        <v>45289</v>
      </c>
      <c r="J31" s="263" t="s">
        <v>106</v>
      </c>
      <c r="K31" s="158"/>
      <c r="L31" s="159"/>
      <c r="M31" s="252"/>
      <c r="N31" s="93">
        <f>Table43[[#This Row],[السويداء]]+N30</f>
        <v>0</v>
      </c>
      <c r="O31" s="94">
        <f>Table43[[#This Row],[صلخد]]+O30</f>
        <v>0</v>
      </c>
    </row>
    <row r="32" spans="1:15" ht="28.9" customHeight="1" x14ac:dyDescent="0.25">
      <c r="A32" s="248">
        <v>45290</v>
      </c>
      <c r="B32" s="263" t="s">
        <v>102</v>
      </c>
      <c r="C32" s="158"/>
      <c r="D32" s="159"/>
      <c r="E32" s="252">
        <f>Table32[[#This Row],[صلخد]]+Table32[[#This Row],[السويداء]]</f>
        <v>0</v>
      </c>
      <c r="F32" s="89">
        <f>Table32[[#This Row],[السويداء]]+F31</f>
        <v>0</v>
      </c>
      <c r="G32" s="94">
        <f>Table32[[#This Row],[صلخد]]+G31</f>
        <v>0</v>
      </c>
      <c r="I32" s="248">
        <v>45290</v>
      </c>
      <c r="J32" s="263" t="s">
        <v>102</v>
      </c>
      <c r="K32" s="158"/>
      <c r="L32" s="159"/>
      <c r="M32" s="252"/>
      <c r="N32" s="95">
        <f>Table43[[#This Row],[السويداء]]+N31</f>
        <v>0</v>
      </c>
      <c r="O32" s="96">
        <f>Table43[[#This Row],[صلخد]]+O31</f>
        <v>0</v>
      </c>
    </row>
    <row r="33" spans="1:15" ht="28.9" customHeight="1" x14ac:dyDescent="0.25">
      <c r="A33" s="248">
        <v>45291</v>
      </c>
      <c r="B33" s="248" t="s">
        <v>103</v>
      </c>
      <c r="C33" s="251"/>
      <c r="D33" s="251"/>
      <c r="E33" s="252">
        <f>Table32[[#This Row],[صلخد]]+Table32[[#This Row],[السويداء]]</f>
        <v>0</v>
      </c>
      <c r="F33" s="89">
        <f>Table32[[#This Row],[السويداء]]+F32</f>
        <v>0</v>
      </c>
      <c r="G33" s="160">
        <f>Table32[[#This Row],[صلخد]]+G32</f>
        <v>0</v>
      </c>
      <c r="I33" s="248">
        <v>45291</v>
      </c>
      <c r="J33" s="248" t="s">
        <v>103</v>
      </c>
      <c r="K33" s="253"/>
      <c r="L33" s="254"/>
      <c r="M33" s="252"/>
      <c r="N33" s="93">
        <f>Table43[[#This Row],[السويداء]]+N32</f>
        <v>0</v>
      </c>
      <c r="O33" s="94">
        <f>Table43[[#This Row],[صلخد]]+O32</f>
        <v>0</v>
      </c>
    </row>
    <row r="34" spans="1:15" ht="28.9" customHeight="1" x14ac:dyDescent="0.25">
      <c r="A34" s="90" t="s">
        <v>107</v>
      </c>
      <c r="B34" s="251"/>
      <c r="C34" s="251">
        <f>SUBTOTAL(109,Table32[السويداء])</f>
        <v>0</v>
      </c>
      <c r="D34" s="251">
        <f>SUBTOTAL(109,Table32[صلخد])</f>
        <v>0</v>
      </c>
      <c r="E34" s="251">
        <f>SUBTOTAL(109,Table32[المجموع])</f>
        <v>0</v>
      </c>
      <c r="F34" s="161"/>
      <c r="G34" s="92"/>
      <c r="I34" s="90" t="s">
        <v>107</v>
      </c>
      <c r="J34" s="90"/>
      <c r="K34" s="91">
        <f>SUBTOTAL(109,Table43[السويداء])</f>
        <v>0</v>
      </c>
      <c r="L34" s="91">
        <f>SUBTOTAL(109,Table43[صلخد])</f>
        <v>0</v>
      </c>
      <c r="M34" s="1">
        <f>SUBTOTAL(109,Table43[المجموع])</f>
        <v>0</v>
      </c>
      <c r="N34" s="92"/>
      <c r="O34" s="92"/>
    </row>
    <row r="35" spans="1:15" ht="28.9" customHeight="1" x14ac:dyDescent="0.25">
      <c r="A35" s="395" t="s">
        <v>115</v>
      </c>
      <c r="B35" s="395"/>
      <c r="C35" s="400"/>
      <c r="D35" s="401"/>
      <c r="E35" s="401"/>
      <c r="I35" s="395" t="s">
        <v>116</v>
      </c>
      <c r="J35" s="395"/>
      <c r="K35" s="395"/>
      <c r="L35" s="398"/>
      <c r="M35" s="398"/>
    </row>
    <row r="36" spans="1:15" ht="28.9" customHeight="1" x14ac:dyDescent="0.25">
      <c r="A36" s="395" t="s">
        <v>117</v>
      </c>
      <c r="B36" s="395"/>
      <c r="C36" s="395"/>
      <c r="D36" s="398"/>
      <c r="E36" s="398"/>
      <c r="I36" s="395" t="s">
        <v>118</v>
      </c>
      <c r="J36" s="395"/>
      <c r="K36" s="395"/>
      <c r="L36" s="398"/>
      <c r="M36" s="398"/>
    </row>
    <row r="37" spans="1:15" x14ac:dyDescent="0.25">
      <c r="O37" s="153" t="s">
        <v>14</v>
      </c>
    </row>
  </sheetData>
  <sheetProtection password="F128" sheet="1" objects="1" scenarios="1"/>
  <protectedRanges>
    <protectedRange algorithmName="SHA-512" hashValue="3gEMInOJtrSUg/NWwQcmIH5pPN5VPPBE7hLke1N9unMqJcvlJFCNPnsa0fVi00vvPfNqawukn8DlFmLJJH5cDQ==" saltValue="9Mjik+7s7OggeOEln8CQAQ==" spinCount="100000" sqref="D35:E36 L35:M36" name="باسم"/>
    <protectedRange algorithmName="SHA-512" hashValue="DKA+SD70AbT05KLUJTEkhkPAR0lOgUxq63m4H2hVuO6ht4q4XLaVxY8FqhH6zLjvXQZX0MYSDWvMXBneqEHY4g==" saltValue="nZFYHZh0vPOUqVW8MAejPA==" spinCount="100000" sqref="D3:D33" name="الفت"/>
    <protectedRange algorithmName="SHA-512" hashValue="de31Yq6d3wm3fCgZ1G0QPuE/MzQNAiiH5JUW01k45X1TFsH4Ex2STeMtsr4BjQxQ2ND30jlTc0TiBE6hYeZKIw==" saltValue="OuTojDJn7Sf66+VSfCojDQ==" spinCount="100000" sqref="K3:K33" name="سلام"/>
    <protectedRange algorithmName="SHA-512" hashValue="fyFKG34z6p7Xu0XeB55UUB7fURE8Nzky7wN+heI/Ge8zdEZLhtb7BUiDs4Jc/PQpzihScxRG5KC87nJ9JX3qSw==" saltValue="QIG9EVnH2/yC3xtT0MFPGQ==" spinCount="100000" sqref="C3:C33" name="سلام0"/>
    <protectedRange algorithmName="SHA-512" hashValue="XWv8kV1Bi2b14onM2Jl7wuHdp3NQN7/xY9RSksOLNVn2kgjghk9BCDyUhbg78i/U6Q/mhua1MfuJRWWT075DtQ==" saltValue="XAt20oaJ8bt2wkSP+WjLyQ==" spinCount="100000" sqref="L3:L33" name="الفت0"/>
  </protectedRanges>
  <mergeCells count="10">
    <mergeCell ref="A36:C36"/>
    <mergeCell ref="D36:E36"/>
    <mergeCell ref="I36:K36"/>
    <mergeCell ref="L36:M36"/>
    <mergeCell ref="A1:G1"/>
    <mergeCell ref="I1:O1"/>
    <mergeCell ref="A35:C35"/>
    <mergeCell ref="D35:E35"/>
    <mergeCell ref="I35:K35"/>
    <mergeCell ref="L35:M35"/>
  </mergeCells>
  <phoneticPr fontId="6" type="noConversion"/>
  <dataValidations count="1">
    <dataValidation type="whole" operator="greaterThanOrEqual" allowBlank="1" showInputMessage="1" showErrorMessage="1" sqref="C3:D33 K3:L33 D35:E36 L35:M36">
      <formula1>0</formula1>
    </dataValidation>
  </dataValidation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0"/>
  <sheetViews>
    <sheetView showGridLines="0" zoomScale="86" zoomScaleNormal="86" workbookViewId="0">
      <selection activeCell="D8" sqref="D8"/>
    </sheetView>
  </sheetViews>
  <sheetFormatPr defaultColWidth="9" defaultRowHeight="35.25" customHeight="1" x14ac:dyDescent="0.25"/>
  <cols>
    <col min="1" max="1" width="22.85546875" style="1" customWidth="1"/>
    <col min="2" max="2" width="39.85546875" style="1" customWidth="1"/>
    <col min="3" max="3" width="48" style="1" bestFit="1" customWidth="1"/>
    <col min="4" max="4" width="48" style="1" customWidth="1"/>
    <col min="5" max="5" width="11.7109375" style="1" bestFit="1" customWidth="1"/>
    <col min="6" max="6" width="14.28515625" style="1" bestFit="1" customWidth="1"/>
    <col min="7" max="7" width="13.85546875" style="1" bestFit="1" customWidth="1"/>
    <col min="8" max="9" width="12.7109375" style="1" bestFit="1" customWidth="1"/>
    <col min="10" max="10" width="18.7109375" style="1" bestFit="1" customWidth="1"/>
    <col min="11" max="11" width="18.140625" style="1" bestFit="1" customWidth="1"/>
    <col min="12" max="12" width="17.7109375" style="1" bestFit="1" customWidth="1"/>
    <col min="13" max="14" width="28.28515625" style="1" bestFit="1" customWidth="1"/>
    <col min="15" max="15" width="11.28515625" style="1" bestFit="1" customWidth="1"/>
    <col min="16" max="16" width="22.140625" style="1" bestFit="1" customWidth="1"/>
    <col min="17" max="18" width="23.85546875" style="1" bestFit="1" customWidth="1"/>
    <col min="19" max="19" width="26.28515625" style="1" bestFit="1" customWidth="1"/>
    <col min="20" max="22" width="9" style="1"/>
    <col min="23" max="23" width="18.28515625" style="1" bestFit="1" customWidth="1"/>
    <col min="24" max="24" width="9" style="1"/>
    <col min="25" max="25" width="13.7109375" style="1" bestFit="1" customWidth="1"/>
    <col min="26" max="26" width="18.28515625" style="1" bestFit="1" customWidth="1"/>
    <col min="27" max="27" width="9" style="1"/>
    <col min="28" max="28" width="21.7109375" style="1" bestFit="1" customWidth="1"/>
    <col min="29" max="29" width="9" style="1"/>
    <col min="30" max="30" width="18" style="1" bestFit="1" customWidth="1"/>
    <col min="31" max="16384" width="9" style="1"/>
  </cols>
  <sheetData>
    <row r="1" spans="1:35" ht="15" x14ac:dyDescent="0.25">
      <c r="H1" s="402" t="s">
        <v>1</v>
      </c>
    </row>
    <row r="2" spans="1:35" ht="15" x14ac:dyDescent="0.25">
      <c r="H2" s="402"/>
    </row>
    <row r="4" spans="1:35" ht="35.25" customHeight="1" x14ac:dyDescent="0.25">
      <c r="A4" s="403" t="s">
        <v>119</v>
      </c>
      <c r="B4" s="404"/>
      <c r="C4" s="404"/>
      <c r="D4" s="404"/>
      <c r="E4" s="404"/>
      <c r="F4" s="404"/>
      <c r="G4" s="404"/>
      <c r="H4" s="404"/>
      <c r="I4" s="404"/>
      <c r="J4" s="404"/>
      <c r="K4" s="404"/>
      <c r="L4" s="404"/>
      <c r="M4" s="404"/>
      <c r="N4" s="404"/>
      <c r="O4" s="404"/>
    </row>
    <row r="5" spans="1:35" ht="35.25" customHeight="1" x14ac:dyDescent="0.25">
      <c r="A5" s="4" t="s">
        <v>120</v>
      </c>
      <c r="B5" s="5" t="s">
        <v>121</v>
      </c>
      <c r="C5" s="5" t="s">
        <v>122</v>
      </c>
      <c r="D5" s="5" t="s">
        <v>265</v>
      </c>
      <c r="E5" s="5" t="s">
        <v>123</v>
      </c>
      <c r="F5" s="6" t="s">
        <v>124</v>
      </c>
      <c r="G5" s="5" t="s">
        <v>125</v>
      </c>
      <c r="H5" s="5" t="s">
        <v>126</v>
      </c>
      <c r="I5" s="5" t="s">
        <v>127</v>
      </c>
      <c r="J5" s="5" t="s">
        <v>62</v>
      </c>
      <c r="K5" s="5" t="s">
        <v>63</v>
      </c>
      <c r="L5" s="5" t="s">
        <v>64</v>
      </c>
      <c r="M5" s="5" t="s">
        <v>128</v>
      </c>
      <c r="N5" s="5" t="s">
        <v>129</v>
      </c>
      <c r="O5" s="5" t="s">
        <v>130</v>
      </c>
      <c r="P5" s="5" t="s">
        <v>131</v>
      </c>
      <c r="Q5" s="5" t="s">
        <v>132</v>
      </c>
      <c r="R5" s="5" t="s">
        <v>95</v>
      </c>
      <c r="S5" s="5" t="s">
        <v>133</v>
      </c>
      <c r="T5" s="5" t="s">
        <v>134</v>
      </c>
      <c r="AE5" s="1" t="s">
        <v>135</v>
      </c>
    </row>
    <row r="6" spans="1:35" ht="35.25" customHeight="1" x14ac:dyDescent="0.25">
      <c r="A6" s="255"/>
      <c r="B6" s="52"/>
      <c r="C6" s="256"/>
      <c r="D6" s="256"/>
      <c r="E6" s="257"/>
      <c r="F6" s="258"/>
      <c r="G6" s="59">
        <f>IF(الجدول18[[#This Row],[نوع الشكوى]]="هاتفية",1,0)</f>
        <v>0</v>
      </c>
      <c r="H6" s="59">
        <f>IF(الجدول18[[#This Row],[نوع الشكوى]]="زيارة مباشرة",1,0)</f>
        <v>0</v>
      </c>
      <c r="I6" s="59">
        <f>IF(الجدول18[[#This Row],[نوع الشكوى]]="ملاحظة من قبل الموظف المسؤول",1,0)</f>
        <v>0</v>
      </c>
      <c r="J6" s="20">
        <f>IF(الجدول18[[#This Row],[حالة الشكوى]]="معالجة",1,0)</f>
        <v>0</v>
      </c>
      <c r="K6" s="20">
        <f>IF(الجدول18[[#This Row],[حالة الشكوى]]="محالة",1,0)</f>
        <v>0</v>
      </c>
      <c r="L6" s="20">
        <f>IF(الجدول18[[#This Row],[حالة الشكوى]]="عالقة",1,0)</f>
        <v>0</v>
      </c>
      <c r="M6" s="20">
        <f>IF(الجدول18[[#This Row],[فئة الطلب]]=$AI$7,1,0)</f>
        <v>0</v>
      </c>
      <c r="N6" s="20">
        <f>IF(الجدول18[[#This Row],[فئة الطلب]]=$AI$8,1,0)</f>
        <v>0</v>
      </c>
      <c r="O6" s="20">
        <f>IF(الجدول18[[#This Row],[فئة الطلب]]=$AI$9,1,0)</f>
        <v>0</v>
      </c>
      <c r="P6" s="20">
        <f>IF(الجدول18[[#This Row],[فئة الطلب]]=$AI$11,1,0)</f>
        <v>0</v>
      </c>
      <c r="Q6" s="20">
        <f>IF(الجدول18[[#This Row],[فئة الطلب]]=$AI$10,1,0)</f>
        <v>0</v>
      </c>
      <c r="R6" s="20">
        <f>IF(الجدول18[[#This Row],[حالة الشكوى]]=$AD$10,1,0)</f>
        <v>0</v>
      </c>
      <c r="S6" s="59">
        <f>IF(الجدول18[[#This Row],[Gender]]="m",1,0)</f>
        <v>0</v>
      </c>
      <c r="T6" s="59">
        <f>IF(الجدول18[[#This Row],[Gender]]="f",1,0)</f>
        <v>0</v>
      </c>
      <c r="AE6" s="1" t="s">
        <v>139</v>
      </c>
    </row>
    <row r="7" spans="1:35" ht="35.25" customHeight="1" x14ac:dyDescent="0.25">
      <c r="A7" s="255"/>
      <c r="B7" s="52"/>
      <c r="C7" s="256"/>
      <c r="D7" s="256"/>
      <c r="E7" s="257"/>
      <c r="F7" s="258"/>
      <c r="G7" s="60">
        <f>IF(الجدول18[[#This Row],[نوع الشكوى]]="هاتفية",1,0)</f>
        <v>0</v>
      </c>
      <c r="H7" s="60">
        <f>IF(الجدول18[[#This Row],[نوع الشكوى]]="زيارة مباشرة",1,0)</f>
        <v>0</v>
      </c>
      <c r="I7" s="60">
        <f>IF(الجدول18[[#This Row],[نوع الشكوى]]="ملاحظة من قبل الموظف المسؤول",1,0)</f>
        <v>0</v>
      </c>
      <c r="J7" s="20">
        <f>IF(الجدول18[[#This Row],[حالة الشكوى]]="معالجة",1,0)</f>
        <v>0</v>
      </c>
      <c r="K7" s="20">
        <f>IF(الجدول18[[#This Row],[حالة الشكوى]]="محالة",1,0)</f>
        <v>0</v>
      </c>
      <c r="L7" s="20">
        <f>IF(الجدول18[[#This Row],[حالة الشكوى]]="عالقة",1,0)</f>
        <v>0</v>
      </c>
      <c r="M7" s="20">
        <f>IF(الجدول18[[#This Row],[فئة الطلب]]=$AI$7,1,0)</f>
        <v>0</v>
      </c>
      <c r="N7" s="20">
        <f>IF(الجدول18[[#This Row],[فئة الطلب]]=$AI$8,1,0)</f>
        <v>0</v>
      </c>
      <c r="O7" s="20">
        <f>IF(الجدول18[[#This Row],[فئة الطلب]]=$AI$9,1,0)</f>
        <v>0</v>
      </c>
      <c r="P7" s="20">
        <f>IF(الجدول18[[#This Row],[فئة الطلب]]=$AI$11,1,0)</f>
        <v>0</v>
      </c>
      <c r="Q7" s="20">
        <f>IF(الجدول18[[#This Row],[فئة الطلب]]=$AI$10,1,0)</f>
        <v>0</v>
      </c>
      <c r="R7" s="20">
        <f>IF(الجدول18[[#This Row],[حالة الشكوى]]=$AD$10,1,0)</f>
        <v>0</v>
      </c>
      <c r="S7" s="60">
        <f>IF(الجدول18[[#This Row],[Gender]]="m",1,0)</f>
        <v>0</v>
      </c>
      <c r="T7" s="60">
        <f>IF(الجدول18[[#This Row],[Gender]]="f",1,0)</f>
        <v>0</v>
      </c>
      <c r="AD7" s="1" t="s">
        <v>141</v>
      </c>
      <c r="AE7" s="1" t="s">
        <v>37</v>
      </c>
      <c r="AG7" s="3" t="s">
        <v>52</v>
      </c>
      <c r="AI7" s="110" t="s">
        <v>142</v>
      </c>
    </row>
    <row r="8" spans="1:35" ht="35.25" customHeight="1" x14ac:dyDescent="0.25">
      <c r="A8" s="255"/>
      <c r="B8" s="52"/>
      <c r="C8" s="256"/>
      <c r="D8" s="256"/>
      <c r="E8" s="257"/>
      <c r="F8" s="258"/>
      <c r="G8" s="60">
        <f>IF(الجدول18[[#This Row],[نوع الشكوى]]="هاتفية",1,0)</f>
        <v>0</v>
      </c>
      <c r="H8" s="60">
        <f>IF(الجدول18[[#This Row],[نوع الشكوى]]="زيارة مباشرة",1,0)</f>
        <v>0</v>
      </c>
      <c r="I8" s="60">
        <f>IF(الجدول18[[#This Row],[نوع الشكوى]]="ملاحظة من قبل الموظف المسؤول",1,0)</f>
        <v>0</v>
      </c>
      <c r="J8" s="20">
        <f>IF(الجدول18[[#This Row],[حالة الشكوى]]="معالجة",1,0)</f>
        <v>0</v>
      </c>
      <c r="K8" s="20">
        <f>IF(الجدول18[[#This Row],[حالة الشكوى]]="محالة",1,0)</f>
        <v>0</v>
      </c>
      <c r="L8" s="20">
        <f>IF(الجدول18[[#This Row],[حالة الشكوى]]="عالقة",1,0)</f>
        <v>0</v>
      </c>
      <c r="M8" s="20">
        <f>IF(الجدول18[[#This Row],[فئة الطلب]]=$AI$7,1,0)</f>
        <v>0</v>
      </c>
      <c r="N8" s="20">
        <f>IF(الجدول18[[#This Row],[فئة الطلب]]=$AI$8,1,0)</f>
        <v>0</v>
      </c>
      <c r="O8" s="20">
        <f>IF(الجدول18[[#This Row],[فئة الطلب]]=$AI$9,1,0)</f>
        <v>0</v>
      </c>
      <c r="P8" s="20">
        <f>IF(الجدول18[[#This Row],[فئة الطلب]]=$AI$11,1,0)</f>
        <v>0</v>
      </c>
      <c r="Q8" s="20">
        <f>IF(الجدول18[[#This Row],[فئة الطلب]]=$AI$10,1,0)</f>
        <v>0</v>
      </c>
      <c r="R8" s="20">
        <f>IF(الجدول18[[#This Row],[حالة الشكوى]]=$AD$10,1,0)</f>
        <v>0</v>
      </c>
      <c r="S8" s="60">
        <f>IF(الجدول18[[#This Row],[Gender]]="m",1,0)</f>
        <v>0</v>
      </c>
      <c r="T8" s="60">
        <f>IF(الجدول18[[#This Row],[Gender]]="f",1,0)</f>
        <v>0</v>
      </c>
      <c r="AD8" s="1" t="s">
        <v>145</v>
      </c>
      <c r="AE8" s="1" t="s">
        <v>45</v>
      </c>
      <c r="AG8" s="3" t="s">
        <v>54</v>
      </c>
      <c r="AI8" s="110" t="s">
        <v>146</v>
      </c>
    </row>
    <row r="9" spans="1:35" ht="35.25" customHeight="1" x14ac:dyDescent="0.25">
      <c r="A9" s="255"/>
      <c r="B9" s="52"/>
      <c r="C9" s="256"/>
      <c r="D9" s="256"/>
      <c r="E9" s="257"/>
      <c r="F9" s="258"/>
      <c r="G9" s="60">
        <f>IF(الجدول18[[#This Row],[نوع الشكوى]]="هاتفية",1,0)</f>
        <v>0</v>
      </c>
      <c r="H9" s="60">
        <f>IF(الجدول18[[#This Row],[نوع الشكوى]]="زيارة مباشرة",1,0)</f>
        <v>0</v>
      </c>
      <c r="I9" s="60">
        <f>IF(الجدول18[[#This Row],[نوع الشكوى]]="ملاحظة من قبل الموظف المسؤول",1,0)</f>
        <v>0</v>
      </c>
      <c r="J9" s="20">
        <f>IF(الجدول18[[#This Row],[حالة الشكوى]]="معالجة",1,0)</f>
        <v>0</v>
      </c>
      <c r="K9" s="20">
        <f>IF(الجدول18[[#This Row],[حالة الشكوى]]="محالة",1,0)</f>
        <v>0</v>
      </c>
      <c r="L9" s="20">
        <f>IF(الجدول18[[#This Row],[حالة الشكوى]]="عالقة",1,0)</f>
        <v>0</v>
      </c>
      <c r="M9" s="20">
        <f>IF(الجدول18[[#This Row],[فئة الطلب]]=$AI$7,1,0)</f>
        <v>0</v>
      </c>
      <c r="N9" s="20">
        <f>IF(الجدول18[[#This Row],[فئة الطلب]]=$AI$8,1,0)</f>
        <v>0</v>
      </c>
      <c r="O9" s="20">
        <f>IF(الجدول18[[#This Row],[فئة الطلب]]=$AI$9,1,0)</f>
        <v>0</v>
      </c>
      <c r="P9" s="20">
        <f>IF(الجدول18[[#This Row],[فئة الطلب]]=$AI$11,1,0)</f>
        <v>0</v>
      </c>
      <c r="Q9" s="20">
        <f>IF(الجدول18[[#This Row],[فئة الطلب]]=$AI$10,1,0)</f>
        <v>0</v>
      </c>
      <c r="R9" s="20">
        <f>IF(الجدول18[[#This Row],[حالة الشكوى]]=$AD$10,1,0)</f>
        <v>0</v>
      </c>
      <c r="S9" s="60">
        <f>IF(الجدول18[[#This Row],[Gender]]="m",1,0)</f>
        <v>0</v>
      </c>
      <c r="T9" s="60">
        <f>IF(الجدول18[[#This Row],[Gender]]="f",1,0)</f>
        <v>0</v>
      </c>
      <c r="AD9" s="1" t="s">
        <v>138</v>
      </c>
      <c r="AE9" s="1" t="s">
        <v>68</v>
      </c>
      <c r="AG9" s="3" t="s">
        <v>55</v>
      </c>
      <c r="AI9" s="110" t="s">
        <v>136</v>
      </c>
    </row>
    <row r="10" spans="1:35" ht="35.25" customHeight="1" x14ac:dyDescent="0.25">
      <c r="A10" s="255"/>
      <c r="B10" s="52"/>
      <c r="C10" s="256"/>
      <c r="D10" s="256"/>
      <c r="E10" s="257"/>
      <c r="F10" s="258"/>
      <c r="G10" s="60">
        <f>IF(الجدول18[[#This Row],[نوع الشكوى]]="هاتفية",1,0)</f>
        <v>0</v>
      </c>
      <c r="H10" s="60">
        <f>IF(الجدول18[[#This Row],[نوع الشكوى]]="زيارة مباشرة",1,0)</f>
        <v>0</v>
      </c>
      <c r="I10" s="60">
        <f>IF(الجدول18[[#This Row],[نوع الشكوى]]="ملاحظة من قبل الموظف المسؤول",1,0)</f>
        <v>0</v>
      </c>
      <c r="J10" s="20">
        <f>IF(الجدول18[[#This Row],[حالة الشكوى]]="معالجة",1,0)</f>
        <v>0</v>
      </c>
      <c r="K10" s="20">
        <f>IF(الجدول18[[#This Row],[حالة الشكوى]]="محالة",1,0)</f>
        <v>0</v>
      </c>
      <c r="L10" s="20">
        <f>IF(الجدول18[[#This Row],[حالة الشكوى]]="عالقة",1,0)</f>
        <v>0</v>
      </c>
      <c r="M10" s="20">
        <f>IF(الجدول18[[#This Row],[فئة الطلب]]=$AI$7,1,0)</f>
        <v>0</v>
      </c>
      <c r="N10" s="20">
        <f>IF(الجدول18[[#This Row],[فئة الطلب]]=$AI$8,1,0)</f>
        <v>0</v>
      </c>
      <c r="O10" s="20">
        <f>IF(الجدول18[[#This Row],[فئة الطلب]]=$AI$9,1,0)</f>
        <v>0</v>
      </c>
      <c r="P10" s="20">
        <f>IF(الجدول18[[#This Row],[فئة الطلب]]=$AI$11,1,0)</f>
        <v>0</v>
      </c>
      <c r="Q10" s="20">
        <f>IF(الجدول18[[#This Row],[فئة الطلب]]=$AI$10,1,0)</f>
        <v>0</v>
      </c>
      <c r="R10" s="20">
        <f>IF(الجدول18[[#This Row],[حالة الشكوى]]=$AD$10,1,0)</f>
        <v>0</v>
      </c>
      <c r="S10" s="60">
        <f>IF(الجدول18[[#This Row],[Gender]]="m",1,0)</f>
        <v>0</v>
      </c>
      <c r="T10" s="60">
        <f>IF(الجدول18[[#This Row],[Gender]]="f",1,0)</f>
        <v>0</v>
      </c>
      <c r="AD10" s="1" t="s">
        <v>144</v>
      </c>
      <c r="AE10" s="1" t="s">
        <v>70</v>
      </c>
      <c r="AG10" s="3"/>
      <c r="AI10" s="110" t="s">
        <v>147</v>
      </c>
    </row>
    <row r="11" spans="1:35" ht="35.25" customHeight="1" x14ac:dyDescent="0.25">
      <c r="A11" s="255"/>
      <c r="B11" s="52"/>
      <c r="C11" s="256"/>
      <c r="D11" s="256"/>
      <c r="E11" s="257"/>
      <c r="F11" s="258"/>
      <c r="G11" s="60">
        <f>IF(الجدول18[[#This Row],[نوع الشكوى]]="هاتفية",1,0)</f>
        <v>0</v>
      </c>
      <c r="H11" s="60">
        <f>IF(الجدول18[[#This Row],[نوع الشكوى]]="زيارة مباشرة",1,0)</f>
        <v>0</v>
      </c>
      <c r="I11" s="60">
        <f>IF(الجدول18[[#This Row],[نوع الشكوى]]="ملاحظة من قبل الموظف المسؤول",1,0)</f>
        <v>0</v>
      </c>
      <c r="J11" s="20">
        <f>IF(الجدول18[[#This Row],[حالة الشكوى]]="معالجة",1,0)</f>
        <v>0</v>
      </c>
      <c r="K11" s="20">
        <f>IF(الجدول18[[#This Row],[حالة الشكوى]]="محالة",1,0)</f>
        <v>0</v>
      </c>
      <c r="L11" s="20">
        <f>IF(الجدول18[[#This Row],[حالة الشكوى]]="عالقة",1,0)</f>
        <v>0</v>
      </c>
      <c r="M11" s="20">
        <f>IF(الجدول18[[#This Row],[فئة الطلب]]=$AI$7,1,0)</f>
        <v>0</v>
      </c>
      <c r="N11" s="20">
        <f>IF(الجدول18[[#This Row],[فئة الطلب]]=$AI$8,1,0)</f>
        <v>0</v>
      </c>
      <c r="O11" s="20">
        <f>IF(الجدول18[[#This Row],[فئة الطلب]]=$AI$9,1,0)</f>
        <v>0</v>
      </c>
      <c r="P11" s="20">
        <f>IF(الجدول18[[#This Row],[فئة الطلب]]=$AI$11,1,0)</f>
        <v>0</v>
      </c>
      <c r="Q11" s="20">
        <f>IF(الجدول18[[#This Row],[فئة الطلب]]=$AI$10,1,0)</f>
        <v>0</v>
      </c>
      <c r="R11" s="20">
        <f>IF(الجدول18[[#This Row],[حالة الشكوى]]=$AD$10,1,0)</f>
        <v>0</v>
      </c>
      <c r="S11" s="60">
        <f>IF(الجدول18[[#This Row],[Gender]]="m",1,0)</f>
        <v>0</v>
      </c>
      <c r="T11" s="60">
        <f>IF(الجدول18[[#This Row],[Gender]]="f",1,0)</f>
        <v>0</v>
      </c>
      <c r="V11" s="151"/>
      <c r="AE11" s="1" t="s">
        <v>77</v>
      </c>
      <c r="AG11" s="3"/>
      <c r="AI11" s="110" t="s">
        <v>148</v>
      </c>
    </row>
    <row r="12" spans="1:35" ht="35.25" customHeight="1" x14ac:dyDescent="0.25">
      <c r="A12" s="255"/>
      <c r="B12" s="52"/>
      <c r="C12" s="256"/>
      <c r="D12" s="256"/>
      <c r="E12" s="257"/>
      <c r="F12" s="258"/>
      <c r="G12" s="60">
        <f>IF(الجدول18[[#This Row],[نوع الشكوى]]="هاتفية",1,0)</f>
        <v>0</v>
      </c>
      <c r="H12" s="60">
        <f>IF(الجدول18[[#This Row],[نوع الشكوى]]="زيارة مباشرة",1,0)</f>
        <v>0</v>
      </c>
      <c r="I12" s="60">
        <f>IF(الجدول18[[#This Row],[نوع الشكوى]]="ملاحظة من قبل الموظف المسؤول",1,0)</f>
        <v>0</v>
      </c>
      <c r="J12" s="20">
        <f>IF(الجدول18[[#This Row],[حالة الشكوى]]="معالجة",1,0)</f>
        <v>0</v>
      </c>
      <c r="K12" s="20">
        <f>IF(الجدول18[[#This Row],[حالة الشكوى]]="محالة",1,0)</f>
        <v>0</v>
      </c>
      <c r="L12" s="20">
        <f>IF(الجدول18[[#This Row],[حالة الشكوى]]="عالقة",1,0)</f>
        <v>0</v>
      </c>
      <c r="M12" s="20">
        <f>IF(الجدول18[[#This Row],[فئة الطلب]]=$AI$7,1,0)</f>
        <v>0</v>
      </c>
      <c r="N12" s="20">
        <f>IF(الجدول18[[#This Row],[فئة الطلب]]=$AI$8,1,0)</f>
        <v>0</v>
      </c>
      <c r="O12" s="20">
        <f>IF(الجدول18[[#This Row],[فئة الطلب]]=$AI$9,1,0)</f>
        <v>0</v>
      </c>
      <c r="P12" s="20">
        <f>IF(الجدول18[[#This Row],[فئة الطلب]]=$AI$11,1,0)</f>
        <v>0</v>
      </c>
      <c r="Q12" s="20">
        <f>IF(الجدول18[[#This Row],[فئة الطلب]]=$AI$10,1,0)</f>
        <v>0</v>
      </c>
      <c r="R12" s="20">
        <f>IF(الجدول18[[#This Row],[حالة الشكوى]]=$AD$10,1,0)</f>
        <v>0</v>
      </c>
      <c r="S12" s="60">
        <f>IF(الجدول18[[#This Row],[Gender]]="m",1,0)</f>
        <v>0</v>
      </c>
      <c r="T12" s="60">
        <f>IF(الجدول18[[#This Row],[Gender]]="f",1,0)</f>
        <v>0</v>
      </c>
      <c r="V12" s="151"/>
      <c r="AD12" s="1" t="s">
        <v>140</v>
      </c>
      <c r="AE12" s="1" t="s">
        <v>149</v>
      </c>
      <c r="AG12" s="3"/>
      <c r="AI12" s="3" t="s">
        <v>143</v>
      </c>
    </row>
    <row r="13" spans="1:35" ht="35.25" customHeight="1" x14ac:dyDescent="0.25">
      <c r="A13" s="255"/>
      <c r="B13" s="52"/>
      <c r="C13" s="256"/>
      <c r="D13" s="256"/>
      <c r="E13" s="257"/>
      <c r="F13" s="258"/>
      <c r="G13" s="60">
        <f>IF(الجدول18[[#This Row],[نوع الشكوى]]="هاتفية",1,0)</f>
        <v>0</v>
      </c>
      <c r="H13" s="60">
        <f>IF(الجدول18[[#This Row],[نوع الشكوى]]="زيارة مباشرة",1,0)</f>
        <v>0</v>
      </c>
      <c r="I13" s="60">
        <f>IF(الجدول18[[#This Row],[نوع الشكوى]]="ملاحظة من قبل الموظف المسؤول",1,0)</f>
        <v>0</v>
      </c>
      <c r="J13" s="20">
        <f>IF(الجدول18[[#This Row],[حالة الشكوى]]="معالجة",1,0)</f>
        <v>0</v>
      </c>
      <c r="K13" s="20">
        <f>IF(الجدول18[[#This Row],[حالة الشكوى]]="محالة",1,0)</f>
        <v>0</v>
      </c>
      <c r="L13" s="20">
        <f>IF(الجدول18[[#This Row],[حالة الشكوى]]="عالقة",1,0)</f>
        <v>0</v>
      </c>
      <c r="M13" s="20">
        <f>IF(الجدول18[[#This Row],[فئة الطلب]]=$AI$7,1,0)</f>
        <v>0</v>
      </c>
      <c r="N13" s="20">
        <f>IF(الجدول18[[#This Row],[فئة الطلب]]=$AI$8,1,0)</f>
        <v>0</v>
      </c>
      <c r="O13" s="20">
        <f>IF(الجدول18[[#This Row],[فئة الطلب]]=$AI$9,1,0)</f>
        <v>0</v>
      </c>
      <c r="P13" s="20">
        <f>IF(الجدول18[[#This Row],[فئة الطلب]]=$AI$11,1,0)</f>
        <v>0</v>
      </c>
      <c r="Q13" s="20">
        <f>IF(الجدول18[[#This Row],[فئة الطلب]]=$AI$10,1,0)</f>
        <v>0</v>
      </c>
      <c r="R13" s="20">
        <f>IF(الجدول18[[#This Row],[حالة الشكوى]]=$AD$10,1,0)</f>
        <v>0</v>
      </c>
      <c r="S13" s="60">
        <f>IF(الجدول18[[#This Row],[Gender]]="m",1,0)</f>
        <v>0</v>
      </c>
      <c r="T13" s="60">
        <f>IF(الجدول18[[#This Row],[Gender]]="f",1,0)</f>
        <v>0</v>
      </c>
      <c r="V13" s="151"/>
      <c r="AD13" s="1" t="s">
        <v>137</v>
      </c>
      <c r="AE13" s="1" t="s">
        <v>39</v>
      </c>
    </row>
    <row r="14" spans="1:35" ht="35.25" customHeight="1" x14ac:dyDescent="0.25">
      <c r="A14" s="255"/>
      <c r="B14" s="52"/>
      <c r="C14" s="256"/>
      <c r="D14" s="256"/>
      <c r="E14" s="257"/>
      <c r="F14" s="258"/>
      <c r="G14" s="60">
        <f>IF(الجدول18[[#This Row],[نوع الشكوى]]="هاتفية",1,0)</f>
        <v>0</v>
      </c>
      <c r="H14" s="60">
        <f>IF(الجدول18[[#This Row],[نوع الشكوى]]="زيارة مباشرة",1,0)</f>
        <v>0</v>
      </c>
      <c r="I14" s="60">
        <f>IF(الجدول18[[#This Row],[نوع الشكوى]]="ملاحظة من قبل الموظف المسؤول",1,0)</f>
        <v>0</v>
      </c>
      <c r="J14" s="20">
        <f>IF(الجدول18[[#This Row],[حالة الشكوى]]="معالجة",1,0)</f>
        <v>0</v>
      </c>
      <c r="K14" s="20">
        <f>IF(الجدول18[[#This Row],[حالة الشكوى]]="محالة",1,0)</f>
        <v>0</v>
      </c>
      <c r="L14" s="20">
        <f>IF(الجدول18[[#This Row],[حالة الشكوى]]="عالقة",1,0)</f>
        <v>0</v>
      </c>
      <c r="M14" s="20">
        <f>IF(الجدول18[[#This Row],[فئة الطلب]]=$AI$7,1,0)</f>
        <v>0</v>
      </c>
      <c r="N14" s="20">
        <f>IF(الجدول18[[#This Row],[فئة الطلب]]=$AI$8,1,0)</f>
        <v>0</v>
      </c>
      <c r="O14" s="20">
        <f>IF(الجدول18[[#This Row],[فئة الطلب]]=$AI$9,1,0)</f>
        <v>0</v>
      </c>
      <c r="P14" s="20">
        <f>IF(الجدول18[[#This Row],[فئة الطلب]]=$AI$11,1,0)</f>
        <v>0</v>
      </c>
      <c r="Q14" s="20">
        <f>IF(الجدول18[[#This Row],[فئة الطلب]]=$AI$10,1,0)</f>
        <v>0</v>
      </c>
      <c r="R14" s="20">
        <f>IF(الجدول18[[#This Row],[حالة الشكوى]]=$AD$10,1,0)</f>
        <v>0</v>
      </c>
      <c r="S14" s="60">
        <f>IF(الجدول18[[#This Row],[Gender]]="m",1,0)</f>
        <v>0</v>
      </c>
      <c r="T14" s="60">
        <f>IF(الجدول18[[#This Row],[Gender]]="f",1,0)</f>
        <v>0</v>
      </c>
      <c r="V14" s="151"/>
      <c r="AE14" s="1" t="s">
        <v>87</v>
      </c>
    </row>
    <row r="15" spans="1:35" ht="35.25" customHeight="1" x14ac:dyDescent="0.25">
      <c r="A15" s="255"/>
      <c r="B15" s="52"/>
      <c r="C15" s="256"/>
      <c r="D15" s="256"/>
      <c r="E15" s="257"/>
      <c r="F15" s="258"/>
      <c r="G15" s="60">
        <f>IF(الجدول18[[#This Row],[نوع الشكوى]]="هاتفية",1,0)</f>
        <v>0</v>
      </c>
      <c r="H15" s="60">
        <f>IF(الجدول18[[#This Row],[نوع الشكوى]]="زيارة مباشرة",1,0)</f>
        <v>0</v>
      </c>
      <c r="I15" s="60">
        <f>IF(الجدول18[[#This Row],[نوع الشكوى]]="ملاحظة من قبل الموظف المسؤول",1,0)</f>
        <v>0</v>
      </c>
      <c r="J15" s="20">
        <f>IF(الجدول18[[#This Row],[حالة الشكوى]]="معالجة",1,0)</f>
        <v>0</v>
      </c>
      <c r="K15" s="20">
        <f>IF(الجدول18[[#This Row],[حالة الشكوى]]="محالة",1,0)</f>
        <v>0</v>
      </c>
      <c r="L15" s="20">
        <f>IF(الجدول18[[#This Row],[حالة الشكوى]]="عالقة",1,0)</f>
        <v>0</v>
      </c>
      <c r="M15" s="20">
        <f>IF(الجدول18[[#This Row],[فئة الطلب]]=$AI$7,1,0)</f>
        <v>0</v>
      </c>
      <c r="N15" s="20">
        <f>IF(الجدول18[[#This Row],[فئة الطلب]]=$AI$8,1,0)</f>
        <v>0</v>
      </c>
      <c r="O15" s="20">
        <f>IF(الجدول18[[#This Row],[فئة الطلب]]=$AI$9,1,0)</f>
        <v>0</v>
      </c>
      <c r="P15" s="20">
        <f>IF(الجدول18[[#This Row],[فئة الطلب]]=$AI$11,1,0)</f>
        <v>0</v>
      </c>
      <c r="Q15" s="20">
        <f>IF(الجدول18[[#This Row],[فئة الطلب]]=$AI$10,1,0)</f>
        <v>0</v>
      </c>
      <c r="R15" s="20">
        <f>IF(الجدول18[[#This Row],[حالة الشكوى]]=$AD$10,1,0)</f>
        <v>0</v>
      </c>
      <c r="S15" s="60">
        <f>IF(الجدول18[[#This Row],[Gender]]="m",1,0)</f>
        <v>0</v>
      </c>
      <c r="T15" s="60">
        <f>IF(الجدول18[[#This Row],[Gender]]="f",1,0)</f>
        <v>0</v>
      </c>
      <c r="V15" s="151"/>
    </row>
    <row r="16" spans="1:35" ht="35.25" customHeight="1" x14ac:dyDescent="0.25">
      <c r="A16" s="255"/>
      <c r="B16" s="52"/>
      <c r="C16" s="256"/>
      <c r="D16" s="256"/>
      <c r="E16" s="257"/>
      <c r="F16" s="258"/>
      <c r="G16" s="60">
        <f>IF(الجدول18[[#This Row],[نوع الشكوى]]="هاتفية",1,0)</f>
        <v>0</v>
      </c>
      <c r="H16" s="60">
        <f>IF(الجدول18[[#This Row],[نوع الشكوى]]="زيارة مباشرة",1,0)</f>
        <v>0</v>
      </c>
      <c r="I16" s="60">
        <f>IF(الجدول18[[#This Row],[نوع الشكوى]]="ملاحظة من قبل الموظف المسؤول",1,0)</f>
        <v>0</v>
      </c>
      <c r="J16" s="20">
        <f>IF(الجدول18[[#This Row],[حالة الشكوى]]="معالجة",1,0)</f>
        <v>0</v>
      </c>
      <c r="K16" s="20">
        <f>IF(الجدول18[[#This Row],[حالة الشكوى]]="محالة",1,0)</f>
        <v>0</v>
      </c>
      <c r="L16" s="20">
        <f>IF(الجدول18[[#This Row],[حالة الشكوى]]="عالقة",1,0)</f>
        <v>0</v>
      </c>
      <c r="M16" s="20">
        <f>IF(الجدول18[[#This Row],[فئة الطلب]]=$AI$7,1,0)</f>
        <v>0</v>
      </c>
      <c r="N16" s="20">
        <f>IF(الجدول18[[#This Row],[فئة الطلب]]=$AI$8,1,0)</f>
        <v>0</v>
      </c>
      <c r="O16" s="20">
        <f>IF(الجدول18[[#This Row],[فئة الطلب]]=$AI$9,1,0)</f>
        <v>0</v>
      </c>
      <c r="P16" s="20">
        <f>IF(الجدول18[[#This Row],[فئة الطلب]]=$AI$11,1,0)</f>
        <v>0</v>
      </c>
      <c r="Q16" s="20">
        <f>IF(الجدول18[[#This Row],[فئة الطلب]]=$AI$10,1,0)</f>
        <v>0</v>
      </c>
      <c r="R16" s="20">
        <f>IF(الجدول18[[#This Row],[حالة الشكوى]]=$AD$10,1,0)</f>
        <v>0</v>
      </c>
      <c r="S16" s="60">
        <f>IF(الجدول18[[#This Row],[Gender]]="m",1,0)</f>
        <v>0</v>
      </c>
      <c r="T16" s="60">
        <f>IF(الجدول18[[#This Row],[Gender]]="f",1,0)</f>
        <v>0</v>
      </c>
    </row>
    <row r="17" spans="1:31" ht="35.25" customHeight="1" x14ac:dyDescent="0.25">
      <c r="A17" s="255"/>
      <c r="B17" s="52"/>
      <c r="C17" s="256"/>
      <c r="D17" s="256"/>
      <c r="E17" s="257"/>
      <c r="F17" s="258"/>
      <c r="G17" s="60">
        <f>IF(الجدول18[[#This Row],[نوع الشكوى]]="هاتفية",1,0)</f>
        <v>0</v>
      </c>
      <c r="H17" s="60">
        <f>IF(الجدول18[[#This Row],[نوع الشكوى]]="زيارة مباشرة",1,0)</f>
        <v>0</v>
      </c>
      <c r="I17" s="60">
        <f>IF(الجدول18[[#This Row],[نوع الشكوى]]="ملاحظة من قبل الموظف المسؤول",1,0)</f>
        <v>0</v>
      </c>
      <c r="J17" s="20">
        <f>IF(الجدول18[[#This Row],[حالة الشكوى]]="معالجة",1,0)</f>
        <v>0</v>
      </c>
      <c r="K17" s="20">
        <f>IF(الجدول18[[#This Row],[حالة الشكوى]]="محالة",1,0)</f>
        <v>0</v>
      </c>
      <c r="L17" s="20">
        <f>IF(الجدول18[[#This Row],[حالة الشكوى]]="عالقة",1,0)</f>
        <v>0</v>
      </c>
      <c r="M17" s="20">
        <f>IF(الجدول18[[#This Row],[فئة الطلب]]=$AI$7,1,0)</f>
        <v>0</v>
      </c>
      <c r="N17" s="20">
        <f>IF(الجدول18[[#This Row],[فئة الطلب]]=$AI$8,1,0)</f>
        <v>0</v>
      </c>
      <c r="O17" s="20">
        <f>IF(الجدول18[[#This Row],[فئة الطلب]]=$AI$9,1,0)</f>
        <v>0</v>
      </c>
      <c r="P17" s="20">
        <f>IF(الجدول18[[#This Row],[فئة الطلب]]=$AI$11,1,0)</f>
        <v>0</v>
      </c>
      <c r="Q17" s="20">
        <f>IF(الجدول18[[#This Row],[فئة الطلب]]=$AI$10,1,0)</f>
        <v>0</v>
      </c>
      <c r="R17" s="20">
        <f>IF(الجدول18[[#This Row],[حالة الشكوى]]=$AD$10,1,0)</f>
        <v>0</v>
      </c>
      <c r="S17" s="60">
        <f>IF(الجدول18[[#This Row],[Gender]]="m",1,0)</f>
        <v>0</v>
      </c>
      <c r="T17" s="60">
        <f>IF(الجدول18[[#This Row],[Gender]]="f",1,0)</f>
        <v>0</v>
      </c>
    </row>
    <row r="18" spans="1:31" ht="35.25" customHeight="1" x14ac:dyDescent="0.25">
      <c r="A18" s="255"/>
      <c r="B18" s="52"/>
      <c r="C18" s="256"/>
      <c r="D18" s="256"/>
      <c r="E18" s="257"/>
      <c r="F18" s="258"/>
      <c r="G18" s="60">
        <f>IF(الجدول18[[#This Row],[نوع الشكوى]]="هاتفية",1,0)</f>
        <v>0</v>
      </c>
      <c r="H18" s="60">
        <f>IF(الجدول18[[#This Row],[نوع الشكوى]]="زيارة مباشرة",1,0)</f>
        <v>0</v>
      </c>
      <c r="I18" s="60">
        <f>IF(الجدول18[[#This Row],[نوع الشكوى]]="ملاحظة من قبل الموظف المسؤول",1,0)</f>
        <v>0</v>
      </c>
      <c r="J18" s="20">
        <f>IF(الجدول18[[#This Row],[حالة الشكوى]]="معالجة",1,0)</f>
        <v>0</v>
      </c>
      <c r="K18" s="20">
        <f>IF(الجدول18[[#This Row],[حالة الشكوى]]="محالة",1,0)</f>
        <v>0</v>
      </c>
      <c r="L18" s="20">
        <f>IF(الجدول18[[#This Row],[حالة الشكوى]]="عالقة",1,0)</f>
        <v>0</v>
      </c>
      <c r="M18" s="20">
        <f>IF(الجدول18[[#This Row],[فئة الطلب]]=$AI$7,1,0)</f>
        <v>0</v>
      </c>
      <c r="N18" s="20">
        <f>IF(الجدول18[[#This Row],[فئة الطلب]]=$AI$8,1,0)</f>
        <v>0</v>
      </c>
      <c r="O18" s="20">
        <f>IF(الجدول18[[#This Row],[فئة الطلب]]=$AI$9,1,0)</f>
        <v>0</v>
      </c>
      <c r="P18" s="20">
        <f>IF(الجدول18[[#This Row],[فئة الطلب]]=$AI$11,1,0)</f>
        <v>0</v>
      </c>
      <c r="Q18" s="20">
        <f>IF(الجدول18[[#This Row],[فئة الطلب]]=$AI$10,1,0)</f>
        <v>0</v>
      </c>
      <c r="R18" s="20">
        <f>IF(الجدول18[[#This Row],[حالة الشكوى]]=$AD$10,1,0)</f>
        <v>0</v>
      </c>
      <c r="S18" s="60">
        <f>IF(الجدول18[[#This Row],[Gender]]="m",1,0)</f>
        <v>0</v>
      </c>
      <c r="T18" s="60">
        <f>IF(الجدول18[[#This Row],[Gender]]="f",1,0)</f>
        <v>0</v>
      </c>
    </row>
    <row r="19" spans="1:31" ht="35.25" customHeight="1" x14ac:dyDescent="0.25">
      <c r="A19" s="255"/>
      <c r="B19" s="52"/>
      <c r="C19" s="256"/>
      <c r="D19" s="256"/>
      <c r="E19" s="257"/>
      <c r="F19" s="258"/>
      <c r="G19" s="60">
        <f>IF(الجدول18[[#This Row],[نوع الشكوى]]="هاتفية",1,0)</f>
        <v>0</v>
      </c>
      <c r="H19" s="60">
        <f>IF(الجدول18[[#This Row],[نوع الشكوى]]="زيارة مباشرة",1,0)</f>
        <v>0</v>
      </c>
      <c r="I19" s="60">
        <f>IF(الجدول18[[#This Row],[نوع الشكوى]]="ملاحظة من قبل الموظف المسؤول",1,0)</f>
        <v>0</v>
      </c>
      <c r="J19" s="20">
        <f>IF(الجدول18[[#This Row],[حالة الشكوى]]="معالجة",1,0)</f>
        <v>0</v>
      </c>
      <c r="K19" s="20">
        <f>IF(الجدول18[[#This Row],[حالة الشكوى]]="محالة",1,0)</f>
        <v>0</v>
      </c>
      <c r="L19" s="20">
        <f>IF(الجدول18[[#This Row],[حالة الشكوى]]="عالقة",1,0)</f>
        <v>0</v>
      </c>
      <c r="M19" s="20">
        <f>IF(الجدول18[[#This Row],[فئة الطلب]]=$AI$7,1,0)</f>
        <v>0</v>
      </c>
      <c r="N19" s="20">
        <f>IF(الجدول18[[#This Row],[فئة الطلب]]=$AI$8,1,0)</f>
        <v>0</v>
      </c>
      <c r="O19" s="20">
        <f>IF(الجدول18[[#This Row],[فئة الطلب]]=$AI$9,1,0)</f>
        <v>0</v>
      </c>
      <c r="P19" s="20">
        <f>IF(الجدول18[[#This Row],[فئة الطلب]]=$AI$11,1,0)</f>
        <v>0</v>
      </c>
      <c r="Q19" s="20">
        <f>IF(الجدول18[[#This Row],[فئة الطلب]]=$AI$10,1,0)</f>
        <v>0</v>
      </c>
      <c r="R19" s="20">
        <f>IF(الجدول18[[#This Row],[حالة الشكوى]]=$AD$10,1,0)</f>
        <v>0</v>
      </c>
      <c r="S19" s="60">
        <f>IF(الجدول18[[#This Row],[Gender]]="m",1,0)</f>
        <v>0</v>
      </c>
      <c r="T19" s="60">
        <f>IF(الجدول18[[#This Row],[Gender]]="f",1,0)</f>
        <v>0</v>
      </c>
      <c r="AE19" s="1" t="s">
        <v>150</v>
      </c>
    </row>
    <row r="20" spans="1:31" ht="35.25" customHeight="1" x14ac:dyDescent="0.25">
      <c r="A20" s="255"/>
      <c r="B20" s="52"/>
      <c r="C20" s="256"/>
      <c r="D20" s="256"/>
      <c r="E20" s="257"/>
      <c r="F20" s="258"/>
      <c r="G20" s="60">
        <f>IF(الجدول18[[#This Row],[نوع الشكوى]]="هاتفية",1,0)</f>
        <v>0</v>
      </c>
      <c r="H20" s="60">
        <f>IF(الجدول18[[#This Row],[نوع الشكوى]]="زيارة مباشرة",1,0)</f>
        <v>0</v>
      </c>
      <c r="I20" s="60">
        <f>IF(الجدول18[[#This Row],[نوع الشكوى]]="ملاحظة من قبل الموظف المسؤول",1,0)</f>
        <v>0</v>
      </c>
      <c r="J20" s="20">
        <f>IF(الجدول18[[#This Row],[حالة الشكوى]]="معالجة",1,0)</f>
        <v>0</v>
      </c>
      <c r="K20" s="20">
        <f>IF(الجدول18[[#This Row],[حالة الشكوى]]="محالة",1,0)</f>
        <v>0</v>
      </c>
      <c r="L20" s="20">
        <f>IF(الجدول18[[#This Row],[حالة الشكوى]]="عالقة",1,0)</f>
        <v>0</v>
      </c>
      <c r="M20" s="20">
        <f>IF(الجدول18[[#This Row],[فئة الطلب]]=$AI$7,1,0)</f>
        <v>0</v>
      </c>
      <c r="N20" s="20">
        <f>IF(الجدول18[[#This Row],[فئة الطلب]]=$AI$8,1,0)</f>
        <v>0</v>
      </c>
      <c r="O20" s="20">
        <f>IF(الجدول18[[#This Row],[فئة الطلب]]=$AI$9,1,0)</f>
        <v>0</v>
      </c>
      <c r="P20" s="20">
        <f>IF(الجدول18[[#This Row],[فئة الطلب]]=$AI$11,1,0)</f>
        <v>0</v>
      </c>
      <c r="Q20" s="20">
        <f>IF(الجدول18[[#This Row],[فئة الطلب]]=$AI$10,1,0)</f>
        <v>0</v>
      </c>
      <c r="R20" s="20">
        <f>IF(الجدول18[[#This Row],[حالة الشكوى]]=$AD$10,1,0)</f>
        <v>0</v>
      </c>
      <c r="S20" s="60">
        <f>IF(الجدول18[[#This Row],[Gender]]="m",1,0)</f>
        <v>0</v>
      </c>
      <c r="T20" s="60">
        <f>IF(الجدول18[[#This Row],[Gender]]="f",1,0)</f>
        <v>0</v>
      </c>
      <c r="AE20" s="1" t="s">
        <v>151</v>
      </c>
    </row>
    <row r="21" spans="1:31" ht="35.25" customHeight="1" x14ac:dyDescent="0.25">
      <c r="A21" s="255"/>
      <c r="B21" s="52"/>
      <c r="C21" s="256"/>
      <c r="D21" s="256"/>
      <c r="E21" s="257"/>
      <c r="F21" s="258"/>
      <c r="G21" s="60">
        <f>IF(الجدول18[[#This Row],[نوع الشكوى]]="هاتفية",1,0)</f>
        <v>0</v>
      </c>
      <c r="H21" s="60">
        <f>IF(الجدول18[[#This Row],[نوع الشكوى]]="زيارة مباشرة",1,0)</f>
        <v>0</v>
      </c>
      <c r="I21" s="60">
        <f>IF(الجدول18[[#This Row],[نوع الشكوى]]="ملاحظة من قبل الموظف المسؤول",1,0)</f>
        <v>0</v>
      </c>
      <c r="J21" s="20">
        <f>IF(الجدول18[[#This Row],[حالة الشكوى]]="معالجة",1,0)</f>
        <v>0</v>
      </c>
      <c r="K21" s="20">
        <f>IF(الجدول18[[#This Row],[حالة الشكوى]]="محالة",1,0)</f>
        <v>0</v>
      </c>
      <c r="L21" s="20">
        <f>IF(الجدول18[[#This Row],[حالة الشكوى]]="عالقة",1,0)</f>
        <v>0</v>
      </c>
      <c r="M21" s="20">
        <f>IF(الجدول18[[#This Row],[فئة الطلب]]=$AI$7,1,0)</f>
        <v>0</v>
      </c>
      <c r="N21" s="20">
        <f>IF(الجدول18[[#This Row],[فئة الطلب]]=$AI$8,1,0)</f>
        <v>0</v>
      </c>
      <c r="O21" s="20">
        <f>IF(الجدول18[[#This Row],[فئة الطلب]]=$AI$9,1,0)</f>
        <v>0</v>
      </c>
      <c r="P21" s="20">
        <f>IF(الجدول18[[#This Row],[فئة الطلب]]=$AI$11,1,0)</f>
        <v>0</v>
      </c>
      <c r="Q21" s="20">
        <f>IF(الجدول18[[#This Row],[فئة الطلب]]=$AI$10,1,0)</f>
        <v>0</v>
      </c>
      <c r="R21" s="20">
        <f>IF(الجدول18[[#This Row],[حالة الشكوى]]=$AD$10,1,0)</f>
        <v>0</v>
      </c>
      <c r="S21" s="60">
        <f>IF(الجدول18[[#This Row],[Gender]]="m",1,0)</f>
        <v>0</v>
      </c>
      <c r="T21" s="60">
        <f>IF(الجدول18[[#This Row],[Gender]]="f",1,0)</f>
        <v>0</v>
      </c>
    </row>
    <row r="22" spans="1:31" ht="35.25" customHeight="1" x14ac:dyDescent="0.25">
      <c r="A22" s="255"/>
      <c r="B22" s="52"/>
      <c r="C22" s="256"/>
      <c r="D22" s="256"/>
      <c r="E22" s="257"/>
      <c r="F22" s="258"/>
      <c r="G22" s="60">
        <f>IF(الجدول18[[#This Row],[نوع الشكوى]]="هاتفية",1,0)</f>
        <v>0</v>
      </c>
      <c r="H22" s="60">
        <f>IF(الجدول18[[#This Row],[نوع الشكوى]]="زيارة مباشرة",1,0)</f>
        <v>0</v>
      </c>
      <c r="I22" s="60">
        <f>IF(الجدول18[[#This Row],[نوع الشكوى]]="ملاحظة من قبل الموظف المسؤول",1,0)</f>
        <v>0</v>
      </c>
      <c r="J22" s="20">
        <f>IF(الجدول18[[#This Row],[حالة الشكوى]]="معالجة",1,0)</f>
        <v>0</v>
      </c>
      <c r="K22" s="20">
        <f>IF(الجدول18[[#This Row],[حالة الشكوى]]="محالة",1,0)</f>
        <v>0</v>
      </c>
      <c r="L22" s="20">
        <f>IF(الجدول18[[#This Row],[حالة الشكوى]]="عالقة",1,0)</f>
        <v>0</v>
      </c>
      <c r="M22" s="20">
        <f>IF(الجدول18[[#This Row],[فئة الطلب]]=$AI$7,1,0)</f>
        <v>0</v>
      </c>
      <c r="N22" s="20">
        <f>IF(الجدول18[[#This Row],[فئة الطلب]]=$AI$8,1,0)</f>
        <v>0</v>
      </c>
      <c r="O22" s="20">
        <f>IF(الجدول18[[#This Row],[فئة الطلب]]=$AI$9,1,0)</f>
        <v>0</v>
      </c>
      <c r="P22" s="20">
        <f>IF(الجدول18[[#This Row],[فئة الطلب]]=$AI$11,1,0)</f>
        <v>0</v>
      </c>
      <c r="Q22" s="20">
        <f>IF(الجدول18[[#This Row],[فئة الطلب]]=$AI$10,1,0)</f>
        <v>0</v>
      </c>
      <c r="R22" s="20">
        <f>IF(الجدول18[[#This Row],[حالة الشكوى]]=$AD$10,1,0)</f>
        <v>0</v>
      </c>
      <c r="S22" s="60">
        <f>IF(الجدول18[[#This Row],[Gender]]="m",1,0)</f>
        <v>0</v>
      </c>
      <c r="T22" s="60">
        <f>IF(الجدول18[[#This Row],[Gender]]="f",1,0)</f>
        <v>0</v>
      </c>
    </row>
    <row r="23" spans="1:31" ht="35.25" customHeight="1" x14ac:dyDescent="0.25">
      <c r="A23" s="255"/>
      <c r="B23" s="52"/>
      <c r="C23" s="256"/>
      <c r="D23" s="256"/>
      <c r="E23" s="257"/>
      <c r="F23" s="258"/>
      <c r="G23" s="60">
        <f>IF(الجدول18[[#This Row],[نوع الشكوى]]="هاتفية",1,0)</f>
        <v>0</v>
      </c>
      <c r="H23" s="60">
        <f>IF(الجدول18[[#This Row],[نوع الشكوى]]="زيارة مباشرة",1,0)</f>
        <v>0</v>
      </c>
      <c r="I23" s="60">
        <f>IF(الجدول18[[#This Row],[نوع الشكوى]]="ملاحظة من قبل الموظف المسؤول",1,0)</f>
        <v>0</v>
      </c>
      <c r="J23" s="20">
        <f>IF(الجدول18[[#This Row],[حالة الشكوى]]="معالجة",1,0)</f>
        <v>0</v>
      </c>
      <c r="K23" s="20">
        <f>IF(الجدول18[[#This Row],[حالة الشكوى]]="محالة",1,0)</f>
        <v>0</v>
      </c>
      <c r="L23" s="20">
        <f>IF(الجدول18[[#This Row],[حالة الشكوى]]="عالقة",1,0)</f>
        <v>0</v>
      </c>
      <c r="M23" s="20">
        <f>IF(الجدول18[[#This Row],[فئة الطلب]]=$AI$7,1,0)</f>
        <v>0</v>
      </c>
      <c r="N23" s="20">
        <f>IF(الجدول18[[#This Row],[فئة الطلب]]=$AI$8,1,0)</f>
        <v>0</v>
      </c>
      <c r="O23" s="20">
        <f>IF(الجدول18[[#This Row],[فئة الطلب]]=$AI$9,1,0)</f>
        <v>0</v>
      </c>
      <c r="P23" s="20">
        <f>IF(الجدول18[[#This Row],[فئة الطلب]]=$AI$11,1,0)</f>
        <v>0</v>
      </c>
      <c r="Q23" s="20">
        <f>IF(الجدول18[[#This Row],[فئة الطلب]]=$AI$10,1,0)</f>
        <v>0</v>
      </c>
      <c r="R23" s="20">
        <f>IF(الجدول18[[#This Row],[حالة الشكوى]]=$AD$10,1,0)</f>
        <v>0</v>
      </c>
      <c r="S23" s="60">
        <f>IF(الجدول18[[#This Row],[Gender]]="m",1,0)</f>
        <v>0</v>
      </c>
      <c r="T23" s="60">
        <f>IF(الجدول18[[#This Row],[Gender]]="f",1,0)</f>
        <v>0</v>
      </c>
    </row>
    <row r="24" spans="1:31" ht="35.25" customHeight="1" x14ac:dyDescent="0.25">
      <c r="A24" s="255"/>
      <c r="B24" s="52"/>
      <c r="C24" s="256"/>
      <c r="D24" s="256"/>
      <c r="E24" s="257"/>
      <c r="F24" s="258"/>
      <c r="G24" s="60">
        <f>IF(الجدول18[[#This Row],[نوع الشكوى]]="هاتفية",1,0)</f>
        <v>0</v>
      </c>
      <c r="H24" s="60">
        <f>IF(الجدول18[[#This Row],[نوع الشكوى]]="زيارة مباشرة",1,0)</f>
        <v>0</v>
      </c>
      <c r="I24" s="60">
        <f>IF(الجدول18[[#This Row],[نوع الشكوى]]="ملاحظة من قبل الموظف المسؤول",1,0)</f>
        <v>0</v>
      </c>
      <c r="J24" s="20">
        <f>IF(الجدول18[[#This Row],[حالة الشكوى]]="معالجة",1,0)</f>
        <v>0</v>
      </c>
      <c r="K24" s="20">
        <f>IF(الجدول18[[#This Row],[حالة الشكوى]]="محالة",1,0)</f>
        <v>0</v>
      </c>
      <c r="L24" s="20">
        <f>IF(الجدول18[[#This Row],[حالة الشكوى]]="عالقة",1,0)</f>
        <v>0</v>
      </c>
      <c r="M24" s="20">
        <f>IF(الجدول18[[#This Row],[فئة الطلب]]=$AI$7,1,0)</f>
        <v>0</v>
      </c>
      <c r="N24" s="20">
        <f>IF(الجدول18[[#This Row],[فئة الطلب]]=$AI$8,1,0)</f>
        <v>0</v>
      </c>
      <c r="O24" s="20">
        <f>IF(الجدول18[[#This Row],[فئة الطلب]]=$AI$9,1,0)</f>
        <v>0</v>
      </c>
      <c r="P24" s="20">
        <f>IF(الجدول18[[#This Row],[فئة الطلب]]=$AI$11,1,0)</f>
        <v>0</v>
      </c>
      <c r="Q24" s="20">
        <f>IF(الجدول18[[#This Row],[فئة الطلب]]=$AI$10,1,0)</f>
        <v>0</v>
      </c>
      <c r="R24" s="20">
        <f>IF(الجدول18[[#This Row],[حالة الشكوى]]=$AD$10,1,0)</f>
        <v>0</v>
      </c>
      <c r="S24" s="60">
        <f>IF(الجدول18[[#This Row],[Gender]]="m",1,0)</f>
        <v>0</v>
      </c>
      <c r="T24" s="60">
        <f>IF(الجدول18[[#This Row],[Gender]]="f",1,0)</f>
        <v>0</v>
      </c>
    </row>
    <row r="25" spans="1:31" ht="35.25" customHeight="1" x14ac:dyDescent="0.25">
      <c r="A25" s="255"/>
      <c r="B25" s="52"/>
      <c r="C25" s="256"/>
      <c r="D25" s="256"/>
      <c r="E25" s="257"/>
      <c r="F25" s="258"/>
      <c r="G25" s="60">
        <f>IF(الجدول18[[#This Row],[نوع الشكوى]]="هاتفية",1,0)</f>
        <v>0</v>
      </c>
      <c r="H25" s="60">
        <f>IF(الجدول18[[#This Row],[نوع الشكوى]]="زيارة مباشرة",1,0)</f>
        <v>0</v>
      </c>
      <c r="I25" s="60">
        <f>IF(الجدول18[[#This Row],[نوع الشكوى]]="ملاحظة من قبل الموظف المسؤول",1,0)</f>
        <v>0</v>
      </c>
      <c r="J25" s="20">
        <f>IF(الجدول18[[#This Row],[حالة الشكوى]]="معالجة",1,0)</f>
        <v>0</v>
      </c>
      <c r="K25" s="20">
        <f>IF(الجدول18[[#This Row],[حالة الشكوى]]="محالة",1,0)</f>
        <v>0</v>
      </c>
      <c r="L25" s="20">
        <f>IF(الجدول18[[#This Row],[حالة الشكوى]]="عالقة",1,0)</f>
        <v>0</v>
      </c>
      <c r="M25" s="20">
        <f>IF(الجدول18[[#This Row],[فئة الطلب]]=$AI$7,1,0)</f>
        <v>0</v>
      </c>
      <c r="N25" s="20">
        <f>IF(الجدول18[[#This Row],[فئة الطلب]]=$AI$8,1,0)</f>
        <v>0</v>
      </c>
      <c r="O25" s="20">
        <f>IF(الجدول18[[#This Row],[فئة الطلب]]=$AI$9,1,0)</f>
        <v>0</v>
      </c>
      <c r="P25" s="20">
        <f>IF(الجدول18[[#This Row],[فئة الطلب]]=$AI$11,1,0)</f>
        <v>0</v>
      </c>
      <c r="Q25" s="20">
        <f>IF(الجدول18[[#This Row],[فئة الطلب]]=$AI$10,1,0)</f>
        <v>0</v>
      </c>
      <c r="R25" s="20">
        <f>IF(الجدول18[[#This Row],[حالة الشكوى]]=$AD$10,1,0)</f>
        <v>0</v>
      </c>
      <c r="S25" s="60">
        <f>IF(الجدول18[[#This Row],[Gender]]="m",1,0)</f>
        <v>0</v>
      </c>
      <c r="T25" s="60">
        <f>IF(الجدول18[[#This Row],[Gender]]="f",1,0)</f>
        <v>0</v>
      </c>
    </row>
    <row r="26" spans="1:31" ht="35.25" customHeight="1" x14ac:dyDescent="0.25">
      <c r="A26" s="255"/>
      <c r="B26" s="52"/>
      <c r="C26" s="256"/>
      <c r="D26" s="256"/>
      <c r="E26" s="257"/>
      <c r="F26" s="258"/>
      <c r="G26" s="60">
        <f>IF(الجدول18[[#This Row],[نوع الشكوى]]="هاتفية",1,0)</f>
        <v>0</v>
      </c>
      <c r="H26" s="60">
        <f>IF(الجدول18[[#This Row],[نوع الشكوى]]="زيارة مباشرة",1,0)</f>
        <v>0</v>
      </c>
      <c r="I26" s="60">
        <f>IF(الجدول18[[#This Row],[نوع الشكوى]]="ملاحظة من قبل الموظف المسؤول",1,0)</f>
        <v>0</v>
      </c>
      <c r="J26" s="20">
        <f>IF(الجدول18[[#This Row],[حالة الشكوى]]="معالجة",1,0)</f>
        <v>0</v>
      </c>
      <c r="K26" s="20">
        <f>IF(الجدول18[[#This Row],[حالة الشكوى]]="محالة",1,0)</f>
        <v>0</v>
      </c>
      <c r="L26" s="20">
        <f>IF(الجدول18[[#This Row],[حالة الشكوى]]="عالقة",1,0)</f>
        <v>0</v>
      </c>
      <c r="M26" s="20">
        <f>IF(الجدول18[[#This Row],[فئة الطلب]]=$AI$7,1,0)</f>
        <v>0</v>
      </c>
      <c r="N26" s="20">
        <f>IF(الجدول18[[#This Row],[فئة الطلب]]=$AI$8,1,0)</f>
        <v>0</v>
      </c>
      <c r="O26" s="20">
        <f>IF(الجدول18[[#This Row],[فئة الطلب]]=$AI$9,1,0)</f>
        <v>0</v>
      </c>
      <c r="P26" s="20">
        <f>IF(الجدول18[[#This Row],[فئة الطلب]]=$AI$11,1,0)</f>
        <v>0</v>
      </c>
      <c r="Q26" s="20">
        <f>IF(الجدول18[[#This Row],[فئة الطلب]]=$AI$10,1,0)</f>
        <v>0</v>
      </c>
      <c r="R26" s="20">
        <f>IF(الجدول18[[#This Row],[حالة الشكوى]]=$AD$10,1,0)</f>
        <v>0</v>
      </c>
      <c r="S26" s="60">
        <f>IF(الجدول18[[#This Row],[Gender]]="m",1,0)</f>
        <v>0</v>
      </c>
      <c r="T26" s="60">
        <f>IF(الجدول18[[#This Row],[Gender]]="f",1,0)</f>
        <v>0</v>
      </c>
    </row>
    <row r="27" spans="1:31" ht="35.25" customHeight="1" x14ac:dyDescent="0.25">
      <c r="A27" s="255"/>
      <c r="B27" s="52"/>
      <c r="C27" s="256"/>
      <c r="D27" s="256"/>
      <c r="E27" s="257"/>
      <c r="F27" s="258"/>
      <c r="G27" s="60">
        <f>IF(الجدول18[[#This Row],[نوع الشكوى]]="هاتفية",1,0)</f>
        <v>0</v>
      </c>
      <c r="H27" s="60">
        <f>IF(الجدول18[[#This Row],[نوع الشكوى]]="زيارة مباشرة",1,0)</f>
        <v>0</v>
      </c>
      <c r="I27" s="60">
        <f>IF(الجدول18[[#This Row],[نوع الشكوى]]="ملاحظة من قبل الموظف المسؤول",1,0)</f>
        <v>0</v>
      </c>
      <c r="J27" s="20">
        <f>IF(الجدول18[[#This Row],[حالة الشكوى]]="معالجة",1,0)</f>
        <v>0</v>
      </c>
      <c r="K27" s="20">
        <f>IF(الجدول18[[#This Row],[حالة الشكوى]]="محالة",1,0)</f>
        <v>0</v>
      </c>
      <c r="L27" s="20">
        <f>IF(الجدول18[[#This Row],[حالة الشكوى]]="عالقة",1,0)</f>
        <v>0</v>
      </c>
      <c r="M27" s="20">
        <f>IF(الجدول18[[#This Row],[فئة الطلب]]=$AI$7,1,0)</f>
        <v>0</v>
      </c>
      <c r="N27" s="20">
        <f>IF(الجدول18[[#This Row],[فئة الطلب]]=$AI$8,1,0)</f>
        <v>0</v>
      </c>
      <c r="O27" s="20">
        <f>IF(الجدول18[[#This Row],[فئة الطلب]]=$AI$9,1,0)</f>
        <v>0</v>
      </c>
      <c r="P27" s="20">
        <f>IF(الجدول18[[#This Row],[فئة الطلب]]=$AI$11,1,0)</f>
        <v>0</v>
      </c>
      <c r="Q27" s="20">
        <f>IF(الجدول18[[#This Row],[فئة الطلب]]=$AI$10,1,0)</f>
        <v>0</v>
      </c>
      <c r="R27" s="20">
        <f>IF(الجدول18[[#This Row],[حالة الشكوى]]=$AD$10,1,0)</f>
        <v>0</v>
      </c>
      <c r="S27" s="60">
        <f>IF(الجدول18[[#This Row],[Gender]]="m",1,0)</f>
        <v>0</v>
      </c>
      <c r="T27" s="60">
        <f>IF(الجدول18[[#This Row],[Gender]]="f",1,0)</f>
        <v>0</v>
      </c>
    </row>
    <row r="28" spans="1:31" ht="35.25" customHeight="1" x14ac:dyDescent="0.25">
      <c r="A28" s="255"/>
      <c r="B28" s="52"/>
      <c r="C28" s="256"/>
      <c r="D28" s="256"/>
      <c r="E28" s="257"/>
      <c r="F28" s="258"/>
      <c r="G28" s="60">
        <f>IF(الجدول18[[#This Row],[نوع الشكوى]]="هاتفية",1,0)</f>
        <v>0</v>
      </c>
      <c r="H28" s="60">
        <f>IF(الجدول18[[#This Row],[نوع الشكوى]]="زيارة مباشرة",1,0)</f>
        <v>0</v>
      </c>
      <c r="I28" s="60">
        <f>IF(الجدول18[[#This Row],[نوع الشكوى]]="ملاحظة من قبل الموظف المسؤول",1,0)</f>
        <v>0</v>
      </c>
      <c r="J28" s="20">
        <f>IF(الجدول18[[#This Row],[حالة الشكوى]]="معالجة",1,0)</f>
        <v>0</v>
      </c>
      <c r="K28" s="20">
        <f>IF(الجدول18[[#This Row],[حالة الشكوى]]="محالة",1,0)</f>
        <v>0</v>
      </c>
      <c r="L28" s="20">
        <f>IF(الجدول18[[#This Row],[حالة الشكوى]]="عالقة",1,0)</f>
        <v>0</v>
      </c>
      <c r="M28" s="20">
        <f>IF(الجدول18[[#This Row],[فئة الطلب]]=$AI$7,1,0)</f>
        <v>0</v>
      </c>
      <c r="N28" s="20">
        <f>IF(الجدول18[[#This Row],[فئة الطلب]]=$AI$8,1,0)</f>
        <v>0</v>
      </c>
      <c r="O28" s="20">
        <f>IF(الجدول18[[#This Row],[فئة الطلب]]=$AI$9,1,0)</f>
        <v>0</v>
      </c>
      <c r="P28" s="20">
        <f>IF(الجدول18[[#This Row],[فئة الطلب]]=$AI$11,1,0)</f>
        <v>0</v>
      </c>
      <c r="Q28" s="20">
        <f>IF(الجدول18[[#This Row],[فئة الطلب]]=$AI$10,1,0)</f>
        <v>0</v>
      </c>
      <c r="R28" s="20">
        <f>IF(الجدول18[[#This Row],[حالة الشكوى]]=$AD$10,1,0)</f>
        <v>0</v>
      </c>
      <c r="S28" s="60">
        <f>IF(الجدول18[[#This Row],[Gender]]="m",1,0)</f>
        <v>0</v>
      </c>
      <c r="T28" s="60">
        <f>IF(الجدول18[[#This Row],[Gender]]="f",1,0)</f>
        <v>0</v>
      </c>
    </row>
    <row r="29" spans="1:31" ht="35.25" customHeight="1" x14ac:dyDescent="0.25">
      <c r="A29" s="255"/>
      <c r="B29" s="52"/>
      <c r="C29" s="256"/>
      <c r="D29" s="256"/>
      <c r="E29" s="257"/>
      <c r="F29" s="258"/>
      <c r="G29" s="60">
        <f>IF(الجدول18[[#This Row],[نوع الشكوى]]="هاتفية",1,0)</f>
        <v>0</v>
      </c>
      <c r="H29" s="60">
        <f>IF(الجدول18[[#This Row],[نوع الشكوى]]="زيارة مباشرة",1,0)</f>
        <v>0</v>
      </c>
      <c r="I29" s="60">
        <f>IF(الجدول18[[#This Row],[نوع الشكوى]]="ملاحظة من قبل الموظف المسؤول",1,0)</f>
        <v>0</v>
      </c>
      <c r="J29" s="20">
        <f>IF(الجدول18[[#This Row],[حالة الشكوى]]="معالجة",1,0)</f>
        <v>0</v>
      </c>
      <c r="K29" s="20">
        <f>IF(الجدول18[[#This Row],[حالة الشكوى]]="محالة",1,0)</f>
        <v>0</v>
      </c>
      <c r="L29" s="20">
        <f>IF(الجدول18[[#This Row],[حالة الشكوى]]="عالقة",1,0)</f>
        <v>0</v>
      </c>
      <c r="M29" s="20">
        <f>IF(الجدول18[[#This Row],[فئة الطلب]]=$AI$7,1,0)</f>
        <v>0</v>
      </c>
      <c r="N29" s="20">
        <f>IF(الجدول18[[#This Row],[فئة الطلب]]=$AI$8,1,0)</f>
        <v>0</v>
      </c>
      <c r="O29" s="20">
        <f>IF(الجدول18[[#This Row],[فئة الطلب]]=$AI$9,1,0)</f>
        <v>0</v>
      </c>
      <c r="P29" s="20">
        <f>IF(الجدول18[[#This Row],[فئة الطلب]]=$AI$11,1,0)</f>
        <v>0</v>
      </c>
      <c r="Q29" s="20">
        <f>IF(الجدول18[[#This Row],[فئة الطلب]]=$AI$10,1,0)</f>
        <v>0</v>
      </c>
      <c r="R29" s="20">
        <f>IF(الجدول18[[#This Row],[حالة الشكوى]]=$AD$10,1,0)</f>
        <v>0</v>
      </c>
      <c r="S29" s="60">
        <f>IF(الجدول18[[#This Row],[Gender]]="m",1,0)</f>
        <v>0</v>
      </c>
      <c r="T29" s="60">
        <f>IF(الجدول18[[#This Row],[Gender]]="f",1,0)</f>
        <v>0</v>
      </c>
    </row>
    <row r="30" spans="1:31" ht="35.25" customHeight="1" x14ac:dyDescent="0.25">
      <c r="A30" s="255"/>
      <c r="B30" s="52"/>
      <c r="C30" s="256"/>
      <c r="D30" s="256"/>
      <c r="E30" s="257"/>
      <c r="F30" s="258"/>
      <c r="G30" s="60">
        <f>IF(الجدول18[[#This Row],[نوع الشكوى]]="هاتفية",1,0)</f>
        <v>0</v>
      </c>
      <c r="H30" s="60">
        <f>IF(الجدول18[[#This Row],[نوع الشكوى]]="زيارة مباشرة",1,0)</f>
        <v>0</v>
      </c>
      <c r="I30" s="60">
        <f>IF(الجدول18[[#This Row],[نوع الشكوى]]="ملاحظة من قبل الموظف المسؤول",1,0)</f>
        <v>0</v>
      </c>
      <c r="J30" s="20">
        <f>IF(الجدول18[[#This Row],[حالة الشكوى]]="معالجة",1,0)</f>
        <v>0</v>
      </c>
      <c r="K30" s="20">
        <f>IF(الجدول18[[#This Row],[حالة الشكوى]]="محالة",1,0)</f>
        <v>0</v>
      </c>
      <c r="L30" s="20">
        <f>IF(الجدول18[[#This Row],[حالة الشكوى]]="عالقة",1,0)</f>
        <v>0</v>
      </c>
      <c r="M30" s="20">
        <f>IF(الجدول18[[#This Row],[فئة الطلب]]=$AI$7,1,0)</f>
        <v>0</v>
      </c>
      <c r="N30" s="20">
        <f>IF(الجدول18[[#This Row],[فئة الطلب]]=$AI$8,1,0)</f>
        <v>0</v>
      </c>
      <c r="O30" s="20">
        <f>IF(الجدول18[[#This Row],[فئة الطلب]]=$AI$9,1,0)</f>
        <v>0</v>
      </c>
      <c r="P30" s="20">
        <f>IF(الجدول18[[#This Row],[فئة الطلب]]=$AI$11,1,0)</f>
        <v>0</v>
      </c>
      <c r="Q30" s="20">
        <f>IF(الجدول18[[#This Row],[فئة الطلب]]=$AI$10,1,0)</f>
        <v>0</v>
      </c>
      <c r="R30" s="20">
        <f>IF(الجدول18[[#This Row],[حالة الشكوى]]=$AD$10,1,0)</f>
        <v>0</v>
      </c>
      <c r="S30" s="60">
        <f>IF(الجدول18[[#This Row],[Gender]]="m",1,0)</f>
        <v>0</v>
      </c>
      <c r="T30" s="60">
        <f>IF(الجدول18[[#This Row],[Gender]]="f",1,0)</f>
        <v>0</v>
      </c>
    </row>
    <row r="31" spans="1:31" ht="35.25" customHeight="1" x14ac:dyDescent="0.25">
      <c r="A31" s="255"/>
      <c r="B31" s="52"/>
      <c r="C31" s="256"/>
      <c r="D31" s="256"/>
      <c r="E31" s="257"/>
      <c r="F31" s="258"/>
      <c r="G31" s="60">
        <f>IF(الجدول18[[#This Row],[نوع الشكوى]]="هاتفية",1,0)</f>
        <v>0</v>
      </c>
      <c r="H31" s="60">
        <f>IF(الجدول18[[#This Row],[نوع الشكوى]]="زيارة مباشرة",1,0)</f>
        <v>0</v>
      </c>
      <c r="I31" s="60">
        <f>IF(الجدول18[[#This Row],[نوع الشكوى]]="ملاحظة من قبل الموظف المسؤول",1,0)</f>
        <v>0</v>
      </c>
      <c r="J31" s="20">
        <f>IF(الجدول18[[#This Row],[حالة الشكوى]]="معالجة",1,0)</f>
        <v>0</v>
      </c>
      <c r="K31" s="20">
        <f>IF(الجدول18[[#This Row],[حالة الشكوى]]="محالة",1,0)</f>
        <v>0</v>
      </c>
      <c r="L31" s="20">
        <f>IF(الجدول18[[#This Row],[حالة الشكوى]]="عالقة",1,0)</f>
        <v>0</v>
      </c>
      <c r="M31" s="20">
        <f>IF(الجدول18[[#This Row],[فئة الطلب]]=$AI$7,1,0)</f>
        <v>0</v>
      </c>
      <c r="N31" s="20">
        <f>IF(الجدول18[[#This Row],[فئة الطلب]]=$AI$8,1,0)</f>
        <v>0</v>
      </c>
      <c r="O31" s="20">
        <f>IF(الجدول18[[#This Row],[فئة الطلب]]=$AI$9,1,0)</f>
        <v>0</v>
      </c>
      <c r="P31" s="20">
        <f>IF(الجدول18[[#This Row],[فئة الطلب]]=$AI$11,1,0)</f>
        <v>0</v>
      </c>
      <c r="Q31" s="20">
        <f>IF(الجدول18[[#This Row],[فئة الطلب]]=$AI$10,1,0)</f>
        <v>0</v>
      </c>
      <c r="R31" s="20">
        <f>IF(الجدول18[[#This Row],[حالة الشكوى]]=$AD$10,1,0)</f>
        <v>0</v>
      </c>
      <c r="S31" s="60">
        <f>IF(الجدول18[[#This Row],[Gender]]="m",1,0)</f>
        <v>0</v>
      </c>
      <c r="T31" s="60">
        <f>IF(الجدول18[[#This Row],[Gender]]="f",1,0)</f>
        <v>0</v>
      </c>
    </row>
    <row r="32" spans="1:31" ht="35.25" customHeight="1" x14ac:dyDescent="0.25">
      <c r="A32" s="255"/>
      <c r="B32" s="52"/>
      <c r="C32" s="256"/>
      <c r="D32" s="256"/>
      <c r="E32" s="257"/>
      <c r="F32" s="258"/>
      <c r="G32" s="60">
        <f>IF(الجدول18[[#This Row],[نوع الشكوى]]="هاتفية",1,0)</f>
        <v>0</v>
      </c>
      <c r="H32" s="60">
        <f>IF(الجدول18[[#This Row],[نوع الشكوى]]="زيارة مباشرة",1,0)</f>
        <v>0</v>
      </c>
      <c r="I32" s="60">
        <f>IF(الجدول18[[#This Row],[نوع الشكوى]]="ملاحظة من قبل الموظف المسؤول",1,0)</f>
        <v>0</v>
      </c>
      <c r="J32" s="20">
        <f>IF(الجدول18[[#This Row],[حالة الشكوى]]="معالجة",1,0)</f>
        <v>0</v>
      </c>
      <c r="K32" s="20">
        <f>IF(الجدول18[[#This Row],[حالة الشكوى]]="محالة",1,0)</f>
        <v>0</v>
      </c>
      <c r="L32" s="20">
        <f>IF(الجدول18[[#This Row],[حالة الشكوى]]="عالقة",1,0)</f>
        <v>0</v>
      </c>
      <c r="M32" s="20">
        <f>IF(الجدول18[[#This Row],[فئة الطلب]]=$AI$7,1,0)</f>
        <v>0</v>
      </c>
      <c r="N32" s="20">
        <f>IF(الجدول18[[#This Row],[فئة الطلب]]=$AI$8,1,0)</f>
        <v>0</v>
      </c>
      <c r="O32" s="20">
        <f>IF(الجدول18[[#This Row],[فئة الطلب]]=$AI$9,1,0)</f>
        <v>0</v>
      </c>
      <c r="P32" s="20">
        <f>IF(الجدول18[[#This Row],[فئة الطلب]]=$AI$11,1,0)</f>
        <v>0</v>
      </c>
      <c r="Q32" s="20">
        <f>IF(الجدول18[[#This Row],[فئة الطلب]]=$AI$10,1,0)</f>
        <v>0</v>
      </c>
      <c r="R32" s="20">
        <f>IF(الجدول18[[#This Row],[حالة الشكوى]]=$AD$10,1,0)</f>
        <v>0</v>
      </c>
      <c r="S32" s="60">
        <f>IF(الجدول18[[#This Row],[Gender]]="m",1,0)</f>
        <v>0</v>
      </c>
      <c r="T32" s="60">
        <f>IF(الجدول18[[#This Row],[Gender]]="f",1,0)</f>
        <v>0</v>
      </c>
    </row>
    <row r="33" spans="1:20" ht="35.25" customHeight="1" x14ac:dyDescent="0.25">
      <c r="A33" s="255"/>
      <c r="B33" s="52"/>
      <c r="C33" s="256"/>
      <c r="D33" s="256"/>
      <c r="E33" s="257"/>
      <c r="F33" s="258"/>
      <c r="G33" s="60">
        <f>IF(الجدول18[[#This Row],[نوع الشكوى]]="هاتفية",1,0)</f>
        <v>0</v>
      </c>
      <c r="H33" s="60">
        <f>IF(الجدول18[[#This Row],[نوع الشكوى]]="زيارة مباشرة",1,0)</f>
        <v>0</v>
      </c>
      <c r="I33" s="60">
        <f>IF(الجدول18[[#This Row],[نوع الشكوى]]="ملاحظة من قبل الموظف المسؤول",1,0)</f>
        <v>0</v>
      </c>
      <c r="J33" s="20">
        <f>IF(الجدول18[[#This Row],[حالة الشكوى]]="معالجة",1,0)</f>
        <v>0</v>
      </c>
      <c r="K33" s="20">
        <f>IF(الجدول18[[#This Row],[حالة الشكوى]]="محالة",1,0)</f>
        <v>0</v>
      </c>
      <c r="L33" s="20">
        <f>IF(الجدول18[[#This Row],[حالة الشكوى]]="عالقة",1,0)</f>
        <v>0</v>
      </c>
      <c r="M33" s="20">
        <f>IF(الجدول18[[#This Row],[فئة الطلب]]=$AI$7,1,0)</f>
        <v>0</v>
      </c>
      <c r="N33" s="20">
        <f>IF(الجدول18[[#This Row],[فئة الطلب]]=$AI$8,1,0)</f>
        <v>0</v>
      </c>
      <c r="O33" s="20">
        <f>IF(الجدول18[[#This Row],[فئة الطلب]]=$AI$9,1,0)</f>
        <v>0</v>
      </c>
      <c r="P33" s="20">
        <f>IF(الجدول18[[#This Row],[فئة الطلب]]=$AI$11,1,0)</f>
        <v>0</v>
      </c>
      <c r="Q33" s="20">
        <f>IF(الجدول18[[#This Row],[فئة الطلب]]=$AI$10,1,0)</f>
        <v>0</v>
      </c>
      <c r="R33" s="20">
        <f>IF(الجدول18[[#This Row],[حالة الشكوى]]=$AD$10,1,0)</f>
        <v>0</v>
      </c>
      <c r="S33" s="60">
        <f>IF(الجدول18[[#This Row],[Gender]]="m",1,0)</f>
        <v>0</v>
      </c>
      <c r="T33" s="60">
        <f>IF(الجدول18[[#This Row],[Gender]]="f",1,0)</f>
        <v>0</v>
      </c>
    </row>
    <row r="34" spans="1:20" ht="35.25" customHeight="1" x14ac:dyDescent="0.25">
      <c r="A34" s="255"/>
      <c r="B34" s="52"/>
      <c r="C34" s="256"/>
      <c r="D34" s="256"/>
      <c r="E34" s="257"/>
      <c r="F34" s="258"/>
      <c r="G34" s="60">
        <f>IF(الجدول18[[#This Row],[نوع الشكوى]]="هاتفية",1,0)</f>
        <v>0</v>
      </c>
      <c r="H34" s="60">
        <f>IF(الجدول18[[#This Row],[نوع الشكوى]]="زيارة مباشرة",1,0)</f>
        <v>0</v>
      </c>
      <c r="I34" s="60">
        <f>IF(الجدول18[[#This Row],[نوع الشكوى]]="ملاحظة من قبل الموظف المسؤول",1,0)</f>
        <v>0</v>
      </c>
      <c r="J34" s="20">
        <f>IF(الجدول18[[#This Row],[حالة الشكوى]]="معالجة",1,0)</f>
        <v>0</v>
      </c>
      <c r="K34" s="20">
        <f>IF(الجدول18[[#This Row],[حالة الشكوى]]="محالة",1,0)</f>
        <v>0</v>
      </c>
      <c r="L34" s="20">
        <f>IF(الجدول18[[#This Row],[حالة الشكوى]]="عالقة",1,0)</f>
        <v>0</v>
      </c>
      <c r="M34" s="20">
        <f>IF(الجدول18[[#This Row],[فئة الطلب]]=$AI$7,1,0)</f>
        <v>0</v>
      </c>
      <c r="N34" s="20">
        <f>IF(الجدول18[[#This Row],[فئة الطلب]]=$AI$8,1,0)</f>
        <v>0</v>
      </c>
      <c r="O34" s="20">
        <f>IF(الجدول18[[#This Row],[فئة الطلب]]=$AI$9,1,0)</f>
        <v>0</v>
      </c>
      <c r="P34" s="20">
        <f>IF(الجدول18[[#This Row],[فئة الطلب]]=$AI$11,1,0)</f>
        <v>0</v>
      </c>
      <c r="Q34" s="20">
        <f>IF(الجدول18[[#This Row],[فئة الطلب]]=$AI$10,1,0)</f>
        <v>0</v>
      </c>
      <c r="R34" s="20">
        <f>IF(الجدول18[[#This Row],[حالة الشكوى]]=$AD$10,1,0)</f>
        <v>0</v>
      </c>
      <c r="S34" s="61">
        <f>IF(الجدول18[[#This Row],[Gender]]="m",1,0)</f>
        <v>0</v>
      </c>
      <c r="T34" s="61">
        <f>IF(الجدول18[[#This Row],[Gender]]="f",1,0)</f>
        <v>0</v>
      </c>
    </row>
    <row r="35" spans="1:20" ht="35.25" customHeight="1" x14ac:dyDescent="0.25">
      <c r="A35" s="7"/>
      <c r="B35" s="25">
        <f>SUBTOTAL(103,الجدول18[نوع الشكوى])</f>
        <v>0</v>
      </c>
      <c r="C35" s="25"/>
      <c r="D35" s="25"/>
      <c r="E35" s="25"/>
      <c r="F35" s="25"/>
      <c r="G35" s="80">
        <f>SUBTOTAL(109,الجدول18[Phone])</f>
        <v>0</v>
      </c>
      <c r="H35" s="80">
        <f>SUBTOTAL(109,الجدول18[personal])</f>
        <v>0</v>
      </c>
      <c r="I35" s="62">
        <f>SUBTOTAL(109,الجدول18[Observe])</f>
        <v>0</v>
      </c>
      <c r="J35" s="62">
        <f>SUBTOTAL(109,الجدول18[عدد الشكاوى المعالجة])</f>
        <v>0</v>
      </c>
      <c r="K35" s="62">
        <f>SUBTOTAL(109,الجدول18[عدد الشكاوى المحالة])</f>
        <v>0</v>
      </c>
      <c r="L35" s="62">
        <f>SUBTOTAL(109,الجدول18[عدد الشكاوى العالقة])</f>
        <v>0</v>
      </c>
      <c r="M35" s="62">
        <f>SUBTOTAL(109,الجدول18[عدد طلب المعلومات])</f>
        <v>0</v>
      </c>
      <c r="N35" s="62">
        <f>SUBTOTAL(109,الجدول18[عدد حالات خلل البطاقات])</f>
        <v>0</v>
      </c>
      <c r="O35" s="62">
        <f>SUBTOTAL(109,الجدول18[تأخير صدور البطاقات])</f>
        <v>0</v>
      </c>
      <c r="P35" s="62">
        <f>SUBTOTAL(109,الجدول18[شكوى عن معاملة الموظفين])</f>
        <v>0</v>
      </c>
      <c r="Q35" s="62">
        <f>SUBTOTAL(109,الجدول18[شكوى معاملة المتجر])</f>
        <v>0</v>
      </c>
      <c r="R35" s="62">
        <f>SUBTOTAL(109,الجدول18[عدد الحالات المحالة الى نبض])</f>
        <v>0</v>
      </c>
      <c r="S35" s="62">
        <f>SUBTOTAL(109,الجدول18[Male])</f>
        <v>0</v>
      </c>
      <c r="T35" s="62">
        <f>SUBTOTAL(109,الجدول18[Female])</f>
        <v>0</v>
      </c>
    </row>
    <row r="40" spans="1:20" ht="35.25" customHeight="1" x14ac:dyDescent="0.2">
      <c r="S40" s="153" t="s">
        <v>14</v>
      </c>
    </row>
  </sheetData>
  <sheetProtection password="F128" sheet="1" objects="1" scenarios="1"/>
  <protectedRanges>
    <protectedRange password="CF7C" sqref="A6:F34" name="تيما"/>
  </protectedRanges>
  <mergeCells count="2">
    <mergeCell ref="H1:H2"/>
    <mergeCell ref="A4:O4"/>
  </mergeCells>
  <phoneticPr fontId="6" type="noConversion"/>
  <dataValidations count="4">
    <dataValidation type="list" allowBlank="1" showInputMessage="1" showErrorMessage="1" sqref="F6:F34">
      <formula1>$AD$7:$AD$11</formula1>
    </dataValidation>
    <dataValidation type="list" allowBlank="1" showInputMessage="1" showErrorMessage="1" sqref="C6:C34">
      <formula1>$AI$7:$AI$12</formula1>
    </dataValidation>
    <dataValidation type="list" allowBlank="1" showInputMessage="1" showErrorMessage="1" sqref="E6:E34">
      <formula1>$AD$12:$AD$13</formula1>
    </dataValidation>
    <dataValidation type="list" allowBlank="1" showInputMessage="1" showErrorMessage="1" sqref="B6:B34">
      <formula1>$AG$7:$AG$12</formula1>
    </dataValidation>
  </dataValidations>
  <hyperlinks>
    <hyperlink ref="H1:H2" location="Report!A1" display="Report"/>
  </hyperlink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showGridLines="0" topLeftCell="A33" workbookViewId="0">
      <selection activeCell="D36" sqref="D36"/>
    </sheetView>
  </sheetViews>
  <sheetFormatPr defaultColWidth="9" defaultRowHeight="36.75" customHeight="1" x14ac:dyDescent="0.25"/>
  <cols>
    <col min="1" max="1" width="22.85546875" style="1" customWidth="1"/>
    <col min="2" max="2" width="39.85546875" style="1" customWidth="1"/>
    <col min="3" max="3" width="48" style="1" bestFit="1" customWidth="1"/>
    <col min="4" max="4" width="34.140625" style="1" customWidth="1"/>
    <col min="5" max="5" width="14.28515625" style="1" bestFit="1" customWidth="1"/>
    <col min="6" max="6" width="13.85546875" style="1" bestFit="1" customWidth="1"/>
    <col min="7" max="8" width="12.7109375" style="1" bestFit="1" customWidth="1"/>
    <col min="9" max="9" width="18.7109375" style="1" bestFit="1" customWidth="1"/>
    <col min="10" max="10" width="18.140625" style="1" bestFit="1" customWidth="1"/>
    <col min="11" max="11" width="17.7109375" style="1" bestFit="1" customWidth="1"/>
    <col min="12" max="12" width="28.28515625" style="1" bestFit="1" customWidth="1"/>
    <col min="13" max="13" width="20.140625" style="1" bestFit="1" customWidth="1"/>
    <col min="14" max="14" width="18.28515625" style="1" bestFit="1" customWidth="1"/>
    <col min="15" max="15" width="22.140625" style="1" bestFit="1" customWidth="1"/>
    <col min="16" max="16" width="17.7109375" style="1" bestFit="1" customWidth="1"/>
    <col min="17" max="17" width="23.85546875" style="1" bestFit="1" customWidth="1"/>
    <col min="18" max="18" width="26.28515625" style="1" bestFit="1" customWidth="1"/>
    <col min="19" max="22" width="9" style="1"/>
    <col min="23" max="23" width="13.7109375" style="1" bestFit="1" customWidth="1"/>
    <col min="24" max="24" width="18.28515625" style="1" bestFit="1" customWidth="1"/>
    <col min="25" max="25" width="9" style="1"/>
    <col min="26" max="26" width="21.7109375" style="1" bestFit="1" customWidth="1"/>
    <col min="27" max="27" width="9" style="1"/>
    <col min="28" max="28" width="18" style="1" bestFit="1" customWidth="1"/>
    <col min="29" max="16384" width="9" style="1"/>
  </cols>
  <sheetData>
    <row r="1" spans="1:35" ht="36.75" customHeight="1" x14ac:dyDescent="0.25">
      <c r="E1" s="247" t="s">
        <v>1</v>
      </c>
    </row>
    <row r="2" spans="1:35" ht="36.75" customHeight="1" x14ac:dyDescent="0.25">
      <c r="A2" s="152" t="s">
        <v>119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</row>
    <row r="3" spans="1:35" ht="36.75" customHeight="1" x14ac:dyDescent="0.25">
      <c r="A3" s="4" t="s">
        <v>120</v>
      </c>
      <c r="B3" s="5" t="s">
        <v>121</v>
      </c>
      <c r="C3" s="5" t="s">
        <v>122</v>
      </c>
      <c r="D3" s="5" t="s">
        <v>265</v>
      </c>
      <c r="E3" s="5" t="s">
        <v>123</v>
      </c>
      <c r="F3" s="6" t="s">
        <v>124</v>
      </c>
      <c r="G3" s="5" t="s">
        <v>125</v>
      </c>
      <c r="H3" s="5" t="s">
        <v>126</v>
      </c>
      <c r="I3" s="5" t="s">
        <v>127</v>
      </c>
      <c r="J3" s="5" t="s">
        <v>62</v>
      </c>
      <c r="K3" s="5" t="s">
        <v>63</v>
      </c>
      <c r="L3" s="5" t="s">
        <v>64</v>
      </c>
      <c r="M3" s="5" t="s">
        <v>128</v>
      </c>
      <c r="N3" s="5" t="s">
        <v>129</v>
      </c>
      <c r="O3" s="5" t="s">
        <v>130</v>
      </c>
      <c r="P3" s="5" t="s">
        <v>131</v>
      </c>
      <c r="Q3" s="5" t="s">
        <v>266</v>
      </c>
      <c r="R3" s="5" t="s">
        <v>66</v>
      </c>
      <c r="S3" s="5" t="s">
        <v>152</v>
      </c>
      <c r="T3" s="5" t="s">
        <v>133</v>
      </c>
      <c r="U3" s="5" t="s">
        <v>134</v>
      </c>
      <c r="AE3" s="1" t="s">
        <v>135</v>
      </c>
    </row>
    <row r="4" spans="1:35" ht="36.75" customHeight="1" x14ac:dyDescent="0.25">
      <c r="A4" s="259"/>
      <c r="B4" s="126"/>
      <c r="C4" s="260"/>
      <c r="D4" s="260"/>
      <c r="E4" s="52"/>
      <c r="F4" s="261"/>
      <c r="G4" s="59">
        <f>IF(الجدول1[[#This Row],[نوع الشكوى]]="هاتفية",1,0)</f>
        <v>0</v>
      </c>
      <c r="H4" s="59">
        <f>IF(الجدول1[[#This Row],[نوع الشكوى]]="زيارة مباشرة",1,0)</f>
        <v>0</v>
      </c>
      <c r="I4" s="59">
        <f>IF(الجدول1[[#This Row],[نوع الشكوى]]="ملاحظة من قبل الموظف المسؤول",1,0)</f>
        <v>0</v>
      </c>
      <c r="J4" s="20">
        <f>IF(الجدول1[[#This Row],[حالة الشكوى]]="معالجة",1,0)</f>
        <v>0</v>
      </c>
      <c r="K4" s="20">
        <f>IF(الجدول1[[#This Row],[حالة الشكوى]]="محالة",1,0)</f>
        <v>0</v>
      </c>
      <c r="L4" s="20">
        <f>IF(الجدول1[[#This Row],[حالة الشكوى]]="عالقة",1,0)</f>
        <v>0</v>
      </c>
      <c r="M4" s="20">
        <f>IF(الجدول1[[#This Row],[فئة الطلب]]=$AI$5,1,0)</f>
        <v>0</v>
      </c>
      <c r="N4" s="20">
        <f>IF(الجدول1[[#This Row],[فئة الطلب]]=$AI$6,1,0)</f>
        <v>0</v>
      </c>
      <c r="O4" s="20">
        <f>IF(الجدول1[[#This Row],[فئة الطلب]]=$AI$7,1,0)</f>
        <v>0</v>
      </c>
      <c r="P4" s="20">
        <f>IF(الجدول1[[#This Row],[فئة الطلب]]=$AI$9,1,0)</f>
        <v>0</v>
      </c>
      <c r="Q4" s="20">
        <f>IF(الجدول1[[#This Row],[فئة الطلب]]=$AI$8,1,0)</f>
        <v>0</v>
      </c>
      <c r="R4" s="20">
        <f>IF(الجدول1[[#This Row],[حالة الشكوى]]=$AD$8,1,0)</f>
        <v>0</v>
      </c>
      <c r="S4" s="20">
        <f>IF(الجدول1[[#This Row],[حالة الشكوى]]=$AD$9,1,0)</f>
        <v>0</v>
      </c>
      <c r="T4" s="59">
        <f>IF(الجدول1[[#This Row],[Gender]]="m",1,0)</f>
        <v>0</v>
      </c>
      <c r="U4" s="59">
        <f>IF(الجدول1[[#This Row],[Gender]]="f",1,0)</f>
        <v>0</v>
      </c>
      <c r="AE4" s="1" t="s">
        <v>139</v>
      </c>
    </row>
    <row r="5" spans="1:35" ht="36.75" customHeight="1" x14ac:dyDescent="0.25">
      <c r="A5" s="259"/>
      <c r="B5" s="126"/>
      <c r="C5" s="260"/>
      <c r="D5" s="260"/>
      <c r="E5" s="52"/>
      <c r="F5" s="261"/>
      <c r="G5" s="60">
        <f>IF(الجدول1[[#This Row],[نوع الشكوى]]="هاتفية",1,0)</f>
        <v>0</v>
      </c>
      <c r="H5" s="60">
        <f>IF(الجدول1[[#This Row],[نوع الشكوى]]="زيارة مباشرة",1,0)</f>
        <v>0</v>
      </c>
      <c r="I5" s="60">
        <f>IF(الجدول1[[#This Row],[نوع الشكوى]]="ملاحظة من قبل الموظف المسؤول",1,0)</f>
        <v>0</v>
      </c>
      <c r="J5" s="20">
        <f>IF(الجدول1[[#This Row],[حالة الشكوى]]="معالجة",1,0)</f>
        <v>0</v>
      </c>
      <c r="K5" s="20">
        <f>IF(الجدول1[[#This Row],[حالة الشكوى]]="محالة",1,0)</f>
        <v>0</v>
      </c>
      <c r="L5" s="20">
        <f>IF(الجدول1[[#This Row],[حالة الشكوى]]="عالقة",1,0)</f>
        <v>0</v>
      </c>
      <c r="M5" s="20">
        <f>IF(الجدول1[[#This Row],[فئة الطلب]]=$AI$5,1,0)</f>
        <v>0</v>
      </c>
      <c r="N5" s="20">
        <f>IF(الجدول1[[#This Row],[فئة الطلب]]=$AI$6,1,0)</f>
        <v>0</v>
      </c>
      <c r="O5" s="20">
        <f>IF(الجدول1[[#This Row],[فئة الطلب]]=$AI$7,1,0)</f>
        <v>0</v>
      </c>
      <c r="P5" s="20">
        <f>IF(الجدول1[[#This Row],[فئة الطلب]]=$AI$9,1,0)</f>
        <v>0</v>
      </c>
      <c r="Q5" s="20">
        <f>IF(الجدول1[[#This Row],[فئة الطلب]]=$AI$8,1,0)</f>
        <v>0</v>
      </c>
      <c r="R5" s="20">
        <f>IF(الجدول1[[#This Row],[حالة الشكوى]]=$AD$8,1,0)</f>
        <v>0</v>
      </c>
      <c r="S5" s="20">
        <f>IF(الجدول1[[#This Row],[حالة الشكوى]]=$AD$9,1,0)</f>
        <v>0</v>
      </c>
      <c r="T5" s="60">
        <f>IF(الجدول1[[#This Row],[Gender]]="m",1,0)</f>
        <v>0</v>
      </c>
      <c r="U5" s="60">
        <f>IF(الجدول1[[#This Row],[Gender]]="f",1,0)</f>
        <v>0</v>
      </c>
      <c r="AD5" s="1" t="s">
        <v>141</v>
      </c>
      <c r="AE5" s="1" t="s">
        <v>37</v>
      </c>
      <c r="AG5" s="3" t="s">
        <v>52</v>
      </c>
      <c r="AI5" s="110" t="s">
        <v>142</v>
      </c>
    </row>
    <row r="6" spans="1:35" ht="36.75" customHeight="1" x14ac:dyDescent="0.25">
      <c r="A6" s="259"/>
      <c r="B6" s="126"/>
      <c r="C6" s="260"/>
      <c r="D6" s="260"/>
      <c r="E6" s="52"/>
      <c r="F6" s="261"/>
      <c r="G6" s="60">
        <f>IF(الجدول1[[#This Row],[نوع الشكوى]]="هاتفية",1,0)</f>
        <v>0</v>
      </c>
      <c r="H6" s="60">
        <f>IF(الجدول1[[#This Row],[نوع الشكوى]]="زيارة مباشرة",1,0)</f>
        <v>0</v>
      </c>
      <c r="I6" s="60">
        <f>IF(الجدول1[[#This Row],[نوع الشكوى]]="ملاحظة من قبل الموظف المسؤول",1,0)</f>
        <v>0</v>
      </c>
      <c r="J6" s="20">
        <f>IF(الجدول1[[#This Row],[حالة الشكوى]]="معالجة",1,0)</f>
        <v>0</v>
      </c>
      <c r="K6" s="20">
        <f>IF(الجدول1[[#This Row],[حالة الشكوى]]="محالة",1,0)</f>
        <v>0</v>
      </c>
      <c r="L6" s="20">
        <f>IF(الجدول1[[#This Row],[حالة الشكوى]]="عالقة",1,0)</f>
        <v>0</v>
      </c>
      <c r="M6" s="20">
        <f>IF(الجدول1[[#This Row],[فئة الطلب]]=$AI$5,1,0)</f>
        <v>0</v>
      </c>
      <c r="N6" s="20">
        <f>IF(الجدول1[[#This Row],[فئة الطلب]]=$AI$6,1,0)</f>
        <v>0</v>
      </c>
      <c r="O6" s="20">
        <f>IF(الجدول1[[#This Row],[فئة الطلب]]=$AI$7,1,0)</f>
        <v>0</v>
      </c>
      <c r="P6" s="20">
        <f>IF(الجدول1[[#This Row],[فئة الطلب]]=$AI$9,1,0)</f>
        <v>0</v>
      </c>
      <c r="Q6" s="20">
        <f>IF(الجدول1[[#This Row],[فئة الطلب]]=$AI$8,1,0)</f>
        <v>0</v>
      </c>
      <c r="R6" s="20">
        <f>IF(الجدول1[[#This Row],[حالة الشكوى]]=$AD$8,1,0)</f>
        <v>0</v>
      </c>
      <c r="S6" s="20">
        <f>IF(الجدول1[[#This Row],[حالة الشكوى]]=$AD$9,1,0)</f>
        <v>0</v>
      </c>
      <c r="T6" s="60">
        <f>IF(الجدول1[[#This Row],[Gender]]="m",1,0)</f>
        <v>0</v>
      </c>
      <c r="U6" s="60">
        <f>IF(الجدول1[[#This Row],[Gender]]="f",1,0)</f>
        <v>0</v>
      </c>
      <c r="AD6" s="1" t="s">
        <v>145</v>
      </c>
      <c r="AE6" s="1" t="s">
        <v>45</v>
      </c>
      <c r="AG6" s="3" t="s">
        <v>54</v>
      </c>
      <c r="AI6" s="110" t="s">
        <v>146</v>
      </c>
    </row>
    <row r="7" spans="1:35" ht="36.75" customHeight="1" x14ac:dyDescent="0.25">
      <c r="A7" s="259"/>
      <c r="B7" s="126"/>
      <c r="C7" s="260"/>
      <c r="D7" s="260"/>
      <c r="E7" s="52"/>
      <c r="F7" s="261"/>
      <c r="G7" s="60">
        <f>IF(الجدول1[[#This Row],[نوع الشكوى]]="هاتفية",1,0)</f>
        <v>0</v>
      </c>
      <c r="H7" s="60">
        <f>IF(الجدول1[[#This Row],[نوع الشكوى]]="زيارة مباشرة",1,0)</f>
        <v>0</v>
      </c>
      <c r="I7" s="60">
        <f>IF(الجدول1[[#This Row],[نوع الشكوى]]="ملاحظة من قبل الموظف المسؤول",1,0)</f>
        <v>0</v>
      </c>
      <c r="J7" s="20">
        <f>IF(الجدول1[[#This Row],[حالة الشكوى]]="معالجة",1,0)</f>
        <v>0</v>
      </c>
      <c r="K7" s="20">
        <f>IF(الجدول1[[#This Row],[حالة الشكوى]]="محالة",1,0)</f>
        <v>0</v>
      </c>
      <c r="L7" s="20">
        <f>IF(الجدول1[[#This Row],[حالة الشكوى]]="عالقة",1,0)</f>
        <v>0</v>
      </c>
      <c r="M7" s="20">
        <f>IF(الجدول1[[#This Row],[فئة الطلب]]=$AI$5,1,0)</f>
        <v>0</v>
      </c>
      <c r="N7" s="20">
        <f>IF(الجدول1[[#This Row],[فئة الطلب]]=$AI$6,1,0)</f>
        <v>0</v>
      </c>
      <c r="O7" s="20">
        <f>IF(الجدول1[[#This Row],[فئة الطلب]]=$AI$7,1,0)</f>
        <v>0</v>
      </c>
      <c r="P7" s="20">
        <f>IF(الجدول1[[#This Row],[فئة الطلب]]=$AI$9,1,0)</f>
        <v>0</v>
      </c>
      <c r="Q7" s="20">
        <f>IF(الجدول1[[#This Row],[فئة الطلب]]=$AI$8,1,0)</f>
        <v>0</v>
      </c>
      <c r="R7" s="20">
        <f>IF(الجدول1[[#This Row],[حالة الشكوى]]=$AD$8,1,0)</f>
        <v>0</v>
      </c>
      <c r="S7" s="20">
        <f>IF(الجدول1[[#This Row],[حالة الشكوى]]=$AD$9,1,0)</f>
        <v>0</v>
      </c>
      <c r="T7" s="60">
        <f>IF(الجدول1[[#This Row],[Gender]]="m",1,0)</f>
        <v>0</v>
      </c>
      <c r="U7" s="60">
        <f>IF(الجدول1[[#This Row],[Gender]]="f",1,0)</f>
        <v>0</v>
      </c>
      <c r="AD7" s="1" t="s">
        <v>138</v>
      </c>
      <c r="AE7" s="1" t="s">
        <v>68</v>
      </c>
      <c r="AG7" s="3" t="s">
        <v>55</v>
      </c>
      <c r="AI7" s="110" t="s">
        <v>136</v>
      </c>
    </row>
    <row r="8" spans="1:35" ht="36.75" customHeight="1" x14ac:dyDescent="0.25">
      <c r="A8" s="259"/>
      <c r="B8" s="126"/>
      <c r="C8" s="260"/>
      <c r="D8" s="260"/>
      <c r="E8" s="52"/>
      <c r="F8" s="261"/>
      <c r="G8" s="60">
        <f>IF(الجدول1[[#This Row],[نوع الشكوى]]="هاتفية",1,0)</f>
        <v>0</v>
      </c>
      <c r="H8" s="60">
        <f>IF(الجدول1[[#This Row],[نوع الشكوى]]="زيارة مباشرة",1,0)</f>
        <v>0</v>
      </c>
      <c r="I8" s="60">
        <f>IF(الجدول1[[#This Row],[نوع الشكوى]]="ملاحظة من قبل الموظف المسؤول",1,0)</f>
        <v>0</v>
      </c>
      <c r="J8" s="20">
        <f>IF(الجدول1[[#This Row],[حالة الشكوى]]="معالجة",1,0)</f>
        <v>0</v>
      </c>
      <c r="K8" s="20">
        <f>IF(الجدول1[[#This Row],[حالة الشكوى]]="محالة",1,0)</f>
        <v>0</v>
      </c>
      <c r="L8" s="20">
        <f>IF(الجدول1[[#This Row],[حالة الشكوى]]="عالقة",1,0)</f>
        <v>0</v>
      </c>
      <c r="M8" s="20">
        <f>IF(الجدول1[[#This Row],[فئة الطلب]]=$AI$5,1,0)</f>
        <v>0</v>
      </c>
      <c r="N8" s="20">
        <f>IF(الجدول1[[#This Row],[فئة الطلب]]=$AI$6,1,0)</f>
        <v>0</v>
      </c>
      <c r="O8" s="20">
        <f>IF(الجدول1[[#This Row],[فئة الطلب]]=$AI$7,1,0)</f>
        <v>0</v>
      </c>
      <c r="P8" s="20">
        <f>IF(الجدول1[[#This Row],[فئة الطلب]]=$AI$9,1,0)</f>
        <v>0</v>
      </c>
      <c r="Q8" s="20">
        <f>IF(الجدول1[[#This Row],[فئة الطلب]]=$AI$8,1,0)</f>
        <v>0</v>
      </c>
      <c r="R8" s="20">
        <f>IF(الجدول1[[#This Row],[حالة الشكوى]]=$AD$8,1,0)</f>
        <v>0</v>
      </c>
      <c r="S8" s="20">
        <f>IF(الجدول1[[#This Row],[حالة الشكوى]]=$AD$9,1,0)</f>
        <v>0</v>
      </c>
      <c r="T8" s="60">
        <f>IF(الجدول1[[#This Row],[Gender]]="m",1,0)</f>
        <v>0</v>
      </c>
      <c r="U8" s="60">
        <f>IF(الجدول1[[#This Row],[Gender]]="f",1,0)</f>
        <v>0</v>
      </c>
      <c r="AD8" s="1" t="s">
        <v>153</v>
      </c>
      <c r="AE8" s="1" t="s">
        <v>70</v>
      </c>
      <c r="AG8" s="3"/>
      <c r="AI8" s="110" t="s">
        <v>147</v>
      </c>
    </row>
    <row r="9" spans="1:35" ht="36.75" customHeight="1" x14ac:dyDescent="0.25">
      <c r="A9" s="259"/>
      <c r="B9" s="126"/>
      <c r="C9" s="260"/>
      <c r="D9" s="260"/>
      <c r="E9" s="52"/>
      <c r="F9" s="261"/>
      <c r="G9" s="60">
        <f>IF(الجدول1[[#This Row],[نوع الشكوى]]="هاتفية",1,0)</f>
        <v>0</v>
      </c>
      <c r="H9" s="60">
        <f>IF(الجدول1[[#This Row],[نوع الشكوى]]="زيارة مباشرة",1,0)</f>
        <v>0</v>
      </c>
      <c r="I9" s="60">
        <f>IF(الجدول1[[#This Row],[نوع الشكوى]]="ملاحظة من قبل الموظف المسؤول",1,0)</f>
        <v>0</v>
      </c>
      <c r="J9" s="20">
        <f>IF(الجدول1[[#This Row],[حالة الشكوى]]="معالجة",1,0)</f>
        <v>0</v>
      </c>
      <c r="K9" s="20">
        <f>IF(الجدول1[[#This Row],[حالة الشكوى]]="محالة",1,0)</f>
        <v>0</v>
      </c>
      <c r="L9" s="20">
        <f>IF(الجدول1[[#This Row],[حالة الشكوى]]="عالقة",1,0)</f>
        <v>0</v>
      </c>
      <c r="M9" s="20">
        <f>IF(الجدول1[[#This Row],[فئة الطلب]]=$AI$5,1,0)</f>
        <v>0</v>
      </c>
      <c r="N9" s="20">
        <f>IF(الجدول1[[#This Row],[فئة الطلب]]=$AI$6,1,0)</f>
        <v>0</v>
      </c>
      <c r="O9" s="20">
        <f>IF(الجدول1[[#This Row],[فئة الطلب]]=$AI$7,1,0)</f>
        <v>0</v>
      </c>
      <c r="P9" s="20">
        <f>IF(الجدول1[[#This Row],[فئة الطلب]]=$AI$9,1,0)</f>
        <v>0</v>
      </c>
      <c r="Q9" s="20">
        <f>IF(الجدول1[[#This Row],[فئة الطلب]]=$AI$8,1,0)</f>
        <v>0</v>
      </c>
      <c r="R9" s="20">
        <f>IF(الجدول1[[#This Row],[حالة الشكوى]]=$AD$8,1,0)</f>
        <v>0</v>
      </c>
      <c r="S9" s="20">
        <f>IF(الجدول1[[#This Row],[حالة الشكوى]]=$AD$9,1,0)</f>
        <v>0</v>
      </c>
      <c r="T9" s="60">
        <f>IF(الجدول1[[#This Row],[Gender]]="m",1,0)</f>
        <v>0</v>
      </c>
      <c r="U9" s="60">
        <f>IF(الجدول1[[#This Row],[Gender]]="f",1,0)</f>
        <v>0</v>
      </c>
      <c r="AD9" s="1" t="s">
        <v>154</v>
      </c>
      <c r="AE9" s="1" t="s">
        <v>77</v>
      </c>
      <c r="AG9" s="3"/>
      <c r="AI9" s="110" t="s">
        <v>148</v>
      </c>
    </row>
    <row r="10" spans="1:35" ht="36.75" customHeight="1" x14ac:dyDescent="0.25">
      <c r="A10" s="259"/>
      <c r="B10" s="126"/>
      <c r="C10" s="260"/>
      <c r="D10" s="260"/>
      <c r="E10" s="52"/>
      <c r="F10" s="261"/>
      <c r="G10" s="60">
        <f>IF(الجدول1[[#This Row],[نوع الشكوى]]="هاتفية",1,0)</f>
        <v>0</v>
      </c>
      <c r="H10" s="60">
        <f>IF(الجدول1[[#This Row],[نوع الشكوى]]="زيارة مباشرة",1,0)</f>
        <v>0</v>
      </c>
      <c r="I10" s="60">
        <f>IF(الجدول1[[#This Row],[نوع الشكوى]]="ملاحظة من قبل الموظف المسؤول",1,0)</f>
        <v>0</v>
      </c>
      <c r="J10" s="20">
        <f>IF(الجدول1[[#This Row],[حالة الشكوى]]="معالجة",1,0)</f>
        <v>0</v>
      </c>
      <c r="K10" s="20">
        <f>IF(الجدول1[[#This Row],[حالة الشكوى]]="محالة",1,0)</f>
        <v>0</v>
      </c>
      <c r="L10" s="20">
        <f>IF(الجدول1[[#This Row],[حالة الشكوى]]="عالقة",1,0)</f>
        <v>0</v>
      </c>
      <c r="M10" s="20">
        <f>IF(الجدول1[[#This Row],[فئة الطلب]]=$AI$5,1,0)</f>
        <v>0</v>
      </c>
      <c r="N10" s="20">
        <f>IF(الجدول1[[#This Row],[فئة الطلب]]=$AI$6,1,0)</f>
        <v>0</v>
      </c>
      <c r="O10" s="20">
        <f>IF(الجدول1[[#This Row],[فئة الطلب]]=$AI$7,1,0)</f>
        <v>0</v>
      </c>
      <c r="P10" s="20">
        <f>IF(الجدول1[[#This Row],[فئة الطلب]]=$AI$9,1,0)</f>
        <v>0</v>
      </c>
      <c r="Q10" s="20">
        <f>IF(الجدول1[[#This Row],[فئة الطلب]]=$AI$8,1,0)</f>
        <v>0</v>
      </c>
      <c r="R10" s="20">
        <f>IF(الجدول1[[#This Row],[حالة الشكوى]]=$AD$8,1,0)</f>
        <v>0</v>
      </c>
      <c r="S10" s="20">
        <f>IF(الجدول1[[#This Row],[حالة الشكوى]]=$AD$9,1,0)</f>
        <v>0</v>
      </c>
      <c r="T10" s="60">
        <f>IF(الجدول1[[#This Row],[Gender]]="m",1,0)</f>
        <v>0</v>
      </c>
      <c r="U10" s="60">
        <f>IF(الجدول1[[#This Row],[Gender]]="f",1,0)</f>
        <v>0</v>
      </c>
      <c r="AD10" s="1" t="s">
        <v>140</v>
      </c>
      <c r="AE10" s="1" t="s">
        <v>149</v>
      </c>
      <c r="AG10" s="3"/>
      <c r="AI10" s="3" t="s">
        <v>143</v>
      </c>
    </row>
    <row r="11" spans="1:35" ht="36.75" customHeight="1" x14ac:dyDescent="0.25">
      <c r="A11" s="259"/>
      <c r="B11" s="126"/>
      <c r="C11" s="260"/>
      <c r="D11" s="260"/>
      <c r="E11" s="52"/>
      <c r="F11" s="261"/>
      <c r="G11" s="60">
        <f>IF(الجدول1[[#This Row],[نوع الشكوى]]="هاتفية",1,0)</f>
        <v>0</v>
      </c>
      <c r="H11" s="60">
        <f>IF(الجدول1[[#This Row],[نوع الشكوى]]="زيارة مباشرة",1,0)</f>
        <v>0</v>
      </c>
      <c r="I11" s="60">
        <f>IF(الجدول1[[#This Row],[نوع الشكوى]]="ملاحظة من قبل الموظف المسؤول",1,0)</f>
        <v>0</v>
      </c>
      <c r="J11" s="20">
        <f>IF(الجدول1[[#This Row],[حالة الشكوى]]="معالجة",1,0)</f>
        <v>0</v>
      </c>
      <c r="K11" s="20">
        <f>IF(الجدول1[[#This Row],[حالة الشكوى]]="محالة",1,0)</f>
        <v>0</v>
      </c>
      <c r="L11" s="20">
        <f>IF(الجدول1[[#This Row],[حالة الشكوى]]="عالقة",1,0)</f>
        <v>0</v>
      </c>
      <c r="M11" s="20">
        <f>IF(الجدول1[[#This Row],[فئة الطلب]]=$AI$5,1,0)</f>
        <v>0</v>
      </c>
      <c r="N11" s="20">
        <f>IF(الجدول1[[#This Row],[فئة الطلب]]=$AI$6,1,0)</f>
        <v>0</v>
      </c>
      <c r="O11" s="20">
        <f>IF(الجدول1[[#This Row],[فئة الطلب]]=$AI$7,1,0)</f>
        <v>0</v>
      </c>
      <c r="P11" s="20">
        <f>IF(الجدول1[[#This Row],[فئة الطلب]]=$AI$9,1,0)</f>
        <v>0</v>
      </c>
      <c r="Q11" s="20">
        <f>IF(الجدول1[[#This Row],[فئة الطلب]]=$AI$8,1,0)</f>
        <v>0</v>
      </c>
      <c r="R11" s="20">
        <f>IF(الجدول1[[#This Row],[حالة الشكوى]]=$AD$8,1,0)</f>
        <v>0</v>
      </c>
      <c r="S11" s="60">
        <f>IF(الجدول1[[#This Row],[حالة الشكوى]]=$AD$9,1,0)</f>
        <v>0</v>
      </c>
      <c r="T11" s="60">
        <f>IF(الجدول1[[#This Row],[Gender]]="m",1,0)</f>
        <v>0</v>
      </c>
      <c r="U11" s="60">
        <f>IF(الجدول1[[#This Row],[Gender]]="f",1,0)</f>
        <v>0</v>
      </c>
      <c r="AD11" s="1" t="s">
        <v>137</v>
      </c>
      <c r="AE11" s="1" t="s">
        <v>39</v>
      </c>
    </row>
    <row r="12" spans="1:35" ht="36.75" customHeight="1" x14ac:dyDescent="0.25">
      <c r="A12" s="259"/>
      <c r="B12" s="126"/>
      <c r="C12" s="260"/>
      <c r="D12" s="260"/>
      <c r="E12" s="52"/>
      <c r="F12" s="261"/>
      <c r="G12" s="60">
        <f>IF(الجدول1[[#This Row],[نوع الشكوى]]="هاتفية",1,0)</f>
        <v>0</v>
      </c>
      <c r="H12" s="60">
        <f>IF(الجدول1[[#This Row],[نوع الشكوى]]="زيارة مباشرة",1,0)</f>
        <v>0</v>
      </c>
      <c r="I12" s="60">
        <f>IF(الجدول1[[#This Row],[نوع الشكوى]]="ملاحظة من قبل الموظف المسؤول",1,0)</f>
        <v>0</v>
      </c>
      <c r="J12" s="20">
        <f>IF(الجدول1[[#This Row],[حالة الشكوى]]="معالجة",1,0)</f>
        <v>0</v>
      </c>
      <c r="K12" s="20">
        <f>IF(الجدول1[[#This Row],[حالة الشكوى]]="محالة",1,0)</f>
        <v>0</v>
      </c>
      <c r="L12" s="20">
        <f>IF(الجدول1[[#This Row],[حالة الشكوى]]="عالقة",1,0)</f>
        <v>0</v>
      </c>
      <c r="M12" s="20">
        <f>IF(الجدول1[[#This Row],[فئة الطلب]]=$AI$5,1,0)</f>
        <v>0</v>
      </c>
      <c r="N12" s="20">
        <f>IF(الجدول1[[#This Row],[فئة الطلب]]=$AI$6,1,0)</f>
        <v>0</v>
      </c>
      <c r="O12" s="20">
        <f>IF(الجدول1[[#This Row],[فئة الطلب]]=$AI$7,1,0)</f>
        <v>0</v>
      </c>
      <c r="P12" s="20">
        <f>IF(الجدول1[[#This Row],[فئة الطلب]]=$AI$9,1,0)</f>
        <v>0</v>
      </c>
      <c r="Q12" s="20">
        <f>IF(الجدول1[[#This Row],[فئة الطلب]]=$AI$8,1,0)</f>
        <v>0</v>
      </c>
      <c r="R12" s="20">
        <f>IF(الجدول1[[#This Row],[حالة الشكوى]]=$AD$8,1,0)</f>
        <v>0</v>
      </c>
      <c r="S12" s="60">
        <f>IF(الجدول1[[#This Row],[حالة الشكوى]]=$AD$9,1,0)</f>
        <v>0</v>
      </c>
      <c r="T12" s="60">
        <f>IF(الجدول1[[#This Row],[Gender]]="m",1,0)</f>
        <v>0</v>
      </c>
      <c r="U12" s="60">
        <f>IF(الجدول1[[#This Row],[Gender]]="f",1,0)</f>
        <v>0</v>
      </c>
      <c r="AE12" s="1" t="s">
        <v>87</v>
      </c>
    </row>
    <row r="13" spans="1:35" ht="36.75" customHeight="1" x14ac:dyDescent="0.25">
      <c r="A13" s="259"/>
      <c r="B13" s="126"/>
      <c r="C13" s="260"/>
      <c r="D13" s="260"/>
      <c r="E13" s="52"/>
      <c r="F13" s="261"/>
      <c r="G13" s="60">
        <f>IF(الجدول1[[#This Row],[نوع الشكوى]]="هاتفية",1,0)</f>
        <v>0</v>
      </c>
      <c r="H13" s="60">
        <f>IF(الجدول1[[#This Row],[نوع الشكوى]]="زيارة مباشرة",1,0)</f>
        <v>0</v>
      </c>
      <c r="I13" s="60">
        <f>IF(الجدول1[[#This Row],[نوع الشكوى]]="ملاحظة من قبل الموظف المسؤول",1,0)</f>
        <v>0</v>
      </c>
      <c r="J13" s="20">
        <f>IF(الجدول1[[#This Row],[حالة الشكوى]]="معالجة",1,0)</f>
        <v>0</v>
      </c>
      <c r="K13" s="20">
        <f>IF(الجدول1[[#This Row],[حالة الشكوى]]="محالة",1,0)</f>
        <v>0</v>
      </c>
      <c r="L13" s="20">
        <f>IF(الجدول1[[#This Row],[حالة الشكوى]]="عالقة",1,0)</f>
        <v>0</v>
      </c>
      <c r="M13" s="20">
        <f>IF(الجدول1[[#This Row],[فئة الطلب]]=$AI$5,1,0)</f>
        <v>0</v>
      </c>
      <c r="N13" s="20">
        <f>IF(الجدول1[[#This Row],[فئة الطلب]]=$AI$6,1,0)</f>
        <v>0</v>
      </c>
      <c r="O13" s="20">
        <f>IF(الجدول1[[#This Row],[فئة الطلب]]=$AI$7,1,0)</f>
        <v>0</v>
      </c>
      <c r="P13" s="20">
        <f>IF(الجدول1[[#This Row],[فئة الطلب]]=$AI$9,1,0)</f>
        <v>0</v>
      </c>
      <c r="Q13" s="20">
        <f>IF(الجدول1[[#This Row],[فئة الطلب]]=$AI$8,1,0)</f>
        <v>0</v>
      </c>
      <c r="R13" s="20">
        <f>IF(الجدول1[[#This Row],[حالة الشكوى]]=$AD$8,1,0)</f>
        <v>0</v>
      </c>
      <c r="S13" s="60">
        <f>IF(الجدول1[[#This Row],[حالة الشكوى]]=$AD$9,1,0)</f>
        <v>0</v>
      </c>
      <c r="T13" s="60">
        <f>IF(الجدول1[[#This Row],[Gender]]="m",1,0)</f>
        <v>0</v>
      </c>
      <c r="U13" s="60">
        <f>IF(الجدول1[[#This Row],[Gender]]="f",1,0)</f>
        <v>0</v>
      </c>
    </row>
    <row r="14" spans="1:35" ht="36.75" customHeight="1" x14ac:dyDescent="0.25">
      <c r="A14" s="259"/>
      <c r="B14" s="126"/>
      <c r="C14" s="260"/>
      <c r="D14" s="260"/>
      <c r="E14" s="52"/>
      <c r="F14" s="261"/>
      <c r="G14" s="60">
        <f>IF(الجدول1[[#This Row],[نوع الشكوى]]="هاتفية",1,0)</f>
        <v>0</v>
      </c>
      <c r="H14" s="60">
        <f>IF(الجدول1[[#This Row],[نوع الشكوى]]="زيارة مباشرة",1,0)</f>
        <v>0</v>
      </c>
      <c r="I14" s="60">
        <f>IF(الجدول1[[#This Row],[نوع الشكوى]]="ملاحظة من قبل الموظف المسؤول",1,0)</f>
        <v>0</v>
      </c>
      <c r="J14" s="20">
        <f>IF(الجدول1[[#This Row],[حالة الشكوى]]="معالجة",1,0)</f>
        <v>0</v>
      </c>
      <c r="K14" s="20">
        <f>IF(الجدول1[[#This Row],[حالة الشكوى]]="محالة",1,0)</f>
        <v>0</v>
      </c>
      <c r="L14" s="20">
        <f>IF(الجدول1[[#This Row],[حالة الشكوى]]="عالقة",1,0)</f>
        <v>0</v>
      </c>
      <c r="M14" s="20">
        <f>IF(الجدول1[[#This Row],[فئة الطلب]]=$AI$5,1,0)</f>
        <v>0</v>
      </c>
      <c r="N14" s="20">
        <f>IF(الجدول1[[#This Row],[فئة الطلب]]=$AI$6,1,0)</f>
        <v>0</v>
      </c>
      <c r="O14" s="20">
        <f>IF(الجدول1[[#This Row],[فئة الطلب]]=$AI$7,1,0)</f>
        <v>0</v>
      </c>
      <c r="P14" s="20">
        <f>IF(الجدول1[[#This Row],[فئة الطلب]]=$AI$9,1,0)</f>
        <v>0</v>
      </c>
      <c r="Q14" s="20">
        <f>IF(الجدول1[[#This Row],[فئة الطلب]]=$AI$8,1,0)</f>
        <v>0</v>
      </c>
      <c r="R14" s="20">
        <f>IF(الجدول1[[#This Row],[حالة الشكوى]]=$AD$8,1,0)</f>
        <v>0</v>
      </c>
      <c r="S14" s="60">
        <f>IF(الجدول1[[#This Row],[حالة الشكوى]]=$AD$9,1,0)</f>
        <v>0</v>
      </c>
      <c r="T14" s="60">
        <f>IF(الجدول1[[#This Row],[Gender]]="m",1,0)</f>
        <v>0</v>
      </c>
      <c r="U14" s="60">
        <f>IF(الجدول1[[#This Row],[Gender]]="f",1,0)</f>
        <v>0</v>
      </c>
    </row>
    <row r="15" spans="1:35" ht="36.75" customHeight="1" x14ac:dyDescent="0.25">
      <c r="A15" s="259"/>
      <c r="B15" s="126"/>
      <c r="C15" s="260"/>
      <c r="D15" s="260"/>
      <c r="E15" s="52"/>
      <c r="F15" s="261"/>
      <c r="G15" s="60">
        <f>IF(الجدول1[[#This Row],[نوع الشكوى]]="هاتفية",1,0)</f>
        <v>0</v>
      </c>
      <c r="H15" s="60">
        <f>IF(الجدول1[[#This Row],[نوع الشكوى]]="زيارة مباشرة",1,0)</f>
        <v>0</v>
      </c>
      <c r="I15" s="60">
        <f>IF(الجدول1[[#This Row],[نوع الشكوى]]="ملاحظة من قبل الموظف المسؤول",1,0)</f>
        <v>0</v>
      </c>
      <c r="J15" s="20">
        <f>IF(الجدول1[[#This Row],[حالة الشكوى]]="معالجة",1,0)</f>
        <v>0</v>
      </c>
      <c r="K15" s="20">
        <f>IF(الجدول1[[#This Row],[حالة الشكوى]]="محالة",1,0)</f>
        <v>0</v>
      </c>
      <c r="L15" s="20">
        <f>IF(الجدول1[[#This Row],[حالة الشكوى]]="عالقة",1,0)</f>
        <v>0</v>
      </c>
      <c r="M15" s="20">
        <f>IF(الجدول1[[#This Row],[فئة الطلب]]=$AI$5,1,0)</f>
        <v>0</v>
      </c>
      <c r="N15" s="20">
        <f>IF(الجدول1[[#This Row],[فئة الطلب]]=$AI$6,1,0)</f>
        <v>0</v>
      </c>
      <c r="O15" s="20">
        <f>IF(الجدول1[[#This Row],[فئة الطلب]]=$AI$7,1,0)</f>
        <v>0</v>
      </c>
      <c r="P15" s="20">
        <f>IF(الجدول1[[#This Row],[فئة الطلب]]=$AI$9,1,0)</f>
        <v>0</v>
      </c>
      <c r="Q15" s="20">
        <f>IF(الجدول1[[#This Row],[فئة الطلب]]=$AI$8,1,0)</f>
        <v>0</v>
      </c>
      <c r="R15" s="20">
        <f>IF(الجدول1[[#This Row],[حالة الشكوى]]=$AD$8,1,0)</f>
        <v>0</v>
      </c>
      <c r="S15" s="60">
        <f>IF(الجدول1[[#This Row],[حالة الشكوى]]=$AD$9,1,0)</f>
        <v>0</v>
      </c>
      <c r="T15" s="60">
        <f>IF(الجدول1[[#This Row],[Gender]]="m",1,0)</f>
        <v>0</v>
      </c>
      <c r="U15" s="60">
        <f>IF(الجدول1[[#This Row],[Gender]]="f",1,0)</f>
        <v>0</v>
      </c>
    </row>
    <row r="16" spans="1:35" ht="36.75" customHeight="1" x14ac:dyDescent="0.25">
      <c r="A16" s="259"/>
      <c r="B16" s="126"/>
      <c r="C16" s="260"/>
      <c r="D16" s="260"/>
      <c r="E16" s="52"/>
      <c r="F16" s="261"/>
      <c r="G16" s="60">
        <f>IF(الجدول1[[#This Row],[نوع الشكوى]]="هاتفية",1,0)</f>
        <v>0</v>
      </c>
      <c r="H16" s="60">
        <f>IF(الجدول1[[#This Row],[نوع الشكوى]]="زيارة مباشرة",1,0)</f>
        <v>0</v>
      </c>
      <c r="I16" s="60">
        <f>IF(الجدول1[[#This Row],[نوع الشكوى]]="ملاحظة من قبل الموظف المسؤول",1,0)</f>
        <v>0</v>
      </c>
      <c r="J16" s="20">
        <f>IF(الجدول1[[#This Row],[حالة الشكوى]]="معالجة",1,0)</f>
        <v>0</v>
      </c>
      <c r="K16" s="20">
        <f>IF(الجدول1[[#This Row],[حالة الشكوى]]="محالة",1,0)</f>
        <v>0</v>
      </c>
      <c r="L16" s="20">
        <f>IF(الجدول1[[#This Row],[حالة الشكوى]]="عالقة",1,0)</f>
        <v>0</v>
      </c>
      <c r="M16" s="20">
        <f>IF(الجدول1[[#This Row],[فئة الطلب]]=$AI$5,1,0)</f>
        <v>0</v>
      </c>
      <c r="N16" s="20">
        <f>IF(الجدول1[[#This Row],[فئة الطلب]]=$AI$6,1,0)</f>
        <v>0</v>
      </c>
      <c r="O16" s="20">
        <f>IF(الجدول1[[#This Row],[فئة الطلب]]=$AI$7,1,0)</f>
        <v>0</v>
      </c>
      <c r="P16" s="20">
        <f>IF(الجدول1[[#This Row],[فئة الطلب]]=$AI$9,1,0)</f>
        <v>0</v>
      </c>
      <c r="Q16" s="20">
        <f>IF(الجدول1[[#This Row],[فئة الطلب]]=$AI$8,1,0)</f>
        <v>0</v>
      </c>
      <c r="R16" s="20">
        <f>IF(الجدول1[[#This Row],[حالة الشكوى]]=$AD$8,1,0)</f>
        <v>0</v>
      </c>
      <c r="S16" s="60">
        <f>IF(الجدول1[[#This Row],[حالة الشكوى]]=$AD$9,1,0)</f>
        <v>0</v>
      </c>
      <c r="T16" s="60">
        <f>IF(الجدول1[[#This Row],[Gender]]="m",1,0)</f>
        <v>0</v>
      </c>
      <c r="U16" s="60">
        <f>IF(الجدول1[[#This Row],[Gender]]="f",1,0)</f>
        <v>0</v>
      </c>
    </row>
    <row r="17" spans="1:31" ht="36.75" customHeight="1" x14ac:dyDescent="0.25">
      <c r="A17" s="259"/>
      <c r="B17" s="126"/>
      <c r="C17" s="260"/>
      <c r="D17" s="260"/>
      <c r="E17" s="52"/>
      <c r="F17" s="261"/>
      <c r="G17" s="60">
        <f>IF(الجدول1[[#This Row],[نوع الشكوى]]="هاتفية",1,0)</f>
        <v>0</v>
      </c>
      <c r="H17" s="60">
        <f>IF(الجدول1[[#This Row],[نوع الشكوى]]="زيارة مباشرة",1,0)</f>
        <v>0</v>
      </c>
      <c r="I17" s="60">
        <f>IF(الجدول1[[#This Row],[نوع الشكوى]]="ملاحظة من قبل الموظف المسؤول",1,0)</f>
        <v>0</v>
      </c>
      <c r="J17" s="20">
        <f>IF(الجدول1[[#This Row],[حالة الشكوى]]="معالجة",1,0)</f>
        <v>0</v>
      </c>
      <c r="K17" s="20">
        <f>IF(الجدول1[[#This Row],[حالة الشكوى]]="محالة",1,0)</f>
        <v>0</v>
      </c>
      <c r="L17" s="20">
        <f>IF(الجدول1[[#This Row],[حالة الشكوى]]="عالقة",1,0)</f>
        <v>0</v>
      </c>
      <c r="M17" s="20">
        <f>IF(الجدول1[[#This Row],[فئة الطلب]]=$AI$5,1,0)</f>
        <v>0</v>
      </c>
      <c r="N17" s="20">
        <f>IF(الجدول1[[#This Row],[فئة الطلب]]=$AI$6,1,0)</f>
        <v>0</v>
      </c>
      <c r="O17" s="20">
        <f>IF(الجدول1[[#This Row],[فئة الطلب]]=$AI$7,1,0)</f>
        <v>0</v>
      </c>
      <c r="P17" s="20">
        <f>IF(الجدول1[[#This Row],[فئة الطلب]]=$AI$9,1,0)</f>
        <v>0</v>
      </c>
      <c r="Q17" s="20">
        <f>IF(الجدول1[[#This Row],[فئة الطلب]]=$AI$8,1,0)</f>
        <v>0</v>
      </c>
      <c r="R17" s="20">
        <f>IF(الجدول1[[#This Row],[حالة الشكوى]]=$AD$8,1,0)</f>
        <v>0</v>
      </c>
      <c r="S17" s="60">
        <f>IF(الجدول1[[#This Row],[حالة الشكوى]]=$AD$9,1,0)</f>
        <v>0</v>
      </c>
      <c r="T17" s="60">
        <f>IF(الجدول1[[#This Row],[Gender]]="m",1,0)</f>
        <v>0</v>
      </c>
      <c r="U17" s="60">
        <f>IF(الجدول1[[#This Row],[Gender]]="f",1,0)</f>
        <v>0</v>
      </c>
      <c r="AE17" s="1" t="s">
        <v>150</v>
      </c>
    </row>
    <row r="18" spans="1:31" ht="36.75" customHeight="1" x14ac:dyDescent="0.25">
      <c r="A18" s="259"/>
      <c r="B18" s="126"/>
      <c r="C18" s="260"/>
      <c r="D18" s="260"/>
      <c r="E18" s="52"/>
      <c r="F18" s="261"/>
      <c r="G18" s="60">
        <f>IF(الجدول1[[#This Row],[نوع الشكوى]]="هاتفية",1,0)</f>
        <v>0</v>
      </c>
      <c r="H18" s="60">
        <f>IF(الجدول1[[#This Row],[نوع الشكوى]]="زيارة مباشرة",1,0)</f>
        <v>0</v>
      </c>
      <c r="I18" s="60">
        <f>IF(الجدول1[[#This Row],[نوع الشكوى]]="ملاحظة من قبل الموظف المسؤول",1,0)</f>
        <v>0</v>
      </c>
      <c r="J18" s="20">
        <f>IF(الجدول1[[#This Row],[حالة الشكوى]]="معالجة",1,0)</f>
        <v>0</v>
      </c>
      <c r="K18" s="20">
        <f>IF(الجدول1[[#This Row],[حالة الشكوى]]="محالة",1,0)</f>
        <v>0</v>
      </c>
      <c r="L18" s="20">
        <f>IF(الجدول1[[#This Row],[حالة الشكوى]]="عالقة",1,0)</f>
        <v>0</v>
      </c>
      <c r="M18" s="20">
        <f>IF(الجدول1[[#This Row],[فئة الطلب]]=$AI$5,1,0)</f>
        <v>0</v>
      </c>
      <c r="N18" s="20">
        <f>IF(الجدول1[[#This Row],[فئة الطلب]]=$AI$6,1,0)</f>
        <v>0</v>
      </c>
      <c r="O18" s="20">
        <f>IF(الجدول1[[#This Row],[فئة الطلب]]=$AI$7,1,0)</f>
        <v>0</v>
      </c>
      <c r="P18" s="20">
        <f>IF(الجدول1[[#This Row],[فئة الطلب]]=$AI$9,1,0)</f>
        <v>0</v>
      </c>
      <c r="Q18" s="20">
        <f>IF(الجدول1[[#This Row],[فئة الطلب]]=$AI$8,1,0)</f>
        <v>0</v>
      </c>
      <c r="R18" s="20">
        <f>IF(الجدول1[[#This Row],[حالة الشكوى]]=$AD$8,1,0)</f>
        <v>0</v>
      </c>
      <c r="S18" s="60">
        <f>IF(الجدول1[[#This Row],[حالة الشكوى]]=$AD$9,1,0)</f>
        <v>0</v>
      </c>
      <c r="T18" s="60">
        <f>IF(الجدول1[[#This Row],[Gender]]="m",1,0)</f>
        <v>0</v>
      </c>
      <c r="U18" s="60">
        <f>IF(الجدول1[[#This Row],[Gender]]="f",1,0)</f>
        <v>0</v>
      </c>
      <c r="AE18" s="1" t="s">
        <v>151</v>
      </c>
    </row>
    <row r="19" spans="1:31" ht="36.75" customHeight="1" x14ac:dyDescent="0.25">
      <c r="A19" s="259"/>
      <c r="B19" s="126"/>
      <c r="C19" s="260"/>
      <c r="D19" s="260"/>
      <c r="E19" s="52"/>
      <c r="F19" s="261"/>
      <c r="G19" s="60">
        <f>IF(الجدول1[[#This Row],[نوع الشكوى]]="هاتفية",1,0)</f>
        <v>0</v>
      </c>
      <c r="H19" s="60">
        <f>IF(الجدول1[[#This Row],[نوع الشكوى]]="زيارة مباشرة",1,0)</f>
        <v>0</v>
      </c>
      <c r="I19" s="60">
        <f>IF(الجدول1[[#This Row],[نوع الشكوى]]="ملاحظة من قبل الموظف المسؤول",1,0)</f>
        <v>0</v>
      </c>
      <c r="J19" s="20">
        <f>IF(الجدول1[[#This Row],[حالة الشكوى]]="معالجة",1,0)</f>
        <v>0</v>
      </c>
      <c r="K19" s="20">
        <f>IF(الجدول1[[#This Row],[حالة الشكوى]]="محالة",1,0)</f>
        <v>0</v>
      </c>
      <c r="L19" s="20">
        <f>IF(الجدول1[[#This Row],[حالة الشكوى]]="عالقة",1,0)</f>
        <v>0</v>
      </c>
      <c r="M19" s="20">
        <f>IF(الجدول1[[#This Row],[فئة الطلب]]=$AI$5,1,0)</f>
        <v>0</v>
      </c>
      <c r="N19" s="20">
        <f>IF(الجدول1[[#This Row],[فئة الطلب]]=$AI$6,1,0)</f>
        <v>0</v>
      </c>
      <c r="O19" s="20">
        <f>IF(الجدول1[[#This Row],[فئة الطلب]]=$AI$7,1,0)</f>
        <v>0</v>
      </c>
      <c r="P19" s="20">
        <f>IF(الجدول1[[#This Row],[فئة الطلب]]=$AI$9,1,0)</f>
        <v>0</v>
      </c>
      <c r="Q19" s="20">
        <f>IF(الجدول1[[#This Row],[فئة الطلب]]=$AI$8,1,0)</f>
        <v>0</v>
      </c>
      <c r="R19" s="20">
        <f>IF(الجدول1[[#This Row],[حالة الشكوى]]=$AD$8,1,0)</f>
        <v>0</v>
      </c>
      <c r="S19" s="60">
        <f>IF(الجدول1[[#This Row],[حالة الشكوى]]=$AD$9,1,0)</f>
        <v>0</v>
      </c>
      <c r="T19" s="60">
        <f>IF(الجدول1[[#This Row],[Gender]]="m",1,0)</f>
        <v>0</v>
      </c>
      <c r="U19" s="60">
        <f>IF(الجدول1[[#This Row],[Gender]]="f",1,0)</f>
        <v>0</v>
      </c>
    </row>
    <row r="20" spans="1:31" ht="36.75" customHeight="1" x14ac:dyDescent="0.25">
      <c r="A20" s="259"/>
      <c r="B20" s="126"/>
      <c r="C20" s="260"/>
      <c r="D20" s="260"/>
      <c r="E20" s="52"/>
      <c r="F20" s="261"/>
      <c r="G20" s="60">
        <f>IF(الجدول1[[#This Row],[نوع الشكوى]]="هاتفية",1,0)</f>
        <v>0</v>
      </c>
      <c r="H20" s="60">
        <f>IF(الجدول1[[#This Row],[نوع الشكوى]]="زيارة مباشرة",1,0)</f>
        <v>0</v>
      </c>
      <c r="I20" s="60">
        <f>IF(الجدول1[[#This Row],[نوع الشكوى]]="ملاحظة من قبل الموظف المسؤول",1,0)</f>
        <v>0</v>
      </c>
      <c r="J20" s="20">
        <f>IF(الجدول1[[#This Row],[حالة الشكوى]]="معالجة",1,0)</f>
        <v>0</v>
      </c>
      <c r="K20" s="20">
        <f>IF(الجدول1[[#This Row],[حالة الشكوى]]="محالة",1,0)</f>
        <v>0</v>
      </c>
      <c r="L20" s="20">
        <f>IF(الجدول1[[#This Row],[حالة الشكوى]]="عالقة",1,0)</f>
        <v>0</v>
      </c>
      <c r="M20" s="20">
        <f>IF(الجدول1[[#This Row],[فئة الطلب]]=$AI$5,1,0)</f>
        <v>0</v>
      </c>
      <c r="N20" s="20">
        <f>IF(الجدول1[[#This Row],[فئة الطلب]]=$AI$6,1,0)</f>
        <v>0</v>
      </c>
      <c r="O20" s="20">
        <f>IF(الجدول1[[#This Row],[فئة الطلب]]=$AI$7,1,0)</f>
        <v>0</v>
      </c>
      <c r="P20" s="20">
        <f>IF(الجدول1[[#This Row],[فئة الطلب]]=$AI$9,1,0)</f>
        <v>0</v>
      </c>
      <c r="Q20" s="20">
        <f>IF(الجدول1[[#This Row],[فئة الطلب]]=$AI$8,1,0)</f>
        <v>0</v>
      </c>
      <c r="R20" s="20">
        <f>IF(الجدول1[[#This Row],[حالة الشكوى]]=$AD$8,1,0)</f>
        <v>0</v>
      </c>
      <c r="S20" s="60">
        <f>IF(الجدول1[[#This Row],[حالة الشكوى]]=$AD$9,1,0)</f>
        <v>0</v>
      </c>
      <c r="T20" s="60">
        <f>IF(الجدول1[[#This Row],[Gender]]="m",1,0)</f>
        <v>0</v>
      </c>
      <c r="U20" s="60">
        <f>IF(الجدول1[[#This Row],[Gender]]="f",1,0)</f>
        <v>0</v>
      </c>
    </row>
    <row r="21" spans="1:31" ht="36.75" customHeight="1" x14ac:dyDescent="0.25">
      <c r="A21" s="259"/>
      <c r="B21" s="126"/>
      <c r="C21" s="260"/>
      <c r="D21" s="260"/>
      <c r="E21" s="52"/>
      <c r="F21" s="261"/>
      <c r="G21" s="60">
        <f>IF(الجدول1[[#This Row],[نوع الشكوى]]="هاتفية",1,0)</f>
        <v>0</v>
      </c>
      <c r="H21" s="60">
        <f>IF(الجدول1[[#This Row],[نوع الشكوى]]="زيارة مباشرة",1,0)</f>
        <v>0</v>
      </c>
      <c r="I21" s="60">
        <f>IF(الجدول1[[#This Row],[نوع الشكوى]]="ملاحظة من قبل الموظف المسؤول",1,0)</f>
        <v>0</v>
      </c>
      <c r="J21" s="20">
        <f>IF(الجدول1[[#This Row],[حالة الشكوى]]="معالجة",1,0)</f>
        <v>0</v>
      </c>
      <c r="K21" s="20">
        <f>IF(الجدول1[[#This Row],[حالة الشكوى]]="محالة",1,0)</f>
        <v>0</v>
      </c>
      <c r="L21" s="20">
        <f>IF(الجدول1[[#This Row],[حالة الشكوى]]="عالقة",1,0)</f>
        <v>0</v>
      </c>
      <c r="M21" s="20">
        <f>IF(الجدول1[[#This Row],[فئة الطلب]]=$AI$5,1,0)</f>
        <v>0</v>
      </c>
      <c r="N21" s="20">
        <f>IF(الجدول1[[#This Row],[فئة الطلب]]=$AI$6,1,0)</f>
        <v>0</v>
      </c>
      <c r="O21" s="20">
        <f>IF(الجدول1[[#This Row],[فئة الطلب]]=$AI$7,1,0)</f>
        <v>0</v>
      </c>
      <c r="P21" s="20">
        <f>IF(الجدول1[[#This Row],[فئة الطلب]]=$AI$9,1,0)</f>
        <v>0</v>
      </c>
      <c r="Q21" s="20">
        <f>IF(الجدول1[[#This Row],[فئة الطلب]]=$AI$8,1,0)</f>
        <v>0</v>
      </c>
      <c r="R21" s="20">
        <f>IF(الجدول1[[#This Row],[حالة الشكوى]]=$AD$8,1,0)</f>
        <v>0</v>
      </c>
      <c r="S21" s="60">
        <f>IF(الجدول1[[#This Row],[حالة الشكوى]]=$AD$9,1,0)</f>
        <v>0</v>
      </c>
      <c r="T21" s="60">
        <f>IF(الجدول1[[#This Row],[Gender]]="m",1,0)</f>
        <v>0</v>
      </c>
      <c r="U21" s="60">
        <f>IF(الجدول1[[#This Row],[Gender]]="f",1,0)</f>
        <v>0</v>
      </c>
    </row>
    <row r="22" spans="1:31" ht="36.75" customHeight="1" x14ac:dyDescent="0.25">
      <c r="A22" s="259"/>
      <c r="B22" s="126"/>
      <c r="C22" s="260"/>
      <c r="D22" s="260"/>
      <c r="E22" s="52"/>
      <c r="F22" s="261"/>
      <c r="G22" s="60">
        <f>IF(الجدول1[[#This Row],[نوع الشكوى]]="هاتفية",1,0)</f>
        <v>0</v>
      </c>
      <c r="H22" s="60">
        <f>IF(الجدول1[[#This Row],[نوع الشكوى]]="زيارة مباشرة",1,0)</f>
        <v>0</v>
      </c>
      <c r="I22" s="60">
        <f>IF(الجدول1[[#This Row],[نوع الشكوى]]="ملاحظة من قبل الموظف المسؤول",1,0)</f>
        <v>0</v>
      </c>
      <c r="J22" s="20">
        <f>IF(الجدول1[[#This Row],[حالة الشكوى]]="معالجة",1,0)</f>
        <v>0</v>
      </c>
      <c r="K22" s="20">
        <f>IF(الجدول1[[#This Row],[حالة الشكوى]]="محالة",1,0)</f>
        <v>0</v>
      </c>
      <c r="L22" s="20">
        <f>IF(الجدول1[[#This Row],[حالة الشكوى]]="عالقة",1,0)</f>
        <v>0</v>
      </c>
      <c r="M22" s="20">
        <f>IF(الجدول1[[#This Row],[فئة الطلب]]=$AI$5,1,0)</f>
        <v>0</v>
      </c>
      <c r="N22" s="20">
        <f>IF(الجدول1[[#This Row],[فئة الطلب]]=$AI$6,1,0)</f>
        <v>0</v>
      </c>
      <c r="O22" s="20">
        <f>IF(الجدول1[[#This Row],[فئة الطلب]]=$AI$7,1,0)</f>
        <v>0</v>
      </c>
      <c r="P22" s="20">
        <f>IF(الجدول1[[#This Row],[فئة الطلب]]=$AI$9,1,0)</f>
        <v>0</v>
      </c>
      <c r="Q22" s="20">
        <f>IF(الجدول1[[#This Row],[فئة الطلب]]=$AI$8,1,0)</f>
        <v>0</v>
      </c>
      <c r="R22" s="20">
        <f>IF(الجدول1[[#This Row],[حالة الشكوى]]=$AD$8,1,0)</f>
        <v>0</v>
      </c>
      <c r="S22" s="60">
        <f>IF(الجدول1[[#This Row],[حالة الشكوى]]=$AD$9,1,0)</f>
        <v>0</v>
      </c>
      <c r="T22" s="60">
        <f>IF(الجدول1[[#This Row],[Gender]]="m",1,0)</f>
        <v>0</v>
      </c>
      <c r="U22" s="60">
        <f>IF(الجدول1[[#This Row],[Gender]]="f",1,0)</f>
        <v>0</v>
      </c>
    </row>
    <row r="23" spans="1:31" ht="36.75" customHeight="1" x14ac:dyDescent="0.25">
      <c r="A23" s="259"/>
      <c r="B23" s="126"/>
      <c r="C23" s="260"/>
      <c r="D23" s="260"/>
      <c r="E23" s="52"/>
      <c r="F23" s="261"/>
      <c r="G23" s="60">
        <f>IF(الجدول1[[#This Row],[نوع الشكوى]]="هاتفية",1,0)</f>
        <v>0</v>
      </c>
      <c r="H23" s="60">
        <f>IF(الجدول1[[#This Row],[نوع الشكوى]]="زيارة مباشرة",1,0)</f>
        <v>0</v>
      </c>
      <c r="I23" s="60">
        <f>IF(الجدول1[[#This Row],[نوع الشكوى]]="ملاحظة من قبل الموظف المسؤول",1,0)</f>
        <v>0</v>
      </c>
      <c r="J23" s="20">
        <f>IF(الجدول1[[#This Row],[حالة الشكوى]]="معالجة",1,0)</f>
        <v>0</v>
      </c>
      <c r="K23" s="20">
        <f>IF(الجدول1[[#This Row],[حالة الشكوى]]="محالة",1,0)</f>
        <v>0</v>
      </c>
      <c r="L23" s="20">
        <f>IF(الجدول1[[#This Row],[حالة الشكوى]]="عالقة",1,0)</f>
        <v>0</v>
      </c>
      <c r="M23" s="20">
        <f>IF(الجدول1[[#This Row],[فئة الطلب]]=$AI$5,1,0)</f>
        <v>0</v>
      </c>
      <c r="N23" s="20">
        <f>IF(الجدول1[[#This Row],[فئة الطلب]]=$AI$6,1,0)</f>
        <v>0</v>
      </c>
      <c r="O23" s="20">
        <f>IF(الجدول1[[#This Row],[فئة الطلب]]=$AI$7,1,0)</f>
        <v>0</v>
      </c>
      <c r="P23" s="20">
        <f>IF(الجدول1[[#This Row],[فئة الطلب]]=$AI$9,1,0)</f>
        <v>0</v>
      </c>
      <c r="Q23" s="20">
        <f>IF(الجدول1[[#This Row],[فئة الطلب]]=$AI$8,1,0)</f>
        <v>0</v>
      </c>
      <c r="R23" s="20">
        <f>IF(الجدول1[[#This Row],[حالة الشكوى]]=$AD$8,1,0)</f>
        <v>0</v>
      </c>
      <c r="S23" s="60">
        <f>IF(الجدول1[[#This Row],[حالة الشكوى]]=$AD$9,1,0)</f>
        <v>0</v>
      </c>
      <c r="T23" s="60">
        <f>IF(الجدول1[[#This Row],[Gender]]="m",1,0)</f>
        <v>0</v>
      </c>
      <c r="U23" s="60">
        <f>IF(الجدول1[[#This Row],[Gender]]="f",1,0)</f>
        <v>0</v>
      </c>
    </row>
    <row r="24" spans="1:31" ht="36.75" customHeight="1" x14ac:dyDescent="0.25">
      <c r="A24" s="259"/>
      <c r="B24" s="126"/>
      <c r="C24" s="260"/>
      <c r="D24" s="260"/>
      <c r="E24" s="52"/>
      <c r="F24" s="261"/>
      <c r="G24" s="60">
        <f>IF(الجدول1[[#This Row],[نوع الشكوى]]="هاتفية",1,0)</f>
        <v>0</v>
      </c>
      <c r="H24" s="60">
        <f>IF(الجدول1[[#This Row],[نوع الشكوى]]="زيارة مباشرة",1,0)</f>
        <v>0</v>
      </c>
      <c r="I24" s="60">
        <f>IF(الجدول1[[#This Row],[نوع الشكوى]]="ملاحظة من قبل الموظف المسؤول",1,0)</f>
        <v>0</v>
      </c>
      <c r="J24" s="20">
        <f>IF(الجدول1[[#This Row],[حالة الشكوى]]="معالجة",1,0)</f>
        <v>0</v>
      </c>
      <c r="K24" s="20">
        <f>IF(الجدول1[[#This Row],[حالة الشكوى]]="محالة",1,0)</f>
        <v>0</v>
      </c>
      <c r="L24" s="20">
        <f>IF(الجدول1[[#This Row],[حالة الشكوى]]="عالقة",1,0)</f>
        <v>0</v>
      </c>
      <c r="M24" s="20">
        <f>IF(الجدول1[[#This Row],[فئة الطلب]]=$AI$5,1,0)</f>
        <v>0</v>
      </c>
      <c r="N24" s="20">
        <f>IF(الجدول1[[#This Row],[فئة الطلب]]=$AI$6,1,0)</f>
        <v>0</v>
      </c>
      <c r="O24" s="20">
        <f>IF(الجدول1[[#This Row],[فئة الطلب]]=$AI$7,1,0)</f>
        <v>0</v>
      </c>
      <c r="P24" s="20">
        <f>IF(الجدول1[[#This Row],[فئة الطلب]]=$AI$9,1,0)</f>
        <v>0</v>
      </c>
      <c r="Q24" s="20">
        <f>IF(الجدول1[[#This Row],[فئة الطلب]]=$AI$8,1,0)</f>
        <v>0</v>
      </c>
      <c r="R24" s="20">
        <f>IF(الجدول1[[#This Row],[حالة الشكوى]]=$AD$8,1,0)</f>
        <v>0</v>
      </c>
      <c r="S24" s="60">
        <f>IF(الجدول1[[#This Row],[حالة الشكوى]]=$AD$9,1,0)</f>
        <v>0</v>
      </c>
      <c r="T24" s="60">
        <f>IF(الجدول1[[#This Row],[Gender]]="m",1,0)</f>
        <v>0</v>
      </c>
      <c r="U24" s="60">
        <f>IF(الجدول1[[#This Row],[Gender]]="f",1,0)</f>
        <v>0</v>
      </c>
    </row>
    <row r="25" spans="1:31" ht="36.75" customHeight="1" x14ac:dyDescent="0.25">
      <c r="A25" s="259"/>
      <c r="B25" s="126"/>
      <c r="C25" s="260"/>
      <c r="D25" s="260"/>
      <c r="E25" s="52"/>
      <c r="F25" s="261"/>
      <c r="G25" s="60">
        <f>IF(الجدول1[[#This Row],[نوع الشكوى]]="هاتفية",1,0)</f>
        <v>0</v>
      </c>
      <c r="H25" s="60">
        <f>IF(الجدول1[[#This Row],[نوع الشكوى]]="زيارة مباشرة",1,0)</f>
        <v>0</v>
      </c>
      <c r="I25" s="60">
        <f>IF(الجدول1[[#This Row],[نوع الشكوى]]="ملاحظة من قبل الموظف المسؤول",1,0)</f>
        <v>0</v>
      </c>
      <c r="J25" s="20">
        <f>IF(الجدول1[[#This Row],[حالة الشكوى]]="معالجة",1,0)</f>
        <v>0</v>
      </c>
      <c r="K25" s="20">
        <f>IF(الجدول1[[#This Row],[حالة الشكوى]]="محالة",1,0)</f>
        <v>0</v>
      </c>
      <c r="L25" s="20">
        <f>IF(الجدول1[[#This Row],[حالة الشكوى]]="عالقة",1,0)</f>
        <v>0</v>
      </c>
      <c r="M25" s="20">
        <f>IF(الجدول1[[#This Row],[فئة الطلب]]=$AI$5,1,0)</f>
        <v>0</v>
      </c>
      <c r="N25" s="20">
        <f>IF(الجدول1[[#This Row],[فئة الطلب]]=$AI$6,1,0)</f>
        <v>0</v>
      </c>
      <c r="O25" s="20">
        <f>IF(الجدول1[[#This Row],[فئة الطلب]]=$AI$7,1,0)</f>
        <v>0</v>
      </c>
      <c r="P25" s="20">
        <f>IF(الجدول1[[#This Row],[فئة الطلب]]=$AI$9,1,0)</f>
        <v>0</v>
      </c>
      <c r="Q25" s="20">
        <f>IF(الجدول1[[#This Row],[فئة الطلب]]=$AI$8,1,0)</f>
        <v>0</v>
      </c>
      <c r="R25" s="20">
        <f>IF(الجدول1[[#This Row],[حالة الشكوى]]=$AD$8,1,0)</f>
        <v>0</v>
      </c>
      <c r="S25" s="60">
        <f>IF(الجدول1[[#This Row],[حالة الشكوى]]=$AD$9,1,0)</f>
        <v>0</v>
      </c>
      <c r="T25" s="60">
        <f>IF(الجدول1[[#This Row],[Gender]]="m",1,0)</f>
        <v>0</v>
      </c>
      <c r="U25" s="60">
        <f>IF(الجدول1[[#This Row],[Gender]]="f",1,0)</f>
        <v>0</v>
      </c>
    </row>
    <row r="26" spans="1:31" ht="36.75" customHeight="1" x14ac:dyDescent="0.25">
      <c r="A26" s="259"/>
      <c r="B26" s="126"/>
      <c r="C26" s="260"/>
      <c r="D26" s="260"/>
      <c r="E26" s="52"/>
      <c r="F26" s="261"/>
      <c r="G26" s="60">
        <f>IF(الجدول1[[#This Row],[نوع الشكوى]]="هاتفية",1,0)</f>
        <v>0</v>
      </c>
      <c r="H26" s="60">
        <f>IF(الجدول1[[#This Row],[نوع الشكوى]]="زيارة مباشرة",1,0)</f>
        <v>0</v>
      </c>
      <c r="I26" s="60">
        <f>IF(الجدول1[[#This Row],[نوع الشكوى]]="ملاحظة من قبل الموظف المسؤول",1,0)</f>
        <v>0</v>
      </c>
      <c r="J26" s="20">
        <f>IF(الجدول1[[#This Row],[حالة الشكوى]]="معالجة",1,0)</f>
        <v>0</v>
      </c>
      <c r="K26" s="20">
        <f>IF(الجدول1[[#This Row],[حالة الشكوى]]="محالة",1,0)</f>
        <v>0</v>
      </c>
      <c r="L26" s="20">
        <f>IF(الجدول1[[#This Row],[حالة الشكوى]]="عالقة",1,0)</f>
        <v>0</v>
      </c>
      <c r="M26" s="20">
        <f>IF(الجدول1[[#This Row],[فئة الطلب]]=$AI$5,1,0)</f>
        <v>0</v>
      </c>
      <c r="N26" s="20">
        <f>IF(الجدول1[[#This Row],[فئة الطلب]]=$AI$6,1,0)</f>
        <v>0</v>
      </c>
      <c r="O26" s="20">
        <f>IF(الجدول1[[#This Row],[فئة الطلب]]=$AI$7,1,0)</f>
        <v>0</v>
      </c>
      <c r="P26" s="20">
        <f>IF(الجدول1[[#This Row],[فئة الطلب]]=$AI$9,1,0)</f>
        <v>0</v>
      </c>
      <c r="Q26" s="20">
        <f>IF(الجدول1[[#This Row],[فئة الطلب]]=$AI$8,1,0)</f>
        <v>0</v>
      </c>
      <c r="R26" s="20">
        <f>IF(الجدول1[[#This Row],[حالة الشكوى]]=$AD$8,1,0)</f>
        <v>0</v>
      </c>
      <c r="S26" s="60">
        <f>IF(الجدول1[[#This Row],[حالة الشكوى]]=$AD$9,1,0)</f>
        <v>0</v>
      </c>
      <c r="T26" s="60">
        <f>IF(الجدول1[[#This Row],[Gender]]="m",1,0)</f>
        <v>0</v>
      </c>
      <c r="U26" s="60">
        <f>IF(الجدول1[[#This Row],[Gender]]="f",1,0)</f>
        <v>0</v>
      </c>
    </row>
    <row r="27" spans="1:31" ht="36.75" customHeight="1" x14ac:dyDescent="0.25">
      <c r="A27" s="259"/>
      <c r="B27" s="126"/>
      <c r="C27" s="260"/>
      <c r="D27" s="260"/>
      <c r="E27" s="52"/>
      <c r="F27" s="261"/>
      <c r="G27" s="60">
        <f>IF(الجدول1[[#This Row],[نوع الشكوى]]="هاتفية",1,0)</f>
        <v>0</v>
      </c>
      <c r="H27" s="60">
        <f>IF(الجدول1[[#This Row],[نوع الشكوى]]="زيارة مباشرة",1,0)</f>
        <v>0</v>
      </c>
      <c r="I27" s="60">
        <f>IF(الجدول1[[#This Row],[نوع الشكوى]]="ملاحظة من قبل الموظف المسؤول",1,0)</f>
        <v>0</v>
      </c>
      <c r="J27" s="20">
        <f>IF(الجدول1[[#This Row],[حالة الشكوى]]="معالجة",1,0)</f>
        <v>0</v>
      </c>
      <c r="K27" s="20">
        <f>IF(الجدول1[[#This Row],[حالة الشكوى]]="محالة",1,0)</f>
        <v>0</v>
      </c>
      <c r="L27" s="20">
        <f>IF(الجدول1[[#This Row],[حالة الشكوى]]="عالقة",1,0)</f>
        <v>0</v>
      </c>
      <c r="M27" s="20">
        <f>IF(الجدول1[[#This Row],[فئة الطلب]]=$AI$5,1,0)</f>
        <v>0</v>
      </c>
      <c r="N27" s="20">
        <f>IF(الجدول1[[#This Row],[فئة الطلب]]=$AI$6,1,0)</f>
        <v>0</v>
      </c>
      <c r="O27" s="20">
        <f>IF(الجدول1[[#This Row],[فئة الطلب]]=$AI$7,1,0)</f>
        <v>0</v>
      </c>
      <c r="P27" s="20">
        <f>IF(الجدول1[[#This Row],[فئة الطلب]]=$AI$9,1,0)</f>
        <v>0</v>
      </c>
      <c r="Q27" s="20">
        <f>IF(الجدول1[[#This Row],[فئة الطلب]]=$AI$8,1,0)</f>
        <v>0</v>
      </c>
      <c r="R27" s="20">
        <f>IF(الجدول1[[#This Row],[حالة الشكوى]]=$AD$8,1,0)</f>
        <v>0</v>
      </c>
      <c r="S27" s="60">
        <f>IF(الجدول1[[#This Row],[حالة الشكوى]]=$AD$9,1,0)</f>
        <v>0</v>
      </c>
      <c r="T27" s="60">
        <f>IF(الجدول1[[#This Row],[Gender]]="m",1,0)</f>
        <v>0</v>
      </c>
      <c r="U27" s="60">
        <f>IF(الجدول1[[#This Row],[Gender]]="f",1,0)</f>
        <v>0</v>
      </c>
    </row>
    <row r="28" spans="1:31" ht="36.75" customHeight="1" x14ac:dyDescent="0.25">
      <c r="A28" s="259"/>
      <c r="B28" s="126"/>
      <c r="C28" s="260"/>
      <c r="D28" s="260"/>
      <c r="E28" s="52"/>
      <c r="F28" s="261"/>
      <c r="G28" s="60">
        <f>IF(الجدول1[[#This Row],[نوع الشكوى]]="هاتفية",1,0)</f>
        <v>0</v>
      </c>
      <c r="H28" s="60">
        <f>IF(الجدول1[[#This Row],[نوع الشكوى]]="زيارة مباشرة",1,0)</f>
        <v>0</v>
      </c>
      <c r="I28" s="60">
        <f>IF(الجدول1[[#This Row],[نوع الشكوى]]="ملاحظة من قبل الموظف المسؤول",1,0)</f>
        <v>0</v>
      </c>
      <c r="J28" s="20">
        <f>IF(الجدول1[[#This Row],[حالة الشكوى]]="معالجة",1,0)</f>
        <v>0</v>
      </c>
      <c r="K28" s="20">
        <f>IF(الجدول1[[#This Row],[حالة الشكوى]]="محالة",1,0)</f>
        <v>0</v>
      </c>
      <c r="L28" s="20">
        <f>IF(الجدول1[[#This Row],[حالة الشكوى]]="عالقة",1,0)</f>
        <v>0</v>
      </c>
      <c r="M28" s="20">
        <f>IF(الجدول1[[#This Row],[فئة الطلب]]=$AI$5,1,0)</f>
        <v>0</v>
      </c>
      <c r="N28" s="20">
        <f>IF(الجدول1[[#This Row],[فئة الطلب]]=$AI$6,1,0)</f>
        <v>0</v>
      </c>
      <c r="O28" s="20">
        <f>IF(الجدول1[[#This Row],[فئة الطلب]]=$AI$7,1,0)</f>
        <v>0</v>
      </c>
      <c r="P28" s="20">
        <f>IF(الجدول1[[#This Row],[فئة الطلب]]=$AI$9,1,0)</f>
        <v>0</v>
      </c>
      <c r="Q28" s="20">
        <f>IF(الجدول1[[#This Row],[فئة الطلب]]=$AI$8,1,0)</f>
        <v>0</v>
      </c>
      <c r="R28" s="20">
        <f>IF(الجدول1[[#This Row],[حالة الشكوى]]=$AD$8,1,0)</f>
        <v>0</v>
      </c>
      <c r="S28" s="60">
        <f>IF(الجدول1[[#This Row],[حالة الشكوى]]=$AD$9,1,0)</f>
        <v>0</v>
      </c>
      <c r="T28" s="60">
        <f>IF(الجدول1[[#This Row],[Gender]]="m",1,0)</f>
        <v>0</v>
      </c>
      <c r="U28" s="60">
        <f>IF(الجدول1[[#This Row],[Gender]]="f",1,0)</f>
        <v>0</v>
      </c>
    </row>
    <row r="29" spans="1:31" ht="36.75" customHeight="1" x14ac:dyDescent="0.25">
      <c r="A29" s="259"/>
      <c r="B29" s="126"/>
      <c r="C29" s="260"/>
      <c r="D29" s="260"/>
      <c r="E29" s="52"/>
      <c r="F29" s="261"/>
      <c r="G29" s="60">
        <f>IF(الجدول1[[#This Row],[نوع الشكوى]]="هاتفية",1,0)</f>
        <v>0</v>
      </c>
      <c r="H29" s="60">
        <f>IF(الجدول1[[#This Row],[نوع الشكوى]]="زيارة مباشرة",1,0)</f>
        <v>0</v>
      </c>
      <c r="I29" s="60">
        <f>IF(الجدول1[[#This Row],[نوع الشكوى]]="ملاحظة من قبل الموظف المسؤول",1,0)</f>
        <v>0</v>
      </c>
      <c r="J29" s="20">
        <f>IF(الجدول1[[#This Row],[حالة الشكوى]]="معالجة",1,0)</f>
        <v>0</v>
      </c>
      <c r="K29" s="20">
        <f>IF(الجدول1[[#This Row],[حالة الشكوى]]="محالة",1,0)</f>
        <v>0</v>
      </c>
      <c r="L29" s="20">
        <f>IF(الجدول1[[#This Row],[حالة الشكوى]]="عالقة",1,0)</f>
        <v>0</v>
      </c>
      <c r="M29" s="20">
        <f>IF(الجدول1[[#This Row],[فئة الطلب]]=$AI$5,1,0)</f>
        <v>0</v>
      </c>
      <c r="N29" s="20">
        <f>IF(الجدول1[[#This Row],[فئة الطلب]]=$AI$6,1,0)</f>
        <v>0</v>
      </c>
      <c r="O29" s="20">
        <f>IF(الجدول1[[#This Row],[فئة الطلب]]=$AI$7,1,0)</f>
        <v>0</v>
      </c>
      <c r="P29" s="20">
        <f>IF(الجدول1[[#This Row],[فئة الطلب]]=$AI$9,1,0)</f>
        <v>0</v>
      </c>
      <c r="Q29" s="20">
        <f>IF(الجدول1[[#This Row],[فئة الطلب]]=$AI$8,1,0)</f>
        <v>0</v>
      </c>
      <c r="R29" s="20">
        <f>IF(الجدول1[[#This Row],[حالة الشكوى]]=$AD$8,1,0)</f>
        <v>0</v>
      </c>
      <c r="S29" s="60">
        <f>IF(الجدول1[[#This Row],[حالة الشكوى]]=$AD$9,1,0)</f>
        <v>0</v>
      </c>
      <c r="T29" s="60">
        <f>IF(الجدول1[[#This Row],[Gender]]="m",1,0)</f>
        <v>0</v>
      </c>
      <c r="U29" s="60">
        <f>IF(الجدول1[[#This Row],[Gender]]="f",1,0)</f>
        <v>0</v>
      </c>
    </row>
    <row r="30" spans="1:31" ht="36.75" customHeight="1" x14ac:dyDescent="0.25">
      <c r="A30" s="259"/>
      <c r="B30" s="126"/>
      <c r="C30" s="260"/>
      <c r="D30" s="260"/>
      <c r="E30" s="52"/>
      <c r="F30" s="261"/>
      <c r="G30" s="60">
        <f>IF(الجدول1[[#This Row],[نوع الشكوى]]="هاتفية",1,0)</f>
        <v>0</v>
      </c>
      <c r="H30" s="60">
        <f>IF(الجدول1[[#This Row],[نوع الشكوى]]="زيارة مباشرة",1,0)</f>
        <v>0</v>
      </c>
      <c r="I30" s="60">
        <f>IF(الجدول1[[#This Row],[نوع الشكوى]]="ملاحظة من قبل الموظف المسؤول",1,0)</f>
        <v>0</v>
      </c>
      <c r="J30" s="20">
        <f>IF(الجدول1[[#This Row],[حالة الشكوى]]="معالجة",1,0)</f>
        <v>0</v>
      </c>
      <c r="K30" s="20">
        <f>IF(الجدول1[[#This Row],[حالة الشكوى]]="محالة",1,0)</f>
        <v>0</v>
      </c>
      <c r="L30" s="20">
        <f>IF(الجدول1[[#This Row],[حالة الشكوى]]="عالقة",1,0)</f>
        <v>0</v>
      </c>
      <c r="M30" s="20">
        <f>IF(الجدول1[[#This Row],[فئة الطلب]]=$AI$5,1,0)</f>
        <v>0</v>
      </c>
      <c r="N30" s="20">
        <f>IF(الجدول1[[#This Row],[فئة الطلب]]=$AI$6,1,0)</f>
        <v>0</v>
      </c>
      <c r="O30" s="20">
        <f>IF(الجدول1[[#This Row],[فئة الطلب]]=$AI$7,1,0)</f>
        <v>0</v>
      </c>
      <c r="P30" s="20">
        <f>IF(الجدول1[[#This Row],[فئة الطلب]]=$AI$9,1,0)</f>
        <v>0</v>
      </c>
      <c r="Q30" s="20">
        <f>IF(الجدول1[[#This Row],[فئة الطلب]]=$AI$8,1,0)</f>
        <v>0</v>
      </c>
      <c r="R30" s="20">
        <f>IF(الجدول1[[#This Row],[حالة الشكوى]]=$AD$8,1,0)</f>
        <v>0</v>
      </c>
      <c r="S30" s="60">
        <f>IF(الجدول1[[#This Row],[حالة الشكوى]]=$AD$9,1,0)</f>
        <v>0</v>
      </c>
      <c r="T30" s="60">
        <f>IF(الجدول1[[#This Row],[Gender]]="m",1,0)</f>
        <v>0</v>
      </c>
      <c r="U30" s="60">
        <f>IF(الجدول1[[#This Row],[Gender]]="f",1,0)</f>
        <v>0</v>
      </c>
    </row>
    <row r="31" spans="1:31" ht="36.75" customHeight="1" x14ac:dyDescent="0.25">
      <c r="A31" s="259"/>
      <c r="B31" s="126"/>
      <c r="C31" s="260"/>
      <c r="D31" s="260"/>
      <c r="E31" s="52"/>
      <c r="F31" s="261"/>
      <c r="G31" s="60">
        <f>IF(الجدول1[[#This Row],[نوع الشكوى]]="هاتفية",1,0)</f>
        <v>0</v>
      </c>
      <c r="H31" s="60">
        <f>IF(الجدول1[[#This Row],[نوع الشكوى]]="زيارة مباشرة",1,0)</f>
        <v>0</v>
      </c>
      <c r="I31" s="60">
        <f>IF(الجدول1[[#This Row],[نوع الشكوى]]="ملاحظة من قبل الموظف المسؤول",1,0)</f>
        <v>0</v>
      </c>
      <c r="J31" s="20">
        <f>IF(الجدول1[[#This Row],[حالة الشكوى]]="معالجة",1,0)</f>
        <v>0</v>
      </c>
      <c r="K31" s="20">
        <f>IF(الجدول1[[#This Row],[حالة الشكوى]]="محالة",1,0)</f>
        <v>0</v>
      </c>
      <c r="L31" s="20">
        <f>IF(الجدول1[[#This Row],[حالة الشكوى]]="عالقة",1,0)</f>
        <v>0</v>
      </c>
      <c r="M31" s="20">
        <f>IF(الجدول1[[#This Row],[فئة الطلب]]=$AI$5,1,0)</f>
        <v>0</v>
      </c>
      <c r="N31" s="20">
        <f>IF(الجدول1[[#This Row],[فئة الطلب]]=$AI$6,1,0)</f>
        <v>0</v>
      </c>
      <c r="O31" s="20">
        <f>IF(الجدول1[[#This Row],[فئة الطلب]]=$AI$7,1,0)</f>
        <v>0</v>
      </c>
      <c r="P31" s="20">
        <f>IF(الجدول1[[#This Row],[فئة الطلب]]=$AI$9,1,0)</f>
        <v>0</v>
      </c>
      <c r="Q31" s="20">
        <f>IF(الجدول1[[#This Row],[فئة الطلب]]=$AI$8,1,0)</f>
        <v>0</v>
      </c>
      <c r="R31" s="20">
        <f>IF(الجدول1[[#This Row],[حالة الشكوى]]=$AD$8,1,0)</f>
        <v>0</v>
      </c>
      <c r="S31" s="60">
        <f>IF(الجدول1[[#This Row],[حالة الشكوى]]=$AD$9,1,0)</f>
        <v>0</v>
      </c>
      <c r="T31" s="60">
        <f>IF(الجدول1[[#This Row],[Gender]]="m",1,0)</f>
        <v>0</v>
      </c>
      <c r="U31" s="60">
        <f>IF(الجدول1[[#This Row],[Gender]]="f",1,0)</f>
        <v>0</v>
      </c>
    </row>
    <row r="32" spans="1:31" ht="36.75" customHeight="1" x14ac:dyDescent="0.25">
      <c r="A32" s="259"/>
      <c r="B32" s="126"/>
      <c r="C32" s="260"/>
      <c r="D32" s="260"/>
      <c r="E32" s="52"/>
      <c r="F32" s="261"/>
      <c r="G32" s="60">
        <f>IF(الجدول1[[#This Row],[نوع الشكوى]]="هاتفية",1,0)</f>
        <v>0</v>
      </c>
      <c r="H32" s="60">
        <f>IF(الجدول1[[#This Row],[نوع الشكوى]]="زيارة مباشرة",1,0)</f>
        <v>0</v>
      </c>
      <c r="I32" s="60">
        <f>IF(الجدول1[[#This Row],[نوع الشكوى]]="ملاحظة من قبل الموظف المسؤول",1,0)</f>
        <v>0</v>
      </c>
      <c r="J32" s="20">
        <f>IF(الجدول1[[#This Row],[حالة الشكوى]]="معالجة",1,0)</f>
        <v>0</v>
      </c>
      <c r="K32" s="20">
        <f>IF(الجدول1[[#This Row],[حالة الشكوى]]="محالة",1,0)</f>
        <v>0</v>
      </c>
      <c r="L32" s="20">
        <f>IF(الجدول1[[#This Row],[حالة الشكوى]]="عالقة",1,0)</f>
        <v>0</v>
      </c>
      <c r="M32" s="20">
        <f>IF(الجدول1[[#This Row],[فئة الطلب]]=$AI$5,1,0)</f>
        <v>0</v>
      </c>
      <c r="N32" s="20">
        <f>IF(الجدول1[[#This Row],[فئة الطلب]]=$AI$6,1,0)</f>
        <v>0</v>
      </c>
      <c r="O32" s="20">
        <f>IF(الجدول1[[#This Row],[فئة الطلب]]=$AI$7,1,0)</f>
        <v>0</v>
      </c>
      <c r="P32" s="20">
        <f>IF(الجدول1[[#This Row],[فئة الطلب]]=$AI$9,1,0)</f>
        <v>0</v>
      </c>
      <c r="Q32" s="20">
        <f>IF(الجدول1[[#This Row],[فئة الطلب]]=$AI$8,1,0)</f>
        <v>0</v>
      </c>
      <c r="R32" s="20">
        <f>IF(الجدول1[[#This Row],[حالة الشكوى]]=$AD$8,1,0)</f>
        <v>0</v>
      </c>
      <c r="S32" s="61">
        <f>IF(الجدول1[[#This Row],[حالة الشكوى]]=$AD$9,1,0)</f>
        <v>0</v>
      </c>
      <c r="T32" s="61">
        <f>IF(الجدول1[[#This Row],[Gender]]="m",1,0)</f>
        <v>0</v>
      </c>
      <c r="U32" s="61">
        <f>IF(الجدول1[[#This Row],[Gender]]="f",1,0)</f>
        <v>0</v>
      </c>
    </row>
    <row r="33" spans="1:21" ht="36.75" customHeight="1" x14ac:dyDescent="0.25">
      <c r="A33" s="7"/>
      <c r="B33" s="25">
        <f>SUBTOTAL(103,الجدول1[نوع الشكوى])</f>
        <v>0</v>
      </c>
      <c r="C33" s="25"/>
      <c r="D33" s="25"/>
      <c r="E33" s="25"/>
      <c r="F33" s="25"/>
      <c r="G33" s="80">
        <f>SUBTOTAL(109,الجدول1[Phone])</f>
        <v>0</v>
      </c>
      <c r="H33" s="80">
        <f>SUBTOTAL(109,الجدول1[personal])</f>
        <v>0</v>
      </c>
      <c r="I33" s="62">
        <f>SUBTOTAL(109,الجدول1[Observe])</f>
        <v>0</v>
      </c>
      <c r="J33" s="62">
        <f>SUBTOTAL(109,الجدول1[عدد الشكاوى المعالجة])</f>
        <v>0</v>
      </c>
      <c r="K33" s="62">
        <f>SUBTOTAL(109,الجدول1[عدد الشكاوى المحالة])</f>
        <v>0</v>
      </c>
      <c r="L33" s="62">
        <f>SUBTOTAL(109,الجدول1[عدد الشكاوى العالقة])</f>
        <v>0</v>
      </c>
      <c r="M33" s="62">
        <f>SUBTOTAL(109,الجدول1[عدد طلب المعلومات])</f>
        <v>0</v>
      </c>
      <c r="N33" s="62">
        <f>SUBTOTAL(109,الجدول1[عدد حالات خلل البطاقات])</f>
        <v>0</v>
      </c>
      <c r="O33" s="62">
        <f>SUBTOTAL(109,الجدول1[تأخير صدور البطاقات])</f>
        <v>0</v>
      </c>
      <c r="P33" s="62">
        <f>SUBTOTAL(109,الجدول1[شكوى عن معاملة الموظفين])</f>
        <v>0</v>
      </c>
      <c r="Q33" s="62">
        <f>SUBTOTAL(109,الجدول1[شكوى عن  المتجر])</f>
        <v>0</v>
      </c>
      <c r="R33" s="62">
        <f>SUBTOTAL(109,الجدول1[عدد الحالات المحالة الى براعم])</f>
        <v>0</v>
      </c>
      <c r="S33" s="62">
        <f>SUBTOTAL(109,الجدول1[عدد الشكاوى المحالة الىGOPA])</f>
        <v>0</v>
      </c>
      <c r="T33" s="62">
        <f>SUBTOTAL(109,الجدول1[Male])</f>
        <v>0</v>
      </c>
      <c r="U33" s="62">
        <f>SUBTOTAL(109,الجدول1[Female])</f>
        <v>0</v>
      </c>
    </row>
    <row r="34" spans="1:21" ht="36.75" customHeight="1" x14ac:dyDescent="0.25">
      <c r="A34" s="405" t="s">
        <v>155</v>
      </c>
      <c r="B34" s="405"/>
      <c r="C34" s="405"/>
      <c r="D34" s="405"/>
      <c r="E34" s="405"/>
      <c r="F34" s="405"/>
      <c r="G34" s="50"/>
    </row>
    <row r="35" spans="1:21" ht="36.75" customHeight="1" x14ac:dyDescent="0.25">
      <c r="A35" s="106" t="s">
        <v>120</v>
      </c>
      <c r="B35" s="106" t="s">
        <v>156</v>
      </c>
      <c r="C35" s="106" t="s">
        <v>157</v>
      </c>
      <c r="D35" s="148" t="s">
        <v>158</v>
      </c>
      <c r="E35" s="149" t="s">
        <v>159</v>
      </c>
      <c r="F35" s="149" t="s">
        <v>160</v>
      </c>
    </row>
    <row r="36" spans="1:21" ht="36.75" customHeight="1" x14ac:dyDescent="0.25">
      <c r="A36" s="406"/>
      <c r="B36" s="409"/>
      <c r="C36" s="107"/>
      <c r="D36" s="146"/>
      <c r="E36" s="107"/>
      <c r="F36" s="107">
        <f>D36+E36</f>
        <v>0</v>
      </c>
    </row>
    <row r="37" spans="1:21" ht="36.75" customHeight="1" x14ac:dyDescent="0.25">
      <c r="A37" s="407"/>
      <c r="B37" s="410"/>
      <c r="C37" s="108"/>
      <c r="D37" s="147"/>
      <c r="E37" s="108"/>
      <c r="F37" s="107">
        <f t="shared" ref="F37:F56" si="0">D37+E37</f>
        <v>0</v>
      </c>
    </row>
    <row r="38" spans="1:21" ht="36.75" customHeight="1" x14ac:dyDescent="0.25">
      <c r="A38" s="408"/>
      <c r="B38" s="411"/>
      <c r="C38" s="107"/>
      <c r="D38" s="146"/>
      <c r="E38" s="107"/>
      <c r="F38" s="107">
        <f t="shared" si="0"/>
        <v>0</v>
      </c>
    </row>
    <row r="39" spans="1:21" ht="36.75" customHeight="1" x14ac:dyDescent="0.25">
      <c r="A39" s="406"/>
      <c r="B39" s="409"/>
      <c r="C39" s="107"/>
      <c r="D39" s="146"/>
      <c r="E39" s="107"/>
      <c r="F39" s="107">
        <f t="shared" si="0"/>
        <v>0</v>
      </c>
    </row>
    <row r="40" spans="1:21" ht="36.75" customHeight="1" x14ac:dyDescent="0.25">
      <c r="A40" s="407"/>
      <c r="B40" s="410"/>
      <c r="C40" s="107"/>
      <c r="D40" s="146"/>
      <c r="E40" s="107"/>
      <c r="F40" s="107">
        <f t="shared" si="0"/>
        <v>0</v>
      </c>
    </row>
    <row r="41" spans="1:21" ht="36.75" customHeight="1" x14ac:dyDescent="0.25">
      <c r="A41" s="408"/>
      <c r="B41" s="411"/>
      <c r="C41" s="107"/>
      <c r="D41" s="146"/>
      <c r="E41" s="107"/>
      <c r="F41" s="107">
        <f t="shared" si="0"/>
        <v>0</v>
      </c>
    </row>
    <row r="42" spans="1:21" ht="36.75" customHeight="1" x14ac:dyDescent="0.25">
      <c r="A42" s="406"/>
      <c r="B42" s="409"/>
      <c r="C42" s="107"/>
      <c r="D42" s="146"/>
      <c r="E42" s="107"/>
      <c r="F42" s="107">
        <f t="shared" si="0"/>
        <v>0</v>
      </c>
    </row>
    <row r="43" spans="1:21" ht="36.75" customHeight="1" x14ac:dyDescent="0.25">
      <c r="A43" s="407"/>
      <c r="B43" s="410"/>
      <c r="C43" s="108"/>
      <c r="D43" s="147"/>
      <c r="E43" s="108"/>
      <c r="F43" s="107">
        <f t="shared" si="0"/>
        <v>0</v>
      </c>
    </row>
    <row r="44" spans="1:21" ht="36.75" customHeight="1" x14ac:dyDescent="0.25">
      <c r="A44" s="408"/>
      <c r="B44" s="411"/>
      <c r="C44" s="107"/>
      <c r="D44" s="146"/>
      <c r="E44" s="107"/>
      <c r="F44" s="107">
        <f t="shared" si="0"/>
        <v>0</v>
      </c>
    </row>
    <row r="45" spans="1:21" ht="36.75" customHeight="1" x14ac:dyDescent="0.25">
      <c r="A45" s="406"/>
      <c r="B45" s="409"/>
      <c r="C45" s="107"/>
      <c r="D45" s="146"/>
      <c r="E45" s="107"/>
      <c r="F45" s="107">
        <f t="shared" si="0"/>
        <v>0</v>
      </c>
    </row>
    <row r="46" spans="1:21" ht="36.75" customHeight="1" x14ac:dyDescent="0.25">
      <c r="A46" s="407"/>
      <c r="B46" s="410"/>
      <c r="C46" s="107"/>
      <c r="D46" s="146"/>
      <c r="E46" s="107"/>
      <c r="F46" s="107">
        <f t="shared" si="0"/>
        <v>0</v>
      </c>
    </row>
    <row r="47" spans="1:21" ht="36.75" customHeight="1" x14ac:dyDescent="0.25">
      <c r="A47" s="408"/>
      <c r="B47" s="411"/>
      <c r="C47" s="107"/>
      <c r="D47" s="146"/>
      <c r="E47" s="107"/>
      <c r="F47" s="107">
        <f t="shared" si="0"/>
        <v>0</v>
      </c>
    </row>
    <row r="48" spans="1:21" ht="36.75" customHeight="1" x14ac:dyDescent="0.25">
      <c r="A48" s="406"/>
      <c r="B48" s="409"/>
      <c r="C48" s="107"/>
      <c r="D48" s="146"/>
      <c r="E48" s="107"/>
      <c r="F48" s="107">
        <f t="shared" si="0"/>
        <v>0</v>
      </c>
    </row>
    <row r="49" spans="1:11" ht="36.75" customHeight="1" x14ac:dyDescent="0.25">
      <c r="A49" s="407"/>
      <c r="B49" s="410"/>
      <c r="C49" s="108"/>
      <c r="D49" s="147"/>
      <c r="E49" s="108"/>
      <c r="F49" s="107">
        <f t="shared" si="0"/>
        <v>0</v>
      </c>
    </row>
    <row r="50" spans="1:11" ht="36.75" customHeight="1" x14ac:dyDescent="0.25">
      <c r="A50" s="408"/>
      <c r="B50" s="411"/>
      <c r="C50" s="107"/>
      <c r="D50" s="146"/>
      <c r="E50" s="107"/>
      <c r="F50" s="107">
        <f t="shared" si="0"/>
        <v>0</v>
      </c>
    </row>
    <row r="51" spans="1:11" ht="36.75" customHeight="1" x14ac:dyDescent="0.25">
      <c r="A51" s="406"/>
      <c r="B51" s="409"/>
      <c r="C51" s="107"/>
      <c r="D51" s="147"/>
      <c r="E51" s="108"/>
      <c r="F51" s="107">
        <f t="shared" si="0"/>
        <v>0</v>
      </c>
    </row>
    <row r="52" spans="1:11" ht="36.75" customHeight="1" x14ac:dyDescent="0.25">
      <c r="A52" s="407"/>
      <c r="B52" s="410"/>
      <c r="C52" s="107"/>
      <c r="D52" s="146"/>
      <c r="E52" s="107"/>
      <c r="F52" s="107">
        <f t="shared" si="0"/>
        <v>0</v>
      </c>
    </row>
    <row r="53" spans="1:11" ht="36.75" customHeight="1" x14ac:dyDescent="0.25">
      <c r="A53" s="408"/>
      <c r="B53" s="411"/>
      <c r="C53" s="107"/>
      <c r="D53" s="147"/>
      <c r="E53" s="108"/>
      <c r="F53" s="107">
        <f t="shared" si="0"/>
        <v>0</v>
      </c>
    </row>
    <row r="54" spans="1:11" ht="36.75" customHeight="1" x14ac:dyDescent="0.25">
      <c r="A54" s="406"/>
      <c r="B54" s="409"/>
      <c r="C54" s="107"/>
      <c r="D54" s="146"/>
      <c r="E54" s="107"/>
      <c r="F54" s="107">
        <f t="shared" si="0"/>
        <v>0</v>
      </c>
    </row>
    <row r="55" spans="1:11" ht="36.75" customHeight="1" x14ac:dyDescent="0.25">
      <c r="A55" s="407"/>
      <c r="B55" s="410"/>
      <c r="C55" s="108"/>
      <c r="D55" s="147"/>
      <c r="E55" s="108"/>
      <c r="F55" s="107">
        <f t="shared" si="0"/>
        <v>0</v>
      </c>
    </row>
    <row r="56" spans="1:11" ht="36.75" customHeight="1" x14ac:dyDescent="0.2">
      <c r="A56" s="408"/>
      <c r="B56" s="411"/>
      <c r="C56" s="107"/>
      <c r="D56" s="146"/>
      <c r="E56" s="107"/>
      <c r="F56" s="107">
        <f t="shared" si="0"/>
        <v>0</v>
      </c>
      <c r="K56" s="153" t="s">
        <v>14</v>
      </c>
    </row>
    <row r="57" spans="1:11" ht="36.75" customHeight="1" x14ac:dyDescent="0.25">
      <c r="A57" s="109" t="s">
        <v>161</v>
      </c>
      <c r="B57" s="111">
        <f>COUNTA(B36:B56)</f>
        <v>0</v>
      </c>
      <c r="C57" s="109"/>
      <c r="D57">
        <f>SUBTOTAL(109,الجدول10[إناث])</f>
        <v>0</v>
      </c>
      <c r="E57">
        <f>SUBTOTAL(109,الجدول10[ذكور])</f>
        <v>0</v>
      </c>
      <c r="F57" s="150">
        <f>SUBTOTAL(109,الجدول10[عدد المشاركين])</f>
        <v>0</v>
      </c>
    </row>
  </sheetData>
  <sheetProtection password="F128" sheet="1" objects="1" scenarios="1"/>
  <protectedRanges>
    <protectedRange algorithmName="SHA-512" hashValue="c+oLwWXXBApUBtj/H6lGjecVX8fhufN76VLMFD1ELtmVw1EZV7GgvTwdg+eSOsI7x+J1c2bgxF7xK2bof9KsCw==" saltValue="YzPHto2BN26blH2dx+UApQ==" spinCount="100000" sqref="A4:F32 A36:E56" name="زياد"/>
  </protectedRanges>
  <mergeCells count="15">
    <mergeCell ref="A34:F34"/>
    <mergeCell ref="A51:A53"/>
    <mergeCell ref="B51:B53"/>
    <mergeCell ref="A54:A56"/>
    <mergeCell ref="B54:B56"/>
    <mergeCell ref="A36:A38"/>
    <mergeCell ref="B36:B38"/>
    <mergeCell ref="A39:A41"/>
    <mergeCell ref="B39:B41"/>
    <mergeCell ref="A42:A44"/>
    <mergeCell ref="B42:B44"/>
    <mergeCell ref="A45:A47"/>
    <mergeCell ref="B45:B47"/>
    <mergeCell ref="A48:A50"/>
    <mergeCell ref="B48:B50"/>
  </mergeCells>
  <phoneticPr fontId="6" type="noConversion"/>
  <dataValidations count="6">
    <dataValidation type="list" allowBlank="1" showInputMessage="1" showErrorMessage="1" sqref="B4:B32">
      <formula1>$AG$5:$AG$10</formula1>
    </dataValidation>
    <dataValidation type="whole" operator="greaterThanOrEqual" allowBlank="1" showInputMessage="1" showErrorMessage="1" sqref="D36:E48">
      <formula1>0</formula1>
    </dataValidation>
    <dataValidation type="list" allowBlank="1" showInputMessage="1" showErrorMessage="1" sqref="C36:C48">
      <formula1>$AE$3:$AE$18</formula1>
    </dataValidation>
    <dataValidation type="list" allowBlank="1" showInputMessage="1" showErrorMessage="1" sqref="E4:E32">
      <formula1>$AD$10:$AD$11</formula1>
    </dataValidation>
    <dataValidation type="list" allowBlank="1" showInputMessage="1" showErrorMessage="1" sqref="C4:C32">
      <formula1>$AI$5:$AI$10</formula1>
    </dataValidation>
    <dataValidation type="list" allowBlank="1" showInputMessage="1" showErrorMessage="1" sqref="F4:F32">
      <formula1>$AD$5:$AD$9</formula1>
    </dataValidation>
  </dataValidations>
  <hyperlinks>
    <hyperlink ref="E1" location="Report!A1" display="Report"/>
  </hyperlink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18</vt:i4>
      </vt:variant>
      <vt:variant>
        <vt:lpstr>نطاقات تمت تسميتها</vt:lpstr>
      </vt:variant>
      <vt:variant>
        <vt:i4>1</vt:i4>
      </vt:variant>
    </vt:vector>
  </HeadingPairs>
  <TitlesOfParts>
    <vt:vector size="19" baseType="lpstr">
      <vt:lpstr>Suggestions and challenges</vt:lpstr>
      <vt:lpstr>Summary</vt:lpstr>
      <vt:lpstr>Monthly Report for WFP</vt:lpstr>
      <vt:lpstr>Home Page</vt:lpstr>
      <vt:lpstr>Report</vt:lpstr>
      <vt:lpstr>Enrollment</vt:lpstr>
      <vt:lpstr>Disterbution</vt:lpstr>
      <vt:lpstr>Help Disk_NABEDH</vt:lpstr>
      <vt:lpstr>Help Disk_ATHAR</vt:lpstr>
      <vt:lpstr>Monitoring_NABEDH</vt:lpstr>
      <vt:lpstr>Awareness_CB_NABEDH</vt:lpstr>
      <vt:lpstr>Awareness_CB_ATHAR</vt:lpstr>
      <vt:lpstr>MUAC_ ATHAR</vt:lpstr>
      <vt:lpstr>MUAC_NABEDH</vt:lpstr>
      <vt:lpstr>protaction</vt:lpstr>
      <vt:lpstr>Monitoring_ATHAR</vt:lpstr>
      <vt:lpstr>Reception ATHER</vt:lpstr>
      <vt:lpstr>Reception NABEDH</vt:lpstr>
      <vt:lpstr>Report!Print_Area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Athar CC</dc:creator>
  <cp:keywords/>
  <dc:description/>
  <cp:lastModifiedBy>DR.Ahmed Saker 2O14</cp:lastModifiedBy>
  <cp:revision/>
  <dcterms:created xsi:type="dcterms:W3CDTF">2015-06-05T18:17:20Z</dcterms:created>
  <dcterms:modified xsi:type="dcterms:W3CDTF">2023-08-22T08:04:23Z</dcterms:modified>
  <cp:category/>
  <cp:contentStatus/>
</cp:coreProperties>
</file>