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242F313-574F-4C57-ACBC-0CFDEABC3C1E}" xr6:coauthVersionLast="36" xr6:coauthVersionMax="36" xr10:uidLastSave="{00000000-0000-0000-0000-000000000000}"/>
  <bookViews>
    <workbookView xWindow="0" yWindow="0" windowWidth="20490" windowHeight="7545" activeTab="1" xr2:uid="{CEEA4E13-0D7A-413F-94B4-88C6EEAB25F8}"/>
  </bookViews>
  <sheets>
    <sheet name="Index" sheetId="19" r:id="rId1"/>
    <sheet name="Dashbord" sheetId="18" r:id="rId2"/>
    <sheet name="drivers sheet" sheetId="7" r:id="rId3"/>
    <sheet name="Drivers" sheetId="6" r:id="rId4"/>
    <sheet name="Schedule" sheetId="9" r:id="rId5"/>
    <sheet name="BS " sheetId="10" r:id="rId6"/>
    <sheet name="PL" sheetId="8" r:id="rId7"/>
    <sheet name="Cash flow" sheetId="17" r:id="rId8"/>
    <sheet name="ratios" sheetId="12" r:id="rId9"/>
    <sheet name="WACC" sheetId="13" r:id="rId10"/>
    <sheet name="DCF" sheetId="15" r:id="rId11"/>
    <sheet name="Share price" sheetId="16" r:id="rId12"/>
    <sheet name="BS Source" sheetId="3" r:id="rId13"/>
    <sheet name="P&amp;L source" sheetId="4" r:id="rId14"/>
    <sheet name=" cash flow source" sheetId="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6" l="1"/>
  <c r="E47" i="6"/>
  <c r="F47" i="6"/>
  <c r="G47" i="6"/>
  <c r="C47" i="6"/>
  <c r="D21" i="12" l="1"/>
  <c r="E21" i="12"/>
  <c r="F21" i="12"/>
  <c r="G21" i="12"/>
  <c r="C21" i="12"/>
  <c r="D20" i="12"/>
  <c r="E20" i="12"/>
  <c r="F20" i="12"/>
  <c r="G20" i="12"/>
  <c r="C20" i="12"/>
  <c r="D19" i="12"/>
  <c r="E19" i="12"/>
  <c r="F19" i="12"/>
  <c r="G19" i="12"/>
  <c r="H19" i="12"/>
  <c r="I19" i="12"/>
  <c r="J19" i="12"/>
  <c r="K19" i="12"/>
  <c r="L19" i="12"/>
  <c r="C19" i="12"/>
  <c r="H6" i="13" l="1"/>
  <c r="H8" i="13" s="1"/>
  <c r="H7" i="13"/>
  <c r="H11" i="13"/>
  <c r="H12" i="13" s="1"/>
  <c r="H14" i="13" l="1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5" i="16"/>
  <c r="C41" i="15"/>
  <c r="C44" i="15"/>
  <c r="G19" i="19"/>
  <c r="G17" i="19"/>
  <c r="E55" i="17"/>
  <c r="F55" i="17"/>
  <c r="E54" i="17"/>
  <c r="F54" i="17"/>
  <c r="G54" i="17"/>
  <c r="H54" i="17"/>
  <c r="D54" i="17"/>
  <c r="E53" i="17"/>
  <c r="F53" i="17"/>
  <c r="E52" i="17"/>
  <c r="F52" i="17"/>
  <c r="G52" i="17"/>
  <c r="E44" i="17"/>
  <c r="F44" i="17"/>
  <c r="G44" i="17"/>
  <c r="H44" i="17"/>
  <c r="I44" i="17"/>
  <c r="J44" i="17"/>
  <c r="K44" i="17"/>
  <c r="L44" i="17"/>
  <c r="D44" i="17"/>
  <c r="D52" i="17" s="1"/>
  <c r="E50" i="17"/>
  <c r="F50" i="17"/>
  <c r="G50" i="17"/>
  <c r="H50" i="17"/>
  <c r="I50" i="17"/>
  <c r="J50" i="17"/>
  <c r="K50" i="17"/>
  <c r="L50" i="17"/>
  <c r="E51" i="17"/>
  <c r="F51" i="17"/>
  <c r="G51" i="17"/>
  <c r="H51" i="17"/>
  <c r="I51" i="17"/>
  <c r="J51" i="17"/>
  <c r="K51" i="17"/>
  <c r="L51" i="17"/>
  <c r="D51" i="17"/>
  <c r="D50" i="17"/>
  <c r="E35" i="17"/>
  <c r="F35" i="17"/>
  <c r="G35" i="17"/>
  <c r="H35" i="17"/>
  <c r="I35" i="17"/>
  <c r="J35" i="17"/>
  <c r="K35" i="17"/>
  <c r="L35" i="17"/>
  <c r="D35" i="17"/>
  <c r="D41" i="17" s="1"/>
  <c r="E47" i="17"/>
  <c r="F47" i="17"/>
  <c r="G47" i="17"/>
  <c r="H47" i="17"/>
  <c r="I47" i="17"/>
  <c r="J47" i="17"/>
  <c r="K47" i="17"/>
  <c r="L47" i="17"/>
  <c r="D47" i="17"/>
  <c r="E48" i="17"/>
  <c r="F48" i="17"/>
  <c r="G48" i="17"/>
  <c r="H48" i="17"/>
  <c r="I48" i="17"/>
  <c r="J48" i="17"/>
  <c r="K48" i="17"/>
  <c r="L48" i="17"/>
  <c r="D48" i="17"/>
  <c r="E45" i="17"/>
  <c r="F45" i="17"/>
  <c r="G45" i="17"/>
  <c r="D45" i="17"/>
  <c r="E41" i="17"/>
  <c r="F41" i="17"/>
  <c r="E34" i="17"/>
  <c r="F34" i="17"/>
  <c r="G34" i="17"/>
  <c r="H34" i="17"/>
  <c r="I34" i="17"/>
  <c r="J34" i="17"/>
  <c r="K34" i="17"/>
  <c r="L34" i="17"/>
  <c r="E36" i="17"/>
  <c r="F36" i="17"/>
  <c r="E40" i="17"/>
  <c r="F40" i="17"/>
  <c r="G40" i="17"/>
  <c r="D40" i="17"/>
  <c r="D36" i="17"/>
  <c r="D34" i="17"/>
  <c r="E30" i="17"/>
  <c r="F30" i="17"/>
  <c r="G30" i="17"/>
  <c r="H30" i="17"/>
  <c r="I30" i="17"/>
  <c r="J30" i="17"/>
  <c r="K30" i="17"/>
  <c r="L30" i="17"/>
  <c r="D30" i="17"/>
  <c r="E31" i="17"/>
  <c r="F31" i="17"/>
  <c r="G31" i="17"/>
  <c r="H31" i="17"/>
  <c r="I31" i="17"/>
  <c r="J31" i="17"/>
  <c r="K31" i="17"/>
  <c r="L31" i="17"/>
  <c r="E27" i="17"/>
  <c r="F27" i="17"/>
  <c r="G27" i="17"/>
  <c r="H27" i="17"/>
  <c r="I27" i="17"/>
  <c r="J27" i="17"/>
  <c r="K27" i="17"/>
  <c r="L27" i="17"/>
  <c r="E29" i="17"/>
  <c r="F29" i="17"/>
  <c r="G29" i="17"/>
  <c r="H29" i="17"/>
  <c r="I29" i="17"/>
  <c r="J29" i="17"/>
  <c r="K29" i="17"/>
  <c r="L29" i="17"/>
  <c r="D29" i="17"/>
  <c r="D27" i="17"/>
  <c r="E26" i="17"/>
  <c r="F26" i="17"/>
  <c r="G26" i="17"/>
  <c r="H26" i="17"/>
  <c r="I26" i="17"/>
  <c r="J26" i="17"/>
  <c r="K26" i="17"/>
  <c r="L26" i="17"/>
  <c r="D26" i="17"/>
  <c r="E25" i="17"/>
  <c r="F25" i="17"/>
  <c r="G25" i="17"/>
  <c r="H25" i="17"/>
  <c r="I25" i="17"/>
  <c r="J25" i="17"/>
  <c r="K25" i="17"/>
  <c r="L25" i="17"/>
  <c r="D25" i="17"/>
  <c r="E21" i="17"/>
  <c r="F21" i="17"/>
  <c r="G21" i="17"/>
  <c r="H21" i="17"/>
  <c r="I21" i="17"/>
  <c r="J21" i="17"/>
  <c r="K21" i="17"/>
  <c r="L21" i="17"/>
  <c r="D21" i="17"/>
  <c r="E20" i="17"/>
  <c r="F20" i="17"/>
  <c r="G20" i="17"/>
  <c r="H20" i="17"/>
  <c r="I20" i="17"/>
  <c r="J20" i="17"/>
  <c r="K20" i="17"/>
  <c r="L20" i="17"/>
  <c r="D20" i="17"/>
  <c r="E18" i="17"/>
  <c r="F18" i="17"/>
  <c r="G18" i="17"/>
  <c r="H18" i="17"/>
  <c r="I18" i="17"/>
  <c r="J18" i="17"/>
  <c r="K18" i="17"/>
  <c r="L18" i="17"/>
  <c r="D18" i="17"/>
  <c r="E16" i="17"/>
  <c r="F16" i="17"/>
  <c r="G16" i="17"/>
  <c r="H16" i="17"/>
  <c r="I16" i="17"/>
  <c r="J16" i="17"/>
  <c r="K16" i="17"/>
  <c r="L16" i="17"/>
  <c r="D16" i="17"/>
  <c r="D31" i="17" s="1"/>
  <c r="D53" i="17" s="1"/>
  <c r="D55" i="17" s="1"/>
  <c r="H22" i="16" l="1"/>
  <c r="H21" i="16"/>
  <c r="H20" i="16"/>
  <c r="G25" i="16"/>
  <c r="G22" i="16"/>
  <c r="G20" i="16"/>
  <c r="G21" i="16"/>
  <c r="G24" i="16"/>
  <c r="G23" i="16"/>
  <c r="E12" i="17"/>
  <c r="F12" i="17"/>
  <c r="G12" i="17"/>
  <c r="H12" i="17"/>
  <c r="I12" i="17"/>
  <c r="J12" i="17"/>
  <c r="K12" i="17"/>
  <c r="L12" i="17"/>
  <c r="D12" i="17"/>
  <c r="E13" i="17"/>
  <c r="F13" i="17"/>
  <c r="G13" i="17"/>
  <c r="H13" i="17"/>
  <c r="I13" i="17"/>
  <c r="J13" i="17"/>
  <c r="K13" i="17"/>
  <c r="L13" i="17"/>
  <c r="D13" i="17"/>
  <c r="D11" i="17"/>
  <c r="E11" i="17"/>
  <c r="F11" i="17"/>
  <c r="G11" i="17"/>
  <c r="H11" i="17"/>
  <c r="I11" i="17"/>
  <c r="J11" i="17"/>
  <c r="K11" i="17"/>
  <c r="L11" i="17"/>
  <c r="D10" i="17"/>
  <c r="E10" i="17"/>
  <c r="F10" i="17"/>
  <c r="G10" i="17"/>
  <c r="H10" i="17"/>
  <c r="I10" i="17"/>
  <c r="J10" i="17"/>
  <c r="K10" i="17"/>
  <c r="L10" i="17"/>
  <c r="D8" i="17"/>
  <c r="E8" i="17"/>
  <c r="F8" i="17"/>
  <c r="G8" i="17"/>
  <c r="H8" i="17"/>
  <c r="I8" i="17"/>
  <c r="J8" i="17"/>
  <c r="K8" i="17"/>
  <c r="L8" i="17"/>
  <c r="D23" i="9" l="1"/>
  <c r="E23" i="9"/>
  <c r="F23" i="9"/>
  <c r="C23" i="9"/>
  <c r="D24" i="9"/>
  <c r="E24" i="9"/>
  <c r="F24" i="9"/>
  <c r="G24" i="9"/>
  <c r="H24" i="9"/>
  <c r="I24" i="9"/>
  <c r="J24" i="9"/>
  <c r="K24" i="9"/>
  <c r="L24" i="9"/>
  <c r="C24" i="9"/>
  <c r="C39" i="15" l="1"/>
  <c r="C38" i="15"/>
  <c r="C37" i="15"/>
  <c r="P17" i="15"/>
  <c r="J12" i="15"/>
  <c r="K12" i="15"/>
  <c r="L12" i="15"/>
  <c r="I12" i="15"/>
  <c r="J11" i="15"/>
  <c r="K11" i="15"/>
  <c r="L11" i="15"/>
  <c r="I11" i="15"/>
  <c r="J9" i="15"/>
  <c r="K9" i="15"/>
  <c r="L9" i="15" s="1"/>
  <c r="I9" i="15"/>
  <c r="D9" i="15"/>
  <c r="E9" i="15"/>
  <c r="F9" i="15"/>
  <c r="G9" i="15"/>
  <c r="H9" i="15"/>
  <c r="C9" i="15"/>
  <c r="J8" i="15"/>
  <c r="K8" i="15"/>
  <c r="L8" i="15"/>
  <c r="I8" i="15"/>
  <c r="J22" i="15"/>
  <c r="K22" i="15"/>
  <c r="L22" i="15"/>
  <c r="J23" i="15"/>
  <c r="K23" i="15" s="1"/>
  <c r="L23" i="15" s="1"/>
  <c r="I23" i="15"/>
  <c r="I22" i="15"/>
  <c r="J21" i="15"/>
  <c r="K21" i="15" s="1"/>
  <c r="L21" i="15" s="1"/>
  <c r="I21" i="15"/>
  <c r="J5" i="15"/>
  <c r="K5" i="15" s="1"/>
  <c r="I5" i="15"/>
  <c r="J6" i="15"/>
  <c r="K6" i="15" s="1"/>
  <c r="L6" i="15" s="1"/>
  <c r="I6" i="15"/>
  <c r="D21" i="15"/>
  <c r="E21" i="15"/>
  <c r="F21" i="15"/>
  <c r="G21" i="15"/>
  <c r="H21" i="15"/>
  <c r="D22" i="15"/>
  <c r="E22" i="15"/>
  <c r="F22" i="15"/>
  <c r="G22" i="15"/>
  <c r="H22" i="15"/>
  <c r="D23" i="15"/>
  <c r="E23" i="15"/>
  <c r="F23" i="15"/>
  <c r="G23" i="15"/>
  <c r="H23" i="15"/>
  <c r="C24" i="15"/>
  <c r="C23" i="15"/>
  <c r="C22" i="15"/>
  <c r="C21" i="15"/>
  <c r="P16" i="15"/>
  <c r="D15" i="15" l="1"/>
  <c r="H15" i="15"/>
  <c r="L15" i="15"/>
  <c r="E15" i="15"/>
  <c r="I15" i="15"/>
  <c r="C15" i="15"/>
  <c r="C16" i="15" s="1"/>
  <c r="F15" i="15"/>
  <c r="J15" i="15"/>
  <c r="G15" i="15"/>
  <c r="K15" i="15"/>
  <c r="L5" i="15"/>
  <c r="C12" i="13"/>
  <c r="C11" i="13"/>
  <c r="C10" i="13"/>
  <c r="C9" i="13"/>
  <c r="C5" i="13" l="1"/>
  <c r="D46" i="3" l="1"/>
  <c r="E46" i="3"/>
  <c r="F46" i="3"/>
  <c r="G46" i="3"/>
  <c r="C46" i="3"/>
  <c r="C13" i="15" l="1"/>
  <c r="C12" i="15"/>
  <c r="D12" i="15"/>
  <c r="E12" i="15"/>
  <c r="F12" i="15"/>
  <c r="G12" i="15"/>
  <c r="H12" i="15"/>
  <c r="C11" i="15"/>
  <c r="D11" i="15"/>
  <c r="E11" i="15"/>
  <c r="F11" i="15"/>
  <c r="G11" i="15"/>
  <c r="H11" i="15"/>
  <c r="C8" i="15"/>
  <c r="C10" i="15" s="1"/>
  <c r="C14" i="15" s="1"/>
  <c r="D8" i="15"/>
  <c r="D10" i="15" s="1"/>
  <c r="E8" i="15"/>
  <c r="E10" i="15" s="1"/>
  <c r="F8" i="15"/>
  <c r="F10" i="15" s="1"/>
  <c r="G8" i="15"/>
  <c r="G10" i="15" s="1"/>
  <c r="H8" i="15"/>
  <c r="H10" i="15" s="1"/>
  <c r="I10" i="15"/>
  <c r="J10" i="15"/>
  <c r="K10" i="15"/>
  <c r="L10" i="15"/>
  <c r="C6" i="15"/>
  <c r="D6" i="15"/>
  <c r="E6" i="15"/>
  <c r="F6" i="15"/>
  <c r="G6" i="15"/>
  <c r="H6" i="15"/>
  <c r="C5" i="15"/>
  <c r="D5" i="15"/>
  <c r="E5" i="15"/>
  <c r="F5" i="15"/>
  <c r="G5" i="15"/>
  <c r="H5" i="15"/>
  <c r="D17" i="12"/>
  <c r="E17" i="12"/>
  <c r="F17" i="12"/>
  <c r="G17" i="12"/>
  <c r="H17" i="12"/>
  <c r="I17" i="12"/>
  <c r="J17" i="12"/>
  <c r="K17" i="12"/>
  <c r="L17" i="12"/>
  <c r="C17" i="12"/>
  <c r="D20" i="4"/>
  <c r="E20" i="4"/>
  <c r="F20" i="4"/>
  <c r="G20" i="4"/>
  <c r="C20" i="4"/>
  <c r="D22" i="4"/>
  <c r="E22" i="4"/>
  <c r="F22" i="4"/>
  <c r="G22" i="4"/>
  <c r="C22" i="4"/>
  <c r="D21" i="4"/>
  <c r="E21" i="4"/>
  <c r="F21" i="4"/>
  <c r="G21" i="4"/>
  <c r="C21" i="4"/>
  <c r="D14" i="4"/>
  <c r="E14" i="4"/>
  <c r="F14" i="4"/>
  <c r="G14" i="4"/>
  <c r="C14" i="4"/>
  <c r="I30" i="10" l="1"/>
  <c r="J30" i="10" s="1"/>
  <c r="K30" i="10" s="1"/>
  <c r="L30" i="10" s="1"/>
  <c r="H30" i="10"/>
  <c r="D47" i="10" l="1"/>
  <c r="E47" i="10"/>
  <c r="F47" i="10"/>
  <c r="G47" i="10"/>
  <c r="C47" i="10"/>
  <c r="C4" i="13"/>
  <c r="D9" i="12"/>
  <c r="E9" i="12"/>
  <c r="F9" i="12"/>
  <c r="G9" i="12"/>
  <c r="D14" i="12"/>
  <c r="E14" i="12"/>
  <c r="F14" i="12"/>
  <c r="G14" i="12"/>
  <c r="C14" i="12"/>
  <c r="D12" i="12"/>
  <c r="E12" i="12"/>
  <c r="F12" i="12"/>
  <c r="G12" i="12"/>
  <c r="C12" i="12"/>
  <c r="C9" i="12"/>
  <c r="D8" i="12"/>
  <c r="E8" i="12"/>
  <c r="F8" i="12"/>
  <c r="G8" i="12"/>
  <c r="C8" i="12"/>
  <c r="D7" i="12"/>
  <c r="E7" i="12"/>
  <c r="F7" i="12"/>
  <c r="G7" i="12"/>
  <c r="C7" i="12"/>
  <c r="I45" i="9"/>
  <c r="J45" i="9" s="1"/>
  <c r="K45" i="9" s="1"/>
  <c r="L45" i="9" s="1"/>
  <c r="H45" i="9"/>
  <c r="D45" i="9"/>
  <c r="E45" i="9"/>
  <c r="F45" i="9"/>
  <c r="G45" i="9"/>
  <c r="C45" i="9"/>
  <c r="D46" i="6"/>
  <c r="E46" i="6"/>
  <c r="F46" i="6"/>
  <c r="G46" i="6"/>
  <c r="C46" i="6"/>
  <c r="I52" i="6"/>
  <c r="J52" i="6"/>
  <c r="K52" i="6"/>
  <c r="L52" i="6"/>
  <c r="H52" i="6"/>
  <c r="I38" i="6"/>
  <c r="J38" i="6"/>
  <c r="K38" i="6"/>
  <c r="L38" i="6"/>
  <c r="H38" i="6"/>
  <c r="G45" i="10"/>
  <c r="I34" i="10"/>
  <c r="J34" i="10" s="1"/>
  <c r="K34" i="10" s="1"/>
  <c r="L34" i="10" s="1"/>
  <c r="H34" i="10"/>
  <c r="I32" i="10"/>
  <c r="J32" i="10" s="1"/>
  <c r="K32" i="10" s="1"/>
  <c r="L32" i="10" s="1"/>
  <c r="H32" i="10"/>
  <c r="I35" i="10"/>
  <c r="J35" i="10"/>
  <c r="K35" i="10"/>
  <c r="L35" i="10"/>
  <c r="H35" i="10"/>
  <c r="I33" i="10"/>
  <c r="J33" i="10" s="1"/>
  <c r="K33" i="10" s="1"/>
  <c r="L33" i="10" s="1"/>
  <c r="H33" i="10"/>
  <c r="H38" i="10"/>
  <c r="I38" i="10"/>
  <c r="J38" i="10"/>
  <c r="K38" i="10"/>
  <c r="L38" i="10"/>
  <c r="I29" i="10"/>
  <c r="J29" i="10" s="1"/>
  <c r="H11" i="10"/>
  <c r="I11" i="10"/>
  <c r="J11" i="10"/>
  <c r="K11" i="10"/>
  <c r="L11" i="10"/>
  <c r="I10" i="10"/>
  <c r="J10" i="10" s="1"/>
  <c r="K10" i="10" s="1"/>
  <c r="L10" i="10" s="1"/>
  <c r="H10" i="10"/>
  <c r="I22" i="10"/>
  <c r="J22" i="10" s="1"/>
  <c r="H22" i="10"/>
  <c r="K29" i="10" l="1"/>
  <c r="K22" i="10"/>
  <c r="L29" i="10" l="1"/>
  <c r="L22" i="10"/>
  <c r="E17" i="9" l="1"/>
  <c r="F17" i="9"/>
  <c r="G17" i="9"/>
  <c r="D17" i="9"/>
  <c r="C17" i="9"/>
  <c r="D7" i="6"/>
  <c r="E7" i="6"/>
  <c r="F7" i="6"/>
  <c r="G7" i="6"/>
  <c r="C7" i="6"/>
  <c r="C6" i="8" l="1"/>
  <c r="D6" i="8"/>
  <c r="E6" i="8"/>
  <c r="F6" i="8"/>
  <c r="G6" i="8"/>
  <c r="C8" i="8"/>
  <c r="D8" i="8"/>
  <c r="E8" i="8"/>
  <c r="F8" i="8"/>
  <c r="G8" i="8"/>
  <c r="C9" i="8"/>
  <c r="D9" i="8"/>
  <c r="E9" i="8"/>
  <c r="F9" i="8"/>
  <c r="F10" i="8" s="1"/>
  <c r="G9" i="8"/>
  <c r="H9" i="8" s="1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8" i="8"/>
  <c r="D18" i="8"/>
  <c r="E18" i="8"/>
  <c r="F18" i="8"/>
  <c r="G18" i="8"/>
  <c r="C19" i="8"/>
  <c r="D19" i="8"/>
  <c r="E19" i="8"/>
  <c r="F19" i="8"/>
  <c r="G19" i="8"/>
  <c r="C20" i="8"/>
  <c r="D20" i="8"/>
  <c r="E20" i="8"/>
  <c r="F20" i="8"/>
  <c r="G20" i="8"/>
  <c r="C21" i="8"/>
  <c r="D21" i="8"/>
  <c r="E21" i="8"/>
  <c r="F21" i="8"/>
  <c r="G21" i="8"/>
  <c r="C25" i="8"/>
  <c r="D25" i="8"/>
  <c r="E25" i="8"/>
  <c r="F25" i="8"/>
  <c r="G25" i="8"/>
  <c r="H25" i="8" s="1"/>
  <c r="C26" i="8"/>
  <c r="D26" i="8"/>
  <c r="E26" i="8"/>
  <c r="F26" i="8"/>
  <c r="G26" i="8"/>
  <c r="H26" i="8" s="1"/>
  <c r="I26" i="8" s="1"/>
  <c r="J26" i="8" s="1"/>
  <c r="K26" i="8" s="1"/>
  <c r="L26" i="8" s="1"/>
  <c r="C29" i="8"/>
  <c r="D29" i="8"/>
  <c r="E29" i="8"/>
  <c r="F29" i="8"/>
  <c r="G29" i="8"/>
  <c r="C30" i="8"/>
  <c r="D30" i="8"/>
  <c r="E30" i="8"/>
  <c r="F30" i="8"/>
  <c r="G30" i="8"/>
  <c r="H30" i="8" s="1"/>
  <c r="I30" i="8" s="1"/>
  <c r="J30" i="8" s="1"/>
  <c r="K30" i="8" s="1"/>
  <c r="L30" i="8" s="1"/>
  <c r="C31" i="8"/>
  <c r="D31" i="8"/>
  <c r="E31" i="8"/>
  <c r="F31" i="8"/>
  <c r="G31" i="8"/>
  <c r="H31" i="8" s="1"/>
  <c r="I31" i="8" s="1"/>
  <c r="J31" i="8" s="1"/>
  <c r="K31" i="8" s="1"/>
  <c r="L31" i="8" s="1"/>
  <c r="C32" i="8"/>
  <c r="D32" i="8"/>
  <c r="E32" i="8"/>
  <c r="F32" i="8"/>
  <c r="G32" i="8"/>
  <c r="H32" i="8" s="1"/>
  <c r="I32" i="8" s="1"/>
  <c r="J32" i="8" s="1"/>
  <c r="K32" i="8" s="1"/>
  <c r="L32" i="8" s="1"/>
  <c r="C39" i="8"/>
  <c r="D39" i="8"/>
  <c r="E39" i="8"/>
  <c r="F39" i="8"/>
  <c r="G39" i="8"/>
  <c r="C40" i="8"/>
  <c r="D40" i="8"/>
  <c r="E40" i="8"/>
  <c r="F40" i="8"/>
  <c r="G40" i="8"/>
  <c r="D5" i="8"/>
  <c r="E5" i="8"/>
  <c r="F5" i="8"/>
  <c r="G5" i="8"/>
  <c r="G7" i="8" s="1"/>
  <c r="C5" i="8"/>
  <c r="H13" i="10"/>
  <c r="D9" i="10"/>
  <c r="D11" i="10" s="1"/>
  <c r="C9" i="10"/>
  <c r="C11" i="10" s="1"/>
  <c r="D8" i="3"/>
  <c r="E8" i="3"/>
  <c r="F8" i="3"/>
  <c r="G8" i="3"/>
  <c r="C8" i="3"/>
  <c r="C20" i="10"/>
  <c r="D20" i="10"/>
  <c r="E20" i="10"/>
  <c r="F20" i="10"/>
  <c r="G20" i="10"/>
  <c r="C21" i="10"/>
  <c r="D21" i="10"/>
  <c r="E21" i="10"/>
  <c r="F21" i="10"/>
  <c r="G21" i="10"/>
  <c r="C22" i="10"/>
  <c r="D22" i="10"/>
  <c r="E22" i="10"/>
  <c r="F22" i="10"/>
  <c r="G22" i="10"/>
  <c r="C27" i="10"/>
  <c r="C31" i="10" s="1"/>
  <c r="C36" i="10" s="1"/>
  <c r="D27" i="10"/>
  <c r="D31" i="10" s="1"/>
  <c r="D36" i="10" s="1"/>
  <c r="E27" i="10"/>
  <c r="E31" i="10" s="1"/>
  <c r="E36" i="10" s="1"/>
  <c r="F27" i="10"/>
  <c r="F31" i="10" s="1"/>
  <c r="F36" i="10" s="1"/>
  <c r="G27" i="10"/>
  <c r="G31" i="10" s="1"/>
  <c r="G36" i="10" s="1"/>
  <c r="C28" i="10"/>
  <c r="D28" i="10"/>
  <c r="E28" i="10"/>
  <c r="F28" i="10"/>
  <c r="G28" i="10"/>
  <c r="C29" i="10"/>
  <c r="D29" i="10"/>
  <c r="E29" i="10"/>
  <c r="F29" i="10"/>
  <c r="G29" i="10"/>
  <c r="C30" i="10"/>
  <c r="D30" i="10"/>
  <c r="E30" i="10"/>
  <c r="F30" i="10"/>
  <c r="G30" i="10"/>
  <c r="C32" i="10"/>
  <c r="D32" i="10"/>
  <c r="E32" i="10"/>
  <c r="F32" i="10"/>
  <c r="G32" i="10"/>
  <c r="C33" i="10"/>
  <c r="D33" i="10"/>
  <c r="E33" i="10"/>
  <c r="F33" i="10"/>
  <c r="G33" i="10"/>
  <c r="C34" i="10"/>
  <c r="D34" i="10"/>
  <c r="E34" i="10"/>
  <c r="F34" i="10"/>
  <c r="G34" i="10"/>
  <c r="C35" i="10"/>
  <c r="D35" i="10"/>
  <c r="E35" i="10"/>
  <c r="F35" i="10"/>
  <c r="G35" i="10"/>
  <c r="C38" i="10"/>
  <c r="C44" i="10" s="1"/>
  <c r="C45" i="10" s="1"/>
  <c r="D38" i="10"/>
  <c r="D44" i="10" s="1"/>
  <c r="D45" i="10" s="1"/>
  <c r="E38" i="10"/>
  <c r="E44" i="10" s="1"/>
  <c r="E45" i="10" s="1"/>
  <c r="F38" i="10"/>
  <c r="F44" i="10" s="1"/>
  <c r="F45" i="10" s="1"/>
  <c r="G38" i="10"/>
  <c r="C39" i="10"/>
  <c r="D39" i="10"/>
  <c r="E39" i="10"/>
  <c r="F39" i="10"/>
  <c r="G39" i="10"/>
  <c r="C40" i="10"/>
  <c r="D40" i="10"/>
  <c r="E40" i="10"/>
  <c r="F40" i="10"/>
  <c r="G40" i="10"/>
  <c r="G44" i="10" s="1"/>
  <c r="C41" i="10"/>
  <c r="D41" i="10"/>
  <c r="E41" i="10"/>
  <c r="F41" i="10"/>
  <c r="G41" i="10"/>
  <c r="C42" i="10"/>
  <c r="D42" i="10"/>
  <c r="E42" i="10"/>
  <c r="F42" i="10"/>
  <c r="G42" i="10"/>
  <c r="C43" i="10"/>
  <c r="D43" i="10"/>
  <c r="E43" i="10"/>
  <c r="F43" i="10"/>
  <c r="G43" i="10"/>
  <c r="C10" i="10"/>
  <c r="D10" i="10"/>
  <c r="E10" i="10"/>
  <c r="F10" i="10"/>
  <c r="G10" i="10"/>
  <c r="C13" i="10"/>
  <c r="C17" i="10" s="1"/>
  <c r="D13" i="10"/>
  <c r="D17" i="10" s="1"/>
  <c r="E13" i="10"/>
  <c r="E17" i="10" s="1"/>
  <c r="F13" i="10"/>
  <c r="F17" i="10" s="1"/>
  <c r="G13" i="10"/>
  <c r="C14" i="10"/>
  <c r="D14" i="10"/>
  <c r="E14" i="10"/>
  <c r="F14" i="10"/>
  <c r="G14" i="10"/>
  <c r="H14" i="10" s="1"/>
  <c r="I14" i="10" s="1"/>
  <c r="J14" i="10" s="1"/>
  <c r="K14" i="10" s="1"/>
  <c r="L14" i="10" s="1"/>
  <c r="C15" i="10"/>
  <c r="D15" i="10"/>
  <c r="E15" i="10"/>
  <c r="F15" i="10"/>
  <c r="G15" i="10"/>
  <c r="H15" i="10" s="1"/>
  <c r="I15" i="10" s="1"/>
  <c r="J15" i="10" s="1"/>
  <c r="K15" i="10" s="1"/>
  <c r="L15" i="10" s="1"/>
  <c r="C16" i="10"/>
  <c r="D16" i="10"/>
  <c r="E16" i="10"/>
  <c r="F16" i="10"/>
  <c r="G16" i="10"/>
  <c r="H16" i="10" s="1"/>
  <c r="I16" i="10" s="1"/>
  <c r="J16" i="10" s="1"/>
  <c r="K16" i="10" s="1"/>
  <c r="L16" i="10" s="1"/>
  <c r="C19" i="10"/>
  <c r="C23" i="10" s="1"/>
  <c r="C24" i="10" s="1"/>
  <c r="D19" i="10"/>
  <c r="D23" i="10" s="1"/>
  <c r="E19" i="10"/>
  <c r="E23" i="10" s="1"/>
  <c r="F19" i="10"/>
  <c r="F23" i="10" s="1"/>
  <c r="G19" i="10"/>
  <c r="G23" i="10" s="1"/>
  <c r="D8" i="10"/>
  <c r="E8" i="10"/>
  <c r="E9" i="10" s="1"/>
  <c r="E11" i="10" s="1"/>
  <c r="F8" i="10"/>
  <c r="F9" i="10" s="1"/>
  <c r="F11" i="10" s="1"/>
  <c r="G8" i="10"/>
  <c r="H8" i="10" s="1"/>
  <c r="C8" i="10"/>
  <c r="D63" i="9"/>
  <c r="D64" i="9" s="1"/>
  <c r="C63" i="9"/>
  <c r="D62" i="9"/>
  <c r="E62" i="9"/>
  <c r="F62" i="9"/>
  <c r="G62" i="9"/>
  <c r="G63" i="9" s="1"/>
  <c r="C62" i="9"/>
  <c r="D61" i="9"/>
  <c r="E61" i="9"/>
  <c r="E63" i="9" s="1"/>
  <c r="E64" i="9" s="1"/>
  <c r="F61" i="9"/>
  <c r="F63" i="9" s="1"/>
  <c r="F64" i="9" s="1"/>
  <c r="G61" i="9"/>
  <c r="C61" i="9"/>
  <c r="D53" i="9"/>
  <c r="E53" i="9"/>
  <c r="F53" i="9"/>
  <c r="G53" i="9"/>
  <c r="G57" i="9" s="1"/>
  <c r="H57" i="9" s="1"/>
  <c r="D54" i="9"/>
  <c r="D59" i="9" s="1"/>
  <c r="E54" i="9"/>
  <c r="E58" i="9" s="1"/>
  <c r="F54" i="9"/>
  <c r="G54" i="9"/>
  <c r="C54" i="9"/>
  <c r="C59" i="9" s="1"/>
  <c r="C53" i="9"/>
  <c r="D49" i="9"/>
  <c r="E49" i="9"/>
  <c r="F49" i="9"/>
  <c r="G49" i="9"/>
  <c r="C49" i="9"/>
  <c r="D51" i="9"/>
  <c r="E51" i="9"/>
  <c r="F51" i="9"/>
  <c r="G51" i="9"/>
  <c r="C51" i="9"/>
  <c r="D47" i="9"/>
  <c r="D57" i="9" s="1"/>
  <c r="E47" i="9"/>
  <c r="E57" i="9" s="1"/>
  <c r="F47" i="9"/>
  <c r="F57" i="9" s="1"/>
  <c r="G47" i="9"/>
  <c r="C47" i="9"/>
  <c r="D41" i="9"/>
  <c r="E41" i="9"/>
  <c r="F41" i="9"/>
  <c r="G41" i="9"/>
  <c r="C41" i="9"/>
  <c r="D40" i="9"/>
  <c r="E40" i="9"/>
  <c r="F40" i="9"/>
  <c r="G40" i="9"/>
  <c r="G42" i="9" s="1"/>
  <c r="H42" i="9" s="1"/>
  <c r="I42" i="9" s="1"/>
  <c r="J42" i="9" s="1"/>
  <c r="K42" i="9" s="1"/>
  <c r="L42" i="9" s="1"/>
  <c r="C40" i="9"/>
  <c r="D36" i="9"/>
  <c r="E36" i="9"/>
  <c r="F36" i="9"/>
  <c r="G36" i="9"/>
  <c r="C36" i="9"/>
  <c r="D35" i="9"/>
  <c r="E35" i="9"/>
  <c r="F35" i="9"/>
  <c r="G35" i="9"/>
  <c r="C35" i="9"/>
  <c r="D31" i="9"/>
  <c r="E31" i="9"/>
  <c r="F31" i="9"/>
  <c r="G31" i="9"/>
  <c r="C31" i="9"/>
  <c r="D30" i="9"/>
  <c r="E30" i="9"/>
  <c r="F30" i="9"/>
  <c r="G30" i="9"/>
  <c r="C30" i="9"/>
  <c r="D25" i="9"/>
  <c r="E22" i="9" s="1"/>
  <c r="E25" i="9"/>
  <c r="F22" i="9" s="1"/>
  <c r="F25" i="9"/>
  <c r="G22" i="9" s="1"/>
  <c r="C25" i="9"/>
  <c r="D22" i="9" s="1"/>
  <c r="F59" i="9" l="1"/>
  <c r="G58" i="9"/>
  <c r="H58" i="9" s="1"/>
  <c r="I58" i="9" s="1"/>
  <c r="F58" i="9"/>
  <c r="I57" i="9"/>
  <c r="E59" i="9"/>
  <c r="C57" i="9"/>
  <c r="F27" i="8"/>
  <c r="D15" i="8"/>
  <c r="D16" i="8" s="1"/>
  <c r="D23" i="8" s="1"/>
  <c r="D24" i="8" s="1"/>
  <c r="C42" i="9"/>
  <c r="D42" i="9"/>
  <c r="G59" i="9"/>
  <c r="H59" i="9" s="1"/>
  <c r="C58" i="9"/>
  <c r="D58" i="9"/>
  <c r="E7" i="8"/>
  <c r="F33" i="8"/>
  <c r="D27" i="8"/>
  <c r="F15" i="8"/>
  <c r="F16" i="8" s="1"/>
  <c r="D10" i="8"/>
  <c r="F7" i="8"/>
  <c r="G64" i="9"/>
  <c r="F24" i="10"/>
  <c r="E24" i="10"/>
  <c r="D24" i="10"/>
  <c r="H17" i="10"/>
  <c r="H9" i="10"/>
  <c r="I8" i="10"/>
  <c r="G9" i="10"/>
  <c r="G11" i="10" s="1"/>
  <c r="I13" i="10"/>
  <c r="G17" i="10"/>
  <c r="G24" i="10" s="1"/>
  <c r="E33" i="8"/>
  <c r="H27" i="8"/>
  <c r="I25" i="8"/>
  <c r="C27" i="8"/>
  <c r="I9" i="8"/>
  <c r="C10" i="8"/>
  <c r="C33" i="8"/>
  <c r="C15" i="8"/>
  <c r="C16" i="8" s="1"/>
  <c r="C23" i="8" s="1"/>
  <c r="C24" i="8" s="1"/>
  <c r="E15" i="8"/>
  <c r="G10" i="8"/>
  <c r="H8" i="8"/>
  <c r="D7" i="8"/>
  <c r="D33" i="8"/>
  <c r="G33" i="8"/>
  <c r="H33" i="8" s="1"/>
  <c r="I33" i="8" s="1"/>
  <c r="J33" i="8" s="1"/>
  <c r="K33" i="8" s="1"/>
  <c r="L33" i="8" s="1"/>
  <c r="H29" i="8"/>
  <c r="E27" i="8"/>
  <c r="G15" i="8"/>
  <c r="G16" i="8" s="1"/>
  <c r="G23" i="8" s="1"/>
  <c r="G24" i="8" s="1"/>
  <c r="E10" i="8"/>
  <c r="C7" i="8"/>
  <c r="G27" i="8"/>
  <c r="E42" i="9"/>
  <c r="D32" i="9"/>
  <c r="D37" i="9"/>
  <c r="F37" i="9"/>
  <c r="G32" i="9"/>
  <c r="H32" i="9" s="1"/>
  <c r="G37" i="9"/>
  <c r="H37" i="9" s="1"/>
  <c r="F42" i="9"/>
  <c r="F32" i="9"/>
  <c r="C32" i="9"/>
  <c r="E32" i="9"/>
  <c r="C37" i="9"/>
  <c r="E37" i="9"/>
  <c r="F22" i="8" l="1"/>
  <c r="F23" i="8"/>
  <c r="F24" i="8" s="1"/>
  <c r="I8" i="8"/>
  <c r="G22" i="8"/>
  <c r="C22" i="8"/>
  <c r="D22" i="8"/>
  <c r="E16" i="8"/>
  <c r="D34" i="8"/>
  <c r="D35" i="8" s="1"/>
  <c r="D36" i="8" s="1"/>
  <c r="C18" i="12"/>
  <c r="C13" i="12"/>
  <c r="G34" i="8"/>
  <c r="G35" i="8" s="1"/>
  <c r="G36" i="8" s="1"/>
  <c r="G18" i="12"/>
  <c r="G13" i="12"/>
  <c r="E34" i="8"/>
  <c r="E35" i="8" s="1"/>
  <c r="E36" i="8" s="1"/>
  <c r="E18" i="12"/>
  <c r="E13" i="12"/>
  <c r="H10" i="8"/>
  <c r="H34" i="8"/>
  <c r="H31" i="6"/>
  <c r="D18" i="12"/>
  <c r="D13" i="12"/>
  <c r="F18" i="12"/>
  <c r="F13" i="12"/>
  <c r="F34" i="8"/>
  <c r="F35" i="8" s="1"/>
  <c r="F36" i="8" s="1"/>
  <c r="J58" i="9"/>
  <c r="I29" i="8"/>
  <c r="I59" i="9"/>
  <c r="J57" i="9"/>
  <c r="I32" i="9"/>
  <c r="I37" i="9"/>
  <c r="J8" i="10"/>
  <c r="I9" i="10"/>
  <c r="J13" i="10"/>
  <c r="I17" i="10"/>
  <c r="J9" i="8"/>
  <c r="I10" i="8"/>
  <c r="C34" i="8"/>
  <c r="C35" i="8" s="1"/>
  <c r="C36" i="8" s="1"/>
  <c r="J25" i="8"/>
  <c r="I27" i="8"/>
  <c r="E22" i="8" l="1"/>
  <c r="E23" i="8"/>
  <c r="E24" i="8" s="1"/>
  <c r="J8" i="8"/>
  <c r="J29" i="8"/>
  <c r="J59" i="9"/>
  <c r="I34" i="8"/>
  <c r="I31" i="6"/>
  <c r="K57" i="9"/>
  <c r="H45" i="6"/>
  <c r="H53" i="6"/>
  <c r="K58" i="9"/>
  <c r="J37" i="9"/>
  <c r="J32" i="9"/>
  <c r="K13" i="10"/>
  <c r="J17" i="10"/>
  <c r="K8" i="10"/>
  <c r="J9" i="10"/>
  <c r="K25" i="8"/>
  <c r="J27" i="8"/>
  <c r="K9" i="8"/>
  <c r="J10" i="8"/>
  <c r="K8" i="8" l="1"/>
  <c r="J34" i="8"/>
  <c r="J31" i="6"/>
  <c r="L58" i="9"/>
  <c r="K59" i="9"/>
  <c r="L57" i="9"/>
  <c r="I45" i="6"/>
  <c r="I53" i="6"/>
  <c r="K29" i="8"/>
  <c r="K32" i="9"/>
  <c r="K37" i="9"/>
  <c r="L8" i="10"/>
  <c r="L9" i="10" s="1"/>
  <c r="K9" i="10"/>
  <c r="L13" i="10"/>
  <c r="L17" i="10" s="1"/>
  <c r="K17" i="10"/>
  <c r="L9" i="8"/>
  <c r="K10" i="8"/>
  <c r="L25" i="8"/>
  <c r="L27" i="8" s="1"/>
  <c r="K27" i="8"/>
  <c r="D19" i="9"/>
  <c r="E19" i="9"/>
  <c r="F19" i="9"/>
  <c r="G19" i="9"/>
  <c r="C19" i="9"/>
  <c r="D11" i="9"/>
  <c r="E11" i="9"/>
  <c r="F8" i="9" s="1"/>
  <c r="F11" i="9"/>
  <c r="G8" i="9" s="1"/>
  <c r="G11" i="9"/>
  <c r="H8" i="9" s="1"/>
  <c r="C11" i="9"/>
  <c r="D8" i="9" s="1"/>
  <c r="C56" i="6"/>
  <c r="E54" i="6"/>
  <c r="F54" i="6"/>
  <c r="G54" i="6"/>
  <c r="D54" i="6"/>
  <c r="E53" i="6"/>
  <c r="F53" i="6"/>
  <c r="G53" i="6"/>
  <c r="D53" i="6"/>
  <c r="E52" i="6"/>
  <c r="F52" i="6"/>
  <c r="F55" i="6" s="1"/>
  <c r="G52" i="6"/>
  <c r="D52" i="6"/>
  <c r="D55" i="6" s="1"/>
  <c r="D56" i="6" s="1"/>
  <c r="D45" i="6"/>
  <c r="E45" i="6"/>
  <c r="F45" i="6"/>
  <c r="G45" i="6"/>
  <c r="C45" i="6"/>
  <c r="L8" i="8" l="1"/>
  <c r="L29" i="8"/>
  <c r="L59" i="9"/>
  <c r="K34" i="8"/>
  <c r="K31" i="6"/>
  <c r="L34" i="8"/>
  <c r="L31" i="6"/>
  <c r="J53" i="6"/>
  <c r="J45" i="6"/>
  <c r="F18" i="9"/>
  <c r="F20" i="9"/>
  <c r="L37" i="9"/>
  <c r="H27" i="10"/>
  <c r="E20" i="9"/>
  <c r="E18" i="9"/>
  <c r="G18" i="9"/>
  <c r="G20" i="9"/>
  <c r="H20" i="9" s="1"/>
  <c r="I20" i="9" s="1"/>
  <c r="J20" i="9" s="1"/>
  <c r="K20" i="9" s="1"/>
  <c r="L20" i="9" s="1"/>
  <c r="C18" i="9"/>
  <c r="C20" i="9"/>
  <c r="D18" i="9"/>
  <c r="D20" i="9"/>
  <c r="L32" i="9"/>
  <c r="G9" i="9"/>
  <c r="G13" i="9" s="1"/>
  <c r="H13" i="9" s="1"/>
  <c r="F9" i="9"/>
  <c r="F13" i="9" s="1"/>
  <c r="D9" i="9"/>
  <c r="D13" i="9" s="1"/>
  <c r="E8" i="9"/>
  <c r="C9" i="9"/>
  <c r="C13" i="9" s="1"/>
  <c r="G55" i="6"/>
  <c r="G56" i="6" s="1"/>
  <c r="F56" i="6"/>
  <c r="E55" i="6"/>
  <c r="E56" i="6" s="1"/>
  <c r="L10" i="8" l="1"/>
  <c r="L45" i="6"/>
  <c r="L53" i="6"/>
  <c r="K53" i="6"/>
  <c r="K45" i="6"/>
  <c r="I13" i="9"/>
  <c r="H10" i="9"/>
  <c r="E9" i="9"/>
  <c r="E13" i="9"/>
  <c r="D40" i="6"/>
  <c r="E40" i="6"/>
  <c r="F40" i="6"/>
  <c r="G40" i="6"/>
  <c r="C40" i="6"/>
  <c r="D39" i="6"/>
  <c r="E39" i="6"/>
  <c r="F39" i="6"/>
  <c r="G39" i="6"/>
  <c r="D38" i="6"/>
  <c r="D42" i="6" s="1"/>
  <c r="E38" i="6"/>
  <c r="F38" i="6"/>
  <c r="G38" i="6"/>
  <c r="C39" i="6"/>
  <c r="C38" i="6"/>
  <c r="I32" i="6"/>
  <c r="J32" i="6"/>
  <c r="K32" i="6"/>
  <c r="L32" i="6"/>
  <c r="H32" i="6"/>
  <c r="D31" i="6"/>
  <c r="D32" i="6" s="1"/>
  <c r="E31" i="6"/>
  <c r="E32" i="6" s="1"/>
  <c r="F31" i="6"/>
  <c r="F32" i="6" s="1"/>
  <c r="G31" i="6"/>
  <c r="G32" i="6" s="1"/>
  <c r="C31" i="6"/>
  <c r="C32" i="6" s="1"/>
  <c r="I26" i="6"/>
  <c r="J26" i="6"/>
  <c r="K26" i="6"/>
  <c r="L26" i="6"/>
  <c r="H26" i="6"/>
  <c r="D25" i="6"/>
  <c r="D26" i="6" s="1"/>
  <c r="E25" i="6"/>
  <c r="E26" i="6" s="1"/>
  <c r="F25" i="6"/>
  <c r="F26" i="6" s="1"/>
  <c r="G25" i="6"/>
  <c r="G26" i="6" s="1"/>
  <c r="C25" i="6"/>
  <c r="C26" i="6" s="1"/>
  <c r="I20" i="6"/>
  <c r="J20" i="6"/>
  <c r="K20" i="6"/>
  <c r="L20" i="6"/>
  <c r="H20" i="6"/>
  <c r="D19" i="6"/>
  <c r="D20" i="6" s="1"/>
  <c r="E19" i="6"/>
  <c r="E20" i="6" s="1"/>
  <c r="F19" i="6"/>
  <c r="F20" i="6" s="1"/>
  <c r="G19" i="6"/>
  <c r="G20" i="6" s="1"/>
  <c r="C19" i="6"/>
  <c r="C20" i="6" s="1"/>
  <c r="I14" i="6"/>
  <c r="J14" i="6"/>
  <c r="K14" i="6"/>
  <c r="L14" i="6"/>
  <c r="H14" i="6"/>
  <c r="D13" i="6"/>
  <c r="D14" i="6" s="1"/>
  <c r="E13" i="6"/>
  <c r="E14" i="6" s="1"/>
  <c r="F13" i="6"/>
  <c r="F14" i="6" s="1"/>
  <c r="G13" i="6"/>
  <c r="G14" i="6" s="1"/>
  <c r="C13" i="6"/>
  <c r="C14" i="6" s="1"/>
  <c r="D8" i="6"/>
  <c r="F13" i="4"/>
  <c r="E13" i="4"/>
  <c r="D13" i="4"/>
  <c r="C13" i="4"/>
  <c r="G13" i="4"/>
  <c r="C42" i="6" l="1"/>
  <c r="H17" i="9"/>
  <c r="H11" i="9"/>
  <c r="I8" i="9" s="1"/>
  <c r="I10" i="9"/>
  <c r="I17" i="9" s="1"/>
  <c r="J13" i="9"/>
  <c r="K13" i="9" s="1"/>
  <c r="L13" i="9" s="1"/>
  <c r="E42" i="6"/>
  <c r="G42" i="6"/>
  <c r="H42" i="6" s="1"/>
  <c r="F42" i="6"/>
  <c r="I8" i="6"/>
  <c r="J8" i="6"/>
  <c r="K8" i="6"/>
  <c r="L8" i="6"/>
  <c r="H8" i="6"/>
  <c r="H7" i="6" s="1"/>
  <c r="H5" i="8" s="1"/>
  <c r="H7" i="8" s="1"/>
  <c r="H36" i="9" l="1"/>
  <c r="H35" i="9" s="1"/>
  <c r="H40" i="10" s="1"/>
  <c r="H53" i="9"/>
  <c r="H47" i="9" s="1"/>
  <c r="H43" i="10" s="1"/>
  <c r="H18" i="12"/>
  <c r="I42" i="6"/>
  <c r="I18" i="9"/>
  <c r="I19" i="9"/>
  <c r="I20" i="8" s="1"/>
  <c r="I27" i="10"/>
  <c r="I11" i="9"/>
  <c r="J8" i="9" s="1"/>
  <c r="H18" i="9"/>
  <c r="H19" i="9" s="1"/>
  <c r="H20" i="8" s="1"/>
  <c r="H13" i="6"/>
  <c r="H15" i="8" s="1"/>
  <c r="H16" i="8" s="1"/>
  <c r="H25" i="6"/>
  <c r="H21" i="8" s="1"/>
  <c r="H19" i="6"/>
  <c r="H18" i="8" s="1"/>
  <c r="D38" i="5"/>
  <c r="E38" i="5"/>
  <c r="F38" i="5"/>
  <c r="G38" i="5"/>
  <c r="C38" i="5"/>
  <c r="D13" i="5"/>
  <c r="E13" i="5"/>
  <c r="F13" i="5"/>
  <c r="G13" i="5"/>
  <c r="C13" i="5"/>
  <c r="D10" i="5"/>
  <c r="E10" i="5"/>
  <c r="F10" i="5"/>
  <c r="G10" i="5"/>
  <c r="C10" i="5"/>
  <c r="H31" i="9" l="1"/>
  <c r="H30" i="9" s="1"/>
  <c r="H39" i="10" s="1"/>
  <c r="H41" i="9"/>
  <c r="H40" i="9" s="1"/>
  <c r="H20" i="10" s="1"/>
  <c r="H54" i="9"/>
  <c r="J42" i="6"/>
  <c r="J10" i="9"/>
  <c r="J17" i="9" s="1"/>
  <c r="J27" i="10"/>
  <c r="D36" i="5"/>
  <c r="E36" i="5"/>
  <c r="F36" i="5"/>
  <c r="G36" i="5"/>
  <c r="C36" i="5"/>
  <c r="D25" i="5"/>
  <c r="E25" i="5"/>
  <c r="F25" i="5"/>
  <c r="G25" i="5"/>
  <c r="C25" i="5"/>
  <c r="H49" i="9" l="1"/>
  <c r="H19" i="10" s="1"/>
  <c r="H51" i="9"/>
  <c r="H21" i="10" s="1"/>
  <c r="K42" i="6"/>
  <c r="J11" i="9"/>
  <c r="K8" i="9" s="1"/>
  <c r="J18" i="9"/>
  <c r="J19" i="9" s="1"/>
  <c r="J20" i="8" s="1"/>
  <c r="F31" i="4"/>
  <c r="E31" i="4"/>
  <c r="D31" i="4"/>
  <c r="C31" i="4"/>
  <c r="G31" i="4"/>
  <c r="F25" i="4"/>
  <c r="E25" i="4"/>
  <c r="E32" i="4" s="1"/>
  <c r="E33" i="4" s="1"/>
  <c r="E34" i="4" s="1"/>
  <c r="D25" i="4"/>
  <c r="C25" i="4"/>
  <c r="G25" i="4"/>
  <c r="F8" i="4"/>
  <c r="E8" i="4"/>
  <c r="D8" i="4"/>
  <c r="C8" i="4"/>
  <c r="G8" i="4"/>
  <c r="F5" i="4"/>
  <c r="E5" i="4"/>
  <c r="D5" i="4"/>
  <c r="C5" i="4"/>
  <c r="G5" i="4"/>
  <c r="F43" i="3"/>
  <c r="E43" i="3"/>
  <c r="D43" i="3"/>
  <c r="C43" i="3"/>
  <c r="G43" i="3"/>
  <c r="D30" i="3"/>
  <c r="D35" i="3" s="1"/>
  <c r="C30" i="3"/>
  <c r="C35" i="3" s="1"/>
  <c r="E30" i="3"/>
  <c r="E35" i="3" s="1"/>
  <c r="E44" i="3" s="1"/>
  <c r="F30" i="3"/>
  <c r="F35" i="3" s="1"/>
  <c r="F44" i="3" s="1"/>
  <c r="G30" i="3"/>
  <c r="G35" i="3" s="1"/>
  <c r="G44" i="3" s="1"/>
  <c r="H12" i="12" l="1"/>
  <c r="H39" i="6"/>
  <c r="H40" i="6" s="1"/>
  <c r="H23" i="10"/>
  <c r="L42" i="6"/>
  <c r="K10" i="9"/>
  <c r="K17" i="9" s="1"/>
  <c r="K11" i="9"/>
  <c r="L8" i="9" s="1"/>
  <c r="K27" i="10"/>
  <c r="C44" i="3"/>
  <c r="D44" i="3"/>
  <c r="C32" i="4"/>
  <c r="C33" i="4" s="1"/>
  <c r="C34" i="4" s="1"/>
  <c r="G32" i="4"/>
  <c r="G33" i="4" s="1"/>
  <c r="G34" i="4" s="1"/>
  <c r="F32" i="4"/>
  <c r="F33" i="4" s="1"/>
  <c r="F34" i="4" s="1"/>
  <c r="D32" i="4"/>
  <c r="D33" i="4" s="1"/>
  <c r="D34" i="4" s="1"/>
  <c r="I7" i="6"/>
  <c r="I5" i="8" s="1"/>
  <c r="I7" i="8" s="1"/>
  <c r="G8" i="6"/>
  <c r="F8" i="6"/>
  <c r="E8" i="6"/>
  <c r="F22" i="3"/>
  <c r="E22" i="3"/>
  <c r="D22" i="3"/>
  <c r="C22" i="3"/>
  <c r="G22" i="3"/>
  <c r="F16" i="3"/>
  <c r="E16" i="3"/>
  <c r="D16" i="3"/>
  <c r="C16" i="3"/>
  <c r="G16" i="3"/>
  <c r="H24" i="10" l="1"/>
  <c r="H62" i="9"/>
  <c r="H19" i="8"/>
  <c r="H23" i="8" s="1"/>
  <c r="H24" i="8" s="1"/>
  <c r="I36" i="9"/>
  <c r="I35" i="9" s="1"/>
  <c r="I40" i="10" s="1"/>
  <c r="I53" i="9"/>
  <c r="I47" i="9" s="1"/>
  <c r="I43" i="10" s="1"/>
  <c r="I18" i="12"/>
  <c r="L10" i="9"/>
  <c r="L17" i="9" s="1"/>
  <c r="L27" i="10"/>
  <c r="L11" i="9"/>
  <c r="K18" i="9"/>
  <c r="K19" i="9" s="1"/>
  <c r="K20" i="8" s="1"/>
  <c r="I19" i="6"/>
  <c r="I18" i="8" s="1"/>
  <c r="I25" i="6"/>
  <c r="I21" i="8" s="1"/>
  <c r="J7" i="6"/>
  <c r="J5" i="8" s="1"/>
  <c r="J7" i="8" s="1"/>
  <c r="I13" i="6"/>
  <c r="I15" i="8" s="1"/>
  <c r="I16" i="8" s="1"/>
  <c r="F10" i="3"/>
  <c r="E10" i="3"/>
  <c r="D10" i="3"/>
  <c r="C10" i="3"/>
  <c r="G10" i="3"/>
  <c r="I31" i="9" l="1"/>
  <c r="I30" i="9" s="1"/>
  <c r="I39" i="10" s="1"/>
  <c r="I41" i="9"/>
  <c r="I40" i="9" s="1"/>
  <c r="I20" i="10" s="1"/>
  <c r="I54" i="9"/>
  <c r="H13" i="12"/>
  <c r="H22" i="8"/>
  <c r="J36" i="9"/>
  <c r="J35" i="9" s="1"/>
  <c r="J40" i="10" s="1"/>
  <c r="J53" i="9"/>
  <c r="J47" i="9" s="1"/>
  <c r="J43" i="10" s="1"/>
  <c r="J18" i="12"/>
  <c r="L18" i="9"/>
  <c r="L19" i="9" s="1"/>
  <c r="L20" i="8" s="1"/>
  <c r="G23" i="3"/>
  <c r="D23" i="3"/>
  <c r="E23" i="3"/>
  <c r="F23" i="3"/>
  <c r="C23" i="3"/>
  <c r="J25" i="6"/>
  <c r="J21" i="8" s="1"/>
  <c r="J19" i="6"/>
  <c r="J18" i="8" s="1"/>
  <c r="K7" i="6"/>
  <c r="K5" i="8" s="1"/>
  <c r="K7" i="8" s="1"/>
  <c r="J13" i="6"/>
  <c r="J15" i="8" s="1"/>
  <c r="J16" i="8" s="1"/>
  <c r="I49" i="9" l="1"/>
  <c r="I19" i="10" s="1"/>
  <c r="I51" i="9"/>
  <c r="I21" i="10" s="1"/>
  <c r="J31" i="9"/>
  <c r="J30" i="9" s="1"/>
  <c r="J39" i="10" s="1"/>
  <c r="J54" i="9"/>
  <c r="J41" i="9"/>
  <c r="J40" i="9" s="1"/>
  <c r="J20" i="10" s="1"/>
  <c r="K36" i="9"/>
  <c r="K35" i="9" s="1"/>
  <c r="K40" i="10" s="1"/>
  <c r="K53" i="9"/>
  <c r="K47" i="9" s="1"/>
  <c r="K43" i="10" s="1"/>
  <c r="K18" i="12"/>
  <c r="K25" i="6"/>
  <c r="K21" i="8" s="1"/>
  <c r="K19" i="6"/>
  <c r="K18" i="8" s="1"/>
  <c r="L7" i="6"/>
  <c r="L5" i="8" s="1"/>
  <c r="L7" i="8" s="1"/>
  <c r="K13" i="6"/>
  <c r="K15" i="8" s="1"/>
  <c r="K16" i="8" l="1"/>
  <c r="K31" i="9"/>
  <c r="K30" i="9" s="1"/>
  <c r="K39" i="10" s="1"/>
  <c r="K54" i="9"/>
  <c r="K41" i="9"/>
  <c r="K40" i="9" s="1"/>
  <c r="K20" i="10" s="1"/>
  <c r="J49" i="9"/>
  <c r="J19" i="10" s="1"/>
  <c r="J51" i="9"/>
  <c r="J21" i="10" s="1"/>
  <c r="I39" i="6"/>
  <c r="I40" i="6" s="1"/>
  <c r="I23" i="10"/>
  <c r="I12" i="12"/>
  <c r="L36" i="9"/>
  <c r="L35" i="9" s="1"/>
  <c r="L40" i="10" s="1"/>
  <c r="L53" i="9"/>
  <c r="L47" i="9" s="1"/>
  <c r="L43" i="10" s="1"/>
  <c r="L18" i="12"/>
  <c r="L13" i="6"/>
  <c r="L15" i="8" s="1"/>
  <c r="L16" i="8" s="1"/>
  <c r="L25" i="6"/>
  <c r="L21" i="8" s="1"/>
  <c r="L19" i="6"/>
  <c r="L18" i="8" s="1"/>
  <c r="J12" i="12" l="1"/>
  <c r="J39" i="6"/>
  <c r="J40" i="6" s="1"/>
  <c r="J23" i="10"/>
  <c r="I19" i="8"/>
  <c r="I23" i="8" s="1"/>
  <c r="I24" i="8" s="1"/>
  <c r="L31" i="9"/>
  <c r="L30" i="9" s="1"/>
  <c r="L39" i="10" s="1"/>
  <c r="L41" i="9"/>
  <c r="L40" i="9" s="1"/>
  <c r="L20" i="10" s="1"/>
  <c r="L54" i="9"/>
  <c r="K49" i="9"/>
  <c r="K19" i="10" s="1"/>
  <c r="K51" i="9"/>
  <c r="K21" i="10" s="1"/>
  <c r="I24" i="10"/>
  <c r="I62" i="9"/>
  <c r="K12" i="12" l="1"/>
  <c r="K39" i="6"/>
  <c r="K40" i="6" s="1"/>
  <c r="K23" i="10"/>
  <c r="I13" i="12"/>
  <c r="I22" i="8"/>
  <c r="J19" i="8"/>
  <c r="J23" i="8" s="1"/>
  <c r="J24" i="8" s="1"/>
  <c r="J62" i="9"/>
  <c r="J24" i="10"/>
  <c r="L49" i="9"/>
  <c r="L19" i="10" s="1"/>
  <c r="L51" i="9"/>
  <c r="L21" i="10" s="1"/>
  <c r="K62" i="9" l="1"/>
  <c r="K24" i="10"/>
  <c r="L39" i="6"/>
  <c r="L40" i="6" s="1"/>
  <c r="L12" i="12"/>
  <c r="L23" i="10"/>
  <c r="K19" i="8"/>
  <c r="K23" i="8" s="1"/>
  <c r="K24" i="8" s="1"/>
  <c r="J13" i="12"/>
  <c r="J22" i="8"/>
  <c r="L19" i="8" l="1"/>
  <c r="L23" i="8" s="1"/>
  <c r="L24" i="8" s="1"/>
  <c r="K13" i="12"/>
  <c r="K22" i="8"/>
  <c r="L62" i="9"/>
  <c r="L24" i="10"/>
  <c r="L13" i="12" l="1"/>
  <c r="L22" i="8"/>
  <c r="J9" i="12" l="1"/>
  <c r="K54" i="17"/>
  <c r="K9" i="12"/>
  <c r="L54" i="17"/>
  <c r="L9" i="12"/>
  <c r="J54" i="17"/>
  <c r="I9" i="12"/>
  <c r="K44" i="10"/>
  <c r="K8" i="12" s="1"/>
  <c r="I44" i="10"/>
  <c r="I7" i="12" s="1"/>
  <c r="J44" i="10"/>
  <c r="J7" i="12" s="1"/>
  <c r="L44" i="10"/>
  <c r="L7" i="12" s="1"/>
  <c r="K7" i="12" l="1"/>
  <c r="I61" i="9"/>
  <c r="I63" i="9" s="1"/>
  <c r="J8" i="12"/>
  <c r="J61" i="9"/>
  <c r="J63" i="9" s="1"/>
  <c r="I8" i="12"/>
  <c r="K61" i="9"/>
  <c r="K63" i="9" s="1"/>
  <c r="L8" i="12"/>
  <c r="L61" i="9"/>
  <c r="L63" i="9" s="1"/>
  <c r="J64" i="9" l="1"/>
  <c r="F13" i="15" s="1"/>
  <c r="F14" i="15" s="1"/>
  <c r="F16" i="15" s="1"/>
  <c r="K64" i="9"/>
  <c r="G13" i="15" s="1"/>
  <c r="G24" i="15" s="1"/>
  <c r="L64" i="9"/>
  <c r="H13" i="15" s="1"/>
  <c r="H14" i="15" s="1"/>
  <c r="H16" i="15" s="1"/>
  <c r="F24" i="15"/>
  <c r="H24" i="15" l="1"/>
  <c r="I24" i="15" s="1"/>
  <c r="I13" i="15" s="1"/>
  <c r="I14" i="15" s="1"/>
  <c r="I16" i="15" s="1"/>
  <c r="G14" i="15"/>
  <c r="G16" i="15" s="1"/>
  <c r="J24" i="15"/>
  <c r="K24" i="15" l="1"/>
  <c r="J13" i="15"/>
  <c r="J14" i="15" s="1"/>
  <c r="J16" i="15" s="1"/>
  <c r="K13" i="15" l="1"/>
  <c r="K14" i="15" s="1"/>
  <c r="K16" i="15" s="1"/>
  <c r="L24" i="15"/>
  <c r="L13" i="15" s="1"/>
  <c r="L14" i="15" s="1"/>
  <c r="L17" i="15" l="1"/>
  <c r="L18" i="15" s="1"/>
  <c r="C30" i="15" s="1"/>
  <c r="L16" i="15"/>
  <c r="I54" i="17"/>
  <c r="H9" i="12"/>
  <c r="H44" i="10"/>
  <c r="H8" i="12" s="1"/>
  <c r="H61" i="9" l="1"/>
  <c r="H63" i="9" s="1"/>
  <c r="H64" i="9" s="1"/>
  <c r="D13" i="15" s="1"/>
  <c r="I64" i="9"/>
  <c r="E13" i="15" s="1"/>
  <c r="H7" i="12"/>
  <c r="D24" i="15" l="1"/>
  <c r="D14" i="15"/>
  <c r="D16" i="15" s="1"/>
  <c r="E14" i="15"/>
  <c r="E16" i="15" s="1"/>
  <c r="E24" i="15"/>
  <c r="C29" i="15" l="1"/>
  <c r="C31" i="15" l="1"/>
  <c r="C33" i="15" s="1"/>
  <c r="C40" i="15" l="1"/>
  <c r="C42" i="15" s="1"/>
  <c r="C34" i="15"/>
  <c r="L47" i="10" l="1"/>
  <c r="L21" i="12"/>
  <c r="L14" i="12"/>
  <c r="L20" i="12"/>
  <c r="J14" i="12"/>
  <c r="J20" i="12"/>
  <c r="J47" i="10"/>
  <c r="J21" i="12"/>
  <c r="I20" i="12"/>
  <c r="I47" i="10"/>
  <c r="I14" i="12"/>
  <c r="I21" i="12"/>
  <c r="H14" i="12"/>
  <c r="H21" i="12"/>
  <c r="H20" i="12"/>
  <c r="H47" i="10"/>
  <c r="K14" i="12"/>
  <c r="K21" i="12"/>
  <c r="K47" i="10"/>
  <c r="K20" i="12"/>
  <c r="I40" i="17"/>
  <c r="H40" i="17"/>
  <c r="H45" i="10"/>
  <c r="J45" i="10"/>
  <c r="K40" i="17"/>
  <c r="K41" i="17"/>
  <c r="K56" i="6"/>
  <c r="J40" i="17"/>
  <c r="I45" i="10"/>
  <c r="L41" i="17"/>
  <c r="L45" i="10"/>
  <c r="H56" i="6"/>
  <c r="G55" i="17"/>
  <c r="J23" i="9"/>
  <c r="J36" i="17"/>
  <c r="J41" i="17"/>
  <c r="L40" i="17"/>
  <c r="K45" i="10"/>
  <c r="I23" i="9"/>
  <c r="I36" i="17"/>
  <c r="I41" i="17"/>
  <c r="J31" i="10"/>
  <c r="J36" i="10"/>
  <c r="L36" i="10"/>
  <c r="L53" i="17"/>
  <c r="L55" i="17"/>
  <c r="J28" i="10"/>
  <c r="I56" i="6"/>
  <c r="G41" i="17"/>
  <c r="G53" i="17"/>
  <c r="K23" i="9"/>
  <c r="K36" i="17"/>
  <c r="H28" i="10"/>
  <c r="H31" i="10"/>
  <c r="H36" i="10"/>
  <c r="I31" i="10"/>
  <c r="I36" i="10"/>
  <c r="K36" i="10"/>
  <c r="K53" i="17"/>
  <c r="K55" i="17"/>
  <c r="J56" i="6"/>
  <c r="G36" i="17"/>
  <c r="J47" i="6"/>
  <c r="J46" i="6"/>
  <c r="J54" i="6"/>
  <c r="J45" i="17"/>
  <c r="J52" i="17"/>
  <c r="J53" i="17"/>
  <c r="J55" i="17"/>
  <c r="K28" i="10"/>
  <c r="K31" i="10"/>
  <c r="H23" i="9"/>
  <c r="H36" i="17"/>
  <c r="H41" i="17"/>
  <c r="H47" i="6"/>
  <c r="H46" i="6"/>
  <c r="H54" i="6"/>
  <c r="H45" i="17"/>
  <c r="H52" i="17"/>
  <c r="H53" i="17"/>
  <c r="H55" i="17"/>
  <c r="L56" i="6"/>
  <c r="L36" i="17"/>
  <c r="L28" i="10"/>
  <c r="L31" i="10"/>
  <c r="I28" i="10"/>
  <c r="K54" i="6"/>
  <c r="K45" i="17"/>
  <c r="K52" i="17"/>
  <c r="I54" i="6"/>
  <c r="I45" i="17"/>
  <c r="I52" i="17"/>
  <c r="I53" i="17"/>
  <c r="I55" i="17"/>
  <c r="L47" i="6"/>
  <c r="L46" i="6"/>
  <c r="L54" i="6"/>
  <c r="L45" i="17"/>
  <c r="L52" i="17"/>
  <c r="G23" i="9"/>
  <c r="G25" i="9"/>
  <c r="H22" i="9"/>
  <c r="H25" i="9"/>
  <c r="I22" i="9"/>
  <c r="I25" i="9"/>
  <c r="J22" i="9"/>
  <c r="J25" i="9"/>
  <c r="K22" i="9"/>
  <c r="K25" i="9"/>
  <c r="L22" i="9"/>
  <c r="L25" i="9"/>
  <c r="L23" i="9"/>
  <c r="I47" i="6"/>
  <c r="I46" i="6"/>
  <c r="K47" i="6"/>
  <c r="K46" i="6"/>
</calcChain>
</file>

<file path=xl/sharedStrings.xml><?xml version="1.0" encoding="utf-8"?>
<sst xmlns="http://schemas.openxmlformats.org/spreadsheetml/2006/main" count="596" uniqueCount="343">
  <si>
    <t>Trade Payables</t>
  </si>
  <si>
    <t>Intangible Assets</t>
  </si>
  <si>
    <t>Inventories</t>
  </si>
  <si>
    <t>EQUITIES AND LIABILITIES</t>
  </si>
  <si>
    <t>SHAREHOLDER'S FUNDS</t>
  </si>
  <si>
    <t>Equity Share Capital</t>
  </si>
  <si>
    <t>TOTAL SHARE CAPITAL</t>
  </si>
  <si>
    <t>Reserves and Surplus</t>
  </si>
  <si>
    <t>TOTAL SHAREHOLDERS FUNDS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</si>
  <si>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</si>
  <si>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</si>
  <si>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</si>
  <si>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</si>
  <si>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</si>
  <si>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</si>
  <si>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</si>
  <si>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</si>
  <si>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</si>
  <si>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</si>
  <si>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</si>
  <si>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</si>
  <si>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</si>
  <si>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</si>
  <si>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</si>
  <si>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Capital Work-In-Progress</t>
  </si>
  <si>
    <t>Other Assets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</si>
  <si>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</si>
  <si>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</si>
  <si>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</si>
  <si>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</si>
  <si>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</si>
  <si>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</si>
  <si>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</si>
  <si>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</si>
  <si>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</si>
  <si>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</si>
  <si>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</si>
  <si>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</si>
  <si>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</si>
  <si>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</si>
  <si>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Actual</t>
  </si>
  <si>
    <t>Particulars</t>
  </si>
  <si>
    <t>REVENUE FROM OPERATIONS [GROSS]</t>
  </si>
  <si>
    <t>Less: Excise/Sevice Tax/Other Levies</t>
  </si>
  <si>
    <t>REVENUE FROM OPERATIONS [NET]</t>
  </si>
  <si>
    <t>TOTAL OPERATING REVENUES</t>
  </si>
  <si>
    <t>Other Income</t>
  </si>
  <si>
    <t>TOTAL REVENUE</t>
  </si>
  <si>
    <t>EXPENSES</t>
  </si>
  <si>
    <t>Cost Of Materials Consumed</t>
  </si>
  <si>
    <t>Purchase Of Stock-In Trade</t>
  </si>
  <si>
    <t>Operating And Direct Expenses</t>
  </si>
  <si>
    <t>Changes In Inventories Of FG,WIP And Stock-In Trade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</si>
  <si>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</si>
  <si>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</si>
  <si>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</si>
  <si>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</si>
  <si>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</si>
  <si>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EXCEPTIONAL, EXTRAORDINARY ITEMS AND TAX</t>
  </si>
  <si>
    <t>Exceptional Items</t>
  </si>
  <si>
    <t>PROFIT/LOSS BEFORE TAX</t>
  </si>
  <si>
    <t>TAX EXPENSES-CONTINUED OPERATIONS</t>
  </si>
  <si>
    <t>Current Tax</t>
  </si>
  <si>
    <t>Less: MAT Credit Entitlement</t>
  </si>
  <si>
    <t>Deferred Tax</t>
  </si>
  <si>
    <t>Tax For Earlier Years</t>
  </si>
  <si>
    <t>TOTAL TAX EXPENSES</t>
  </si>
  <si>
    <t>PROFIT/LOSS AFTER TAX AND BEFORE EXTRAORDINARY ITEMS</t>
  </si>
  <si>
    <t>PROFIT/LOSS FROM CONTINUING OPERATIONS</t>
  </si>
  <si>
    <t>PROFIT/LOSS FOR THE PERIOD</t>
  </si>
  <si>
    <t>OTHER ADDITIONAL INFORMATION</t>
  </si>
  <si>
    <t>EARNINGS PER SHARE</t>
  </si>
  <si>
    <t>Basic EPS (Rs.)</t>
  </si>
  <si>
    <t>Diluted EPS (Rs.)</t>
  </si>
  <si>
    <t>Cash from Operating Activity -</t>
  </si>
  <si>
    <t>Profit from operations</t>
  </si>
  <si>
    <t>Receivables</t>
  </si>
  <si>
    <t>Inventory</t>
  </si>
  <si>
    <t>Payables</t>
  </si>
  <si>
    <t>Loans Advances</t>
  </si>
  <si>
    <t>Other WC items</t>
  </si>
  <si>
    <t>Working capital changes</t>
  </si>
  <si>
    <t>Direct taxes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</si>
  <si>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</si>
  <si>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</si>
  <si>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</si>
  <si>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</si>
  <si>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</si>
  <si>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</si>
  <si>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</si>
  <si>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 in subsidiaries</t>
  </si>
  <si>
    <t>Loans to subsidiaries</t>
  </si>
  <si>
    <t>Investment in group cos</t>
  </si>
  <si>
    <t>Other investing items</t>
  </si>
  <si>
    <t>Cash from Financing Activity -</t>
  </si>
  <si>
    <t>Proceeds from shares</t>
  </si>
  <si>
    <t>Proceeds from borrowings</t>
  </si>
  <si>
    <t>Repayment of borrowings</t>
  </si>
  <si>
    <t>Proceeds from deposits</t>
  </si>
  <si>
    <t>Interest paid fin</t>
  </si>
  <si>
    <t>Dividends paid</t>
  </si>
  <si>
    <t>Financial liabilities</t>
  </si>
  <si>
    <t>Other financing items</t>
  </si>
  <si>
    <t>Net Cash Flow</t>
  </si>
  <si>
    <t>Net  cash flow from operating activites</t>
  </si>
  <si>
    <t>Net cash Flow from investing activites</t>
  </si>
  <si>
    <t>Net cash flow from financing activity</t>
  </si>
  <si>
    <t>Net cash flow</t>
  </si>
  <si>
    <t>Cash flow</t>
  </si>
  <si>
    <t>FY 2018</t>
  </si>
  <si>
    <t>FY 2019</t>
  </si>
  <si>
    <t>FY 2020</t>
  </si>
  <si>
    <t>FY 2021</t>
  </si>
  <si>
    <t>FY 2022</t>
  </si>
  <si>
    <t>FY 2023</t>
  </si>
  <si>
    <t>FY 2024</t>
  </si>
  <si>
    <t>FY 2025</t>
  </si>
  <si>
    <t>ACTUAL</t>
  </si>
  <si>
    <t>ESTIMATED</t>
  </si>
  <si>
    <t>FY2026</t>
  </si>
  <si>
    <t>FY2027</t>
  </si>
  <si>
    <t>Income statement drivers</t>
  </si>
  <si>
    <t>Revenue</t>
  </si>
  <si>
    <t>Revenue growth y on y</t>
  </si>
  <si>
    <t>Case1</t>
  </si>
  <si>
    <t>Case2</t>
  </si>
  <si>
    <t>Case3</t>
  </si>
  <si>
    <t>COGS</t>
  </si>
  <si>
    <t>case1</t>
  </si>
  <si>
    <t>case2</t>
  </si>
  <si>
    <t>case3</t>
  </si>
  <si>
    <t>Optismistic</t>
  </si>
  <si>
    <t>best</t>
  </si>
  <si>
    <t>worst</t>
  </si>
  <si>
    <t>% of revenue</t>
  </si>
  <si>
    <t>CASE1</t>
  </si>
  <si>
    <t>CASE2</t>
  </si>
  <si>
    <t>CASE3</t>
  </si>
  <si>
    <t>Employe Benefit expense</t>
  </si>
  <si>
    <t>% of Revenue</t>
  </si>
  <si>
    <t>Other expense</t>
  </si>
  <si>
    <t>Tax expenses</t>
  </si>
  <si>
    <t>% of PBT</t>
  </si>
  <si>
    <t>Interest Expenses</t>
  </si>
  <si>
    <t>Long term borrowing</t>
  </si>
  <si>
    <t>Short term borrowing</t>
  </si>
  <si>
    <t>Interest</t>
  </si>
  <si>
    <t>Interest Rate</t>
  </si>
  <si>
    <t>Dividend paid</t>
  </si>
  <si>
    <t>Net income</t>
  </si>
  <si>
    <t>Dividend and DDT</t>
  </si>
  <si>
    <t>Dividend payout ratio</t>
  </si>
  <si>
    <t>Balance Sheet Drivers</t>
  </si>
  <si>
    <t>Other equity</t>
  </si>
  <si>
    <t>Opening balance</t>
  </si>
  <si>
    <t>PAT</t>
  </si>
  <si>
    <t>Dividend Paid</t>
  </si>
  <si>
    <t>Other Adjustments</t>
  </si>
  <si>
    <t>Closing balance</t>
  </si>
  <si>
    <t>Capex</t>
  </si>
  <si>
    <t>Depriciation</t>
  </si>
  <si>
    <t>Depriciation %</t>
  </si>
  <si>
    <t>Depriciation and Amortization</t>
  </si>
  <si>
    <t xml:space="preserve">Depriciation </t>
  </si>
  <si>
    <t>Amortization</t>
  </si>
  <si>
    <t>Total</t>
  </si>
  <si>
    <t>Intagible Assets</t>
  </si>
  <si>
    <t>Opening</t>
  </si>
  <si>
    <t>Addition</t>
  </si>
  <si>
    <t>Closing</t>
  </si>
  <si>
    <t>Working Capital Schedule</t>
  </si>
  <si>
    <t>Inventory Days</t>
  </si>
  <si>
    <t>Receivables Days</t>
  </si>
  <si>
    <t>Total Trade Payables</t>
  </si>
  <si>
    <t>Trade Payable Days</t>
  </si>
  <si>
    <t>Investments</t>
  </si>
  <si>
    <t>Loan</t>
  </si>
  <si>
    <t xml:space="preserve">Other financial assets </t>
  </si>
  <si>
    <t xml:space="preserve">Other current assets </t>
  </si>
  <si>
    <t>Contract assets</t>
  </si>
  <si>
    <t xml:space="preserve">Borrowings </t>
  </si>
  <si>
    <t xml:space="preserve">Other financial liabilities </t>
  </si>
  <si>
    <t xml:space="preserve">Other current liabilities </t>
  </si>
  <si>
    <t>Assumptions</t>
  </si>
  <si>
    <t>Current Assets (Excluding Cash)</t>
  </si>
  <si>
    <t>Current Liabilities (Excl. Prov)</t>
  </si>
  <si>
    <t>Working Capital</t>
  </si>
  <si>
    <t>Change in WC</t>
  </si>
  <si>
    <t>Liquidity Ratios</t>
  </si>
  <si>
    <t>Current ratios</t>
  </si>
  <si>
    <t>Quick ratios</t>
  </si>
  <si>
    <t>Cash ratios</t>
  </si>
  <si>
    <t>Leverage Ratios</t>
  </si>
  <si>
    <t>Debt Equity ratios</t>
  </si>
  <si>
    <t>Interest Coverage ratios</t>
  </si>
  <si>
    <t>Debt Assets ratios</t>
  </si>
  <si>
    <t>Profitability Ratios</t>
  </si>
  <si>
    <t>Gross Profit Margin</t>
  </si>
  <si>
    <t>Operating Profit Margin</t>
  </si>
  <si>
    <t>Gross profit</t>
  </si>
  <si>
    <t>Tax rates</t>
  </si>
  <si>
    <t>Market risk premium</t>
  </si>
  <si>
    <t>Risk free rate</t>
  </si>
  <si>
    <t>Growth Rate</t>
  </si>
  <si>
    <t>Estimated Cost of Debt</t>
  </si>
  <si>
    <t>Debt as % Capital</t>
  </si>
  <si>
    <t>Equity as % of Capital</t>
  </si>
  <si>
    <t>Estimated Cost of Equity</t>
  </si>
  <si>
    <t>cost of debt</t>
  </si>
  <si>
    <t>Adj. of debt (after tax)</t>
  </si>
  <si>
    <t>Cost of equity</t>
  </si>
  <si>
    <t>Beta</t>
  </si>
  <si>
    <t>WACC</t>
  </si>
  <si>
    <t>CHECK</t>
  </si>
  <si>
    <t>Gross Profit</t>
  </si>
  <si>
    <t>EBITDA</t>
  </si>
  <si>
    <t>EBIT</t>
  </si>
  <si>
    <t>Net Profit Margin</t>
  </si>
  <si>
    <t>FY 2026</t>
  </si>
  <si>
    <t>FY 2027</t>
  </si>
  <si>
    <t>FY 2028</t>
  </si>
  <si>
    <t>FY 2029</t>
  </si>
  <si>
    <t>FY 2030</t>
  </si>
  <si>
    <t>FY 2031</t>
  </si>
  <si>
    <t>Revenue Growth</t>
  </si>
  <si>
    <t>Tax</t>
  </si>
  <si>
    <t>NOPAT</t>
  </si>
  <si>
    <t>Add: dep.&amp;Ammor.</t>
  </si>
  <si>
    <t>Less:Capex</t>
  </si>
  <si>
    <t>Add/Less: Change in WC</t>
  </si>
  <si>
    <t>FCFF (freecash flow Fo the firm)</t>
  </si>
  <si>
    <t>PV of FCFF</t>
  </si>
  <si>
    <t>Terminal value</t>
  </si>
  <si>
    <t>PV of TV</t>
  </si>
  <si>
    <t>Free cash flow</t>
  </si>
  <si>
    <t>check</t>
  </si>
  <si>
    <t>Market risk premium=4.80%</t>
  </si>
  <si>
    <t>WACC Calculation</t>
  </si>
  <si>
    <t>Selected case&gt;&gt;&gt;</t>
  </si>
  <si>
    <t xml:space="preserve"> </t>
  </si>
  <si>
    <t>Assumption for terminal value</t>
  </si>
  <si>
    <t>Growth rate</t>
  </si>
  <si>
    <t>dep. And ammor.</t>
  </si>
  <si>
    <t>capex</t>
  </si>
  <si>
    <t>WC</t>
  </si>
  <si>
    <t>Sum of PV of FCFF</t>
  </si>
  <si>
    <t>Enterprise Value</t>
  </si>
  <si>
    <t>Contribution in EV from sum of PV of FCFF</t>
  </si>
  <si>
    <t>contribution in EV from sum of PV of TV</t>
  </si>
  <si>
    <t>Enterprise Value Calculation</t>
  </si>
  <si>
    <t>Debt</t>
  </si>
  <si>
    <t>Cash and cash euivalent</t>
  </si>
  <si>
    <t>Net Debt</t>
  </si>
  <si>
    <t xml:space="preserve">Equity Value </t>
  </si>
  <si>
    <t>No of share</t>
  </si>
  <si>
    <t>Per Share Value</t>
  </si>
  <si>
    <t>Current Share Price</t>
  </si>
  <si>
    <t>Share Price analysis</t>
  </si>
  <si>
    <t>Balance sheet of CEAT Ltd</t>
  </si>
  <si>
    <t>Income Statementof CEAT Ltd</t>
  </si>
  <si>
    <t>ASSUMPTIONS</t>
  </si>
  <si>
    <t>RATIOS</t>
  </si>
  <si>
    <t>Date</t>
  </si>
  <si>
    <t>Ceat ltd</t>
  </si>
  <si>
    <t>CASH FLOW FROM OPERATING ACTIVITIES</t>
  </si>
  <si>
    <t>Profit before Tax</t>
  </si>
  <si>
    <t>Adjustments for :-</t>
  </si>
  <si>
    <t xml:space="preserve">Depreciation </t>
  </si>
  <si>
    <t>amortisation expense</t>
  </si>
  <si>
    <t>Deffered tax assets (NET)</t>
  </si>
  <si>
    <t>Deffered tax liabilities (NET)</t>
  </si>
  <si>
    <t>Current Tax Assets (NET)</t>
  </si>
  <si>
    <t>Current Tax Liabilities (NET)</t>
  </si>
  <si>
    <t>Operating Cash flow before Working Capital changes</t>
  </si>
  <si>
    <t>Financial Assets</t>
  </si>
  <si>
    <t>Investments (Current)</t>
  </si>
  <si>
    <t>Loans (Current)</t>
  </si>
  <si>
    <t>Other Current Financal Assets</t>
  </si>
  <si>
    <t xml:space="preserve">Trade payables </t>
  </si>
  <si>
    <t>Net cash inflow (outflow) from Operating Activities</t>
  </si>
  <si>
    <t>CASH FLOW FROM INVESTING ACTIVITIES</t>
  </si>
  <si>
    <t>Capital in Progress</t>
  </si>
  <si>
    <t>Loans</t>
  </si>
  <si>
    <t>Other Financial Assets</t>
  </si>
  <si>
    <t>Other non current assets</t>
  </si>
  <si>
    <t>Net cash used in investing Activities</t>
  </si>
  <si>
    <t>CASH FLOW FROM FINANCING ACTIVITIES</t>
  </si>
  <si>
    <t>Other Comprehensive Income</t>
  </si>
  <si>
    <t>Borrowings</t>
  </si>
  <si>
    <t>Other Financal Liabilities</t>
  </si>
  <si>
    <t>Provisions Fixed</t>
  </si>
  <si>
    <t>ProvisionsCurrent</t>
  </si>
  <si>
    <t>Net Cash inflow (outflow) from Financing Activities</t>
  </si>
  <si>
    <t>Net Cash inflow (outflow) from Operating, Investing &amp; Financing Activities</t>
  </si>
  <si>
    <t>Opening balance of Cash &amp; Cash equivalents</t>
  </si>
  <si>
    <t>Closing balance of Cash &amp; Cash equivalents</t>
  </si>
  <si>
    <t>Company Name</t>
  </si>
  <si>
    <t>Stock Exchange</t>
  </si>
  <si>
    <t>Share Price of Last Close (NSE)</t>
  </si>
  <si>
    <t>Last Closing Share Price Date</t>
  </si>
  <si>
    <t>Latest Fiscal Year End</t>
  </si>
  <si>
    <t>No. of days in accounting year</t>
  </si>
  <si>
    <t>No. of Outstanding Shares (In Cr.)</t>
  </si>
  <si>
    <t>Market Cap (In Cr.)</t>
  </si>
  <si>
    <t>P/E Ratio</t>
  </si>
  <si>
    <t>Ceat Limited</t>
  </si>
  <si>
    <t>NSE</t>
  </si>
  <si>
    <t>Nifty</t>
  </si>
  <si>
    <t>Returns of nifty</t>
  </si>
  <si>
    <t>Returns of Ceat ltd.</t>
  </si>
  <si>
    <t>Average return</t>
  </si>
  <si>
    <t>Average Variance</t>
  </si>
  <si>
    <t>Standard Deviation</t>
  </si>
  <si>
    <t>Correlation</t>
  </si>
  <si>
    <t>Alpha</t>
  </si>
  <si>
    <t>Summary output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</si>
  <si>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</si>
  <si>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</si>
  <si>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</si>
  <si>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</si>
  <si>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</si>
  <si>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</si>
  <si>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</si>
  <si>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</si>
  <si>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</si>
  <si>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</si>
  <si>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</si>
  <si>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</si>
  <si>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</si>
  <si>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</si>
  <si>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</si>
  <si>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</si>
  <si>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</si>
  <si>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</si>
  <si>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</si>
  <si>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</si>
  <si>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</si>
  <si>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</si>
  <si>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</si>
  <si>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Return On Capital Employed(%)</t>
  </si>
  <si>
    <t>Return on Long Term Funds(%)</t>
  </si>
  <si>
    <t xml:space="preserve">PROFIT AFTER TAX </t>
  </si>
  <si>
    <t>PROFIT BEFORE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</si>
</sst>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%"/>
    <numFmt numFmtId="165" formatCode="0.0"/>
    <numFmt numFmtId="166" formatCode="0.0000"/>
    <numFmt numFmtId="167" formatCode="0.000%"/>
    <numFmt numFmtId="174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4" tint="-0.499984740745262"/>
      <name val="Arial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 Narrow"/>
      <family val="2"/>
    </font>
    <font>
      <b/>
      <sz val="12"/>
      <color theme="4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</cellStyleXfs>
  <cellXfs count="26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4" fillId="0" borderId="0" xfId="0" applyFont="1"/>
    <xf numFmtId="0" fontId="5" fillId="0" borderId="0" xfId="0" applyFo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4" borderId="1" xfId="0" applyFont="1" applyFill="1" applyBorder="1"/>
    <xf numFmtId="0" fontId="1" fillId="3" borderId="2" xfId="0" applyFont="1" applyFill="1" applyBorder="1"/>
    <xf numFmtId="0" fontId="8" fillId="5" borderId="0" xfId="0" applyFont="1" applyFill="1"/>
    <xf numFmtId="0" fontId="9" fillId="0" borderId="3" xfId="0" applyFont="1" applyBorder="1"/>
    <xf numFmtId="0" fontId="0" fillId="0" borderId="3" xfId="0" applyBorder="1"/>
    <xf numFmtId="9" fontId="0" fillId="0" borderId="0" xfId="1" applyFont="1"/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/>
    <xf numFmtId="3" fontId="1" fillId="0" borderId="0" xfId="0" applyNumberFormat="1" applyFont="1" applyBorder="1"/>
    <xf numFmtId="0" fontId="6" fillId="0" borderId="0" xfId="0" applyFont="1" applyBorder="1"/>
    <xf numFmtId="9" fontId="2" fillId="0" borderId="0" xfId="0" applyNumberFormat="1" applyFont="1"/>
    <xf numFmtId="0" fontId="0" fillId="6" borderId="0" xfId="0" applyFill="1"/>
    <xf numFmtId="2" fontId="1" fillId="0" borderId="0" xfId="0" applyNumberFormat="1" applyFont="1"/>
    <xf numFmtId="9" fontId="0" fillId="0" borderId="0" xfId="0" applyNumberFormat="1"/>
    <xf numFmtId="9" fontId="0" fillId="6" borderId="0" xfId="0" applyNumberFormat="1" applyFill="1"/>
    <xf numFmtId="10" fontId="0" fillId="0" borderId="0" xfId="1" applyNumberFormat="1" applyFont="1"/>
    <xf numFmtId="164" fontId="0" fillId="0" borderId="0" xfId="1" applyNumberFormat="1" applyFont="1"/>
    <xf numFmtId="10" fontId="0" fillId="0" borderId="0" xfId="0" applyNumberFormat="1"/>
    <xf numFmtId="0" fontId="1" fillId="0" borderId="5" xfId="0" applyFont="1" applyBorder="1"/>
    <xf numFmtId="0" fontId="0" fillId="0" borderId="5" xfId="0" applyBorder="1"/>
    <xf numFmtId="0" fontId="10" fillId="0" borderId="0" xfId="0" applyFont="1"/>
    <xf numFmtId="0" fontId="11" fillId="0" borderId="3" xfId="0" applyFont="1" applyBorder="1"/>
    <xf numFmtId="2" fontId="0" fillId="0" borderId="0" xfId="0" applyNumberFormat="1"/>
    <xf numFmtId="0" fontId="1" fillId="0" borderId="7" xfId="0" applyFont="1" applyBorder="1"/>
    <xf numFmtId="0" fontId="0" fillId="0" borderId="7" xfId="0" applyBorder="1"/>
    <xf numFmtId="0" fontId="1" fillId="0" borderId="8" xfId="0" applyFont="1" applyBorder="1"/>
    <xf numFmtId="10" fontId="7" fillId="0" borderId="0" xfId="1" applyNumberFormat="1" applyFont="1"/>
    <xf numFmtId="2" fontId="1" fillId="0" borderId="5" xfId="0" applyNumberFormat="1" applyFont="1" applyBorder="1"/>
    <xf numFmtId="1" fontId="0" fillId="0" borderId="0" xfId="0" applyNumberFormat="1"/>
    <xf numFmtId="1" fontId="1" fillId="0" borderId="5" xfId="0" applyNumberFormat="1" applyFont="1" applyBorder="1"/>
    <xf numFmtId="0" fontId="0" fillId="0" borderId="0" xfId="1" applyNumberFormat="1" applyFont="1"/>
    <xf numFmtId="2" fontId="1" fillId="0" borderId="1" xfId="0" applyNumberFormat="1" applyFont="1" applyBorder="1"/>
    <xf numFmtId="2" fontId="1" fillId="0" borderId="8" xfId="0" applyNumberFormat="1" applyFont="1" applyBorder="1"/>
    <xf numFmtId="2" fontId="0" fillId="0" borderId="7" xfId="0" applyNumberFormat="1" applyBorder="1"/>
    <xf numFmtId="2" fontId="1" fillId="0" borderId="7" xfId="0" applyNumberFormat="1" applyFont="1" applyBorder="1"/>
    <xf numFmtId="2" fontId="1" fillId="0" borderId="2" xfId="0" applyNumberFormat="1" applyFont="1" applyBorder="1"/>
    <xf numFmtId="9" fontId="2" fillId="0" borderId="0" xfId="1" applyFont="1"/>
    <xf numFmtId="9" fontId="2" fillId="0" borderId="0" xfId="1" applyFont="1" applyFill="1"/>
    <xf numFmtId="9" fontId="2" fillId="0" borderId="0" xfId="0" applyNumberFormat="1" applyFont="1" applyFill="1"/>
    <xf numFmtId="0" fontId="0" fillId="0" borderId="7" xfId="0" applyBorder="1" applyAlignment="1"/>
    <xf numFmtId="0" fontId="1" fillId="0" borderId="3" xfId="0" applyFont="1" applyBorder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2" fontId="0" fillId="0" borderId="7" xfId="1" applyNumberFormat="1" applyFont="1" applyBorder="1"/>
    <xf numFmtId="2" fontId="1" fillId="0" borderId="0" xfId="0" applyNumberFormat="1" applyFont="1" applyBorder="1"/>
    <xf numFmtId="0" fontId="0" fillId="0" borderId="0" xfId="0" applyAlignment="1"/>
    <xf numFmtId="0" fontId="1" fillId="0" borderId="7" xfId="0" applyFont="1" applyBorder="1" applyAlignment="1"/>
    <xf numFmtId="0" fontId="0" fillId="0" borderId="9" xfId="0" applyBorder="1"/>
    <xf numFmtId="0" fontId="1" fillId="0" borderId="10" xfId="0" applyFont="1" applyBorder="1"/>
    <xf numFmtId="0" fontId="1" fillId="0" borderId="9" xfId="0" applyFont="1" applyBorder="1"/>
    <xf numFmtId="0" fontId="1" fillId="0" borderId="13" xfId="0" applyFont="1" applyBorder="1"/>
    <xf numFmtId="9" fontId="0" fillId="0" borderId="7" xfId="1" applyFont="1" applyBorder="1"/>
    <xf numFmtId="2" fontId="0" fillId="0" borderId="3" xfId="0" applyNumberFormat="1" applyBorder="1"/>
    <xf numFmtId="0" fontId="8" fillId="0" borderId="0" xfId="0" applyFont="1" applyFill="1"/>
    <xf numFmtId="2" fontId="0" fillId="0" borderId="0" xfId="0" applyNumberFormat="1" applyBorder="1"/>
    <xf numFmtId="9" fontId="0" fillId="0" borderId="0" xfId="1" applyFont="1" applyBorder="1"/>
    <xf numFmtId="2" fontId="0" fillId="0" borderId="14" xfId="0" applyNumberFormat="1" applyBorder="1"/>
    <xf numFmtId="0" fontId="0" fillId="0" borderId="14" xfId="0" applyBorder="1"/>
    <xf numFmtId="2" fontId="1" fillId="0" borderId="14" xfId="0" applyNumberFormat="1" applyFont="1" applyBorder="1"/>
    <xf numFmtId="9" fontId="0" fillId="0" borderId="14" xfId="1" applyFont="1" applyBorder="1"/>
    <xf numFmtId="0" fontId="0" fillId="0" borderId="15" xfId="0" applyBorder="1"/>
    <xf numFmtId="0" fontId="0" fillId="0" borderId="16" xfId="0" applyBorder="1"/>
    <xf numFmtId="0" fontId="0" fillId="0" borderId="11" xfId="0" applyBorder="1"/>
    <xf numFmtId="17" fontId="1" fillId="0" borderId="17" xfId="0" applyNumberFormat="1" applyFont="1" applyBorder="1"/>
    <xf numFmtId="17" fontId="1" fillId="0" borderId="12" xfId="0" applyNumberFormat="1" applyFont="1" applyBorder="1"/>
    <xf numFmtId="0" fontId="1" fillId="0" borderId="9" xfId="0" applyFont="1" applyBorder="1" applyAlignment="1">
      <alignment wrapText="1"/>
    </xf>
    <xf numFmtId="0" fontId="1" fillId="0" borderId="0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2" fillId="0" borderId="0" xfId="0" applyFont="1" applyBorder="1"/>
    <xf numFmtId="0" fontId="2" fillId="0" borderId="14" xfId="0" applyFont="1" applyBorder="1"/>
    <xf numFmtId="0" fontId="1" fillId="0" borderId="14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0" fillId="0" borderId="0" xfId="0" applyFont="1" applyBorder="1"/>
    <xf numFmtId="0" fontId="1" fillId="0" borderId="13" xfId="0" applyFont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15" xfId="0" applyBorder="1" applyAlignment="1">
      <alignment wrapText="1"/>
    </xf>
    <xf numFmtId="0" fontId="1" fillId="0" borderId="11" xfId="0" applyFont="1" applyBorder="1"/>
    <xf numFmtId="0" fontId="3" fillId="0" borderId="9" xfId="0" applyFont="1" applyBorder="1" applyAlignment="1">
      <alignment wrapText="1"/>
    </xf>
    <xf numFmtId="0" fontId="0" fillId="0" borderId="9" xfId="0" applyBorder="1" applyAlignment="1">
      <alignment wrapText="1"/>
    </xf>
    <xf numFmtId="0" fontId="1" fillId="0" borderId="22" xfId="0" applyFont="1" applyBorder="1" applyAlignment="1">
      <alignment wrapText="1"/>
    </xf>
    <xf numFmtId="0" fontId="5" fillId="0" borderId="0" xfId="0" applyFont="1" applyBorder="1"/>
    <xf numFmtId="0" fontId="5" fillId="0" borderId="14" xfId="0" applyFont="1" applyBorder="1"/>
    <xf numFmtId="0" fontId="0" fillId="0" borderId="13" xfId="0" applyBorder="1" applyAlignment="1">
      <alignment wrapText="1"/>
    </xf>
    <xf numFmtId="0" fontId="2" fillId="0" borderId="24" xfId="0" applyFont="1" applyBorder="1"/>
    <xf numFmtId="0" fontId="2" fillId="0" borderId="15" xfId="0" applyFont="1" applyBorder="1"/>
    <xf numFmtId="17" fontId="1" fillId="0" borderId="11" xfId="0" applyNumberFormat="1" applyFont="1" applyBorder="1"/>
    <xf numFmtId="0" fontId="1" fillId="4" borderId="20" xfId="0" applyFont="1" applyFill="1" applyBorder="1" applyAlignment="1">
      <alignment wrapText="1"/>
    </xf>
    <xf numFmtId="0" fontId="1" fillId="4" borderId="21" xfId="0" applyFont="1" applyFill="1" applyBorder="1"/>
    <xf numFmtId="0" fontId="1" fillId="3" borderId="20" xfId="0" applyFont="1" applyFill="1" applyBorder="1" applyAlignment="1">
      <alignment wrapText="1"/>
    </xf>
    <xf numFmtId="0" fontId="1" fillId="3" borderId="21" xfId="0" applyFont="1" applyFill="1" applyBorder="1"/>
    <xf numFmtId="0" fontId="1" fillId="3" borderId="21" xfId="0" applyFont="1" applyFill="1" applyBorder="1" applyAlignment="1">
      <alignment wrapText="1"/>
    </xf>
    <xf numFmtId="0" fontId="6" fillId="0" borderId="14" xfId="0" applyFont="1" applyBorder="1"/>
    <xf numFmtId="0" fontId="1" fillId="3" borderId="20" xfId="0" applyFont="1" applyFill="1" applyBorder="1"/>
    <xf numFmtId="0" fontId="1" fillId="3" borderId="22" xfId="0" applyFont="1" applyFill="1" applyBorder="1"/>
    <xf numFmtId="0" fontId="1" fillId="3" borderId="23" xfId="0" applyFont="1" applyFill="1" applyBorder="1"/>
    <xf numFmtId="0" fontId="0" fillId="0" borderId="13" xfId="0" applyBorder="1"/>
    <xf numFmtId="0" fontId="0" fillId="0" borderId="24" xfId="0" applyBorder="1"/>
    <xf numFmtId="2" fontId="0" fillId="0" borderId="17" xfId="0" applyNumberFormat="1" applyBorder="1"/>
    <xf numFmtId="2" fontId="0" fillId="0" borderId="12" xfId="0" applyNumberFormat="1" applyBorder="1"/>
    <xf numFmtId="10" fontId="0" fillId="0" borderId="0" xfId="1" applyNumberFormat="1" applyFont="1" applyBorder="1"/>
    <xf numFmtId="10" fontId="0" fillId="0" borderId="14" xfId="1" applyNumberFormat="1" applyFont="1" applyBorder="1"/>
    <xf numFmtId="2" fontId="0" fillId="0" borderId="16" xfId="0" applyNumberFormat="1" applyBorder="1"/>
    <xf numFmtId="0" fontId="12" fillId="0" borderId="10" xfId="0" applyFont="1" applyBorder="1" applyAlignment="1">
      <alignment wrapText="1"/>
    </xf>
    <xf numFmtId="10" fontId="0" fillId="0" borderId="0" xfId="0" applyNumberFormat="1" applyBorder="1"/>
    <xf numFmtId="10" fontId="0" fillId="0" borderId="14" xfId="0" applyNumberFormat="1" applyBorder="1"/>
    <xf numFmtId="0" fontId="1" fillId="0" borderId="15" xfId="0" applyFont="1" applyBorder="1"/>
    <xf numFmtId="0" fontId="0" fillId="0" borderId="25" xfId="0" applyBorder="1"/>
    <xf numFmtId="9" fontId="0" fillId="0" borderId="26" xfId="1" applyFont="1" applyBorder="1"/>
    <xf numFmtId="9" fontId="0" fillId="0" borderId="27" xfId="1" applyFont="1" applyBorder="1"/>
    <xf numFmtId="0" fontId="0" fillId="0" borderId="28" xfId="0" applyBorder="1"/>
    <xf numFmtId="9" fontId="0" fillId="0" borderId="29" xfId="1" applyFont="1" applyBorder="1"/>
    <xf numFmtId="0" fontId="0" fillId="0" borderId="30" xfId="0" applyBorder="1"/>
    <xf numFmtId="9" fontId="0" fillId="0" borderId="31" xfId="1" applyFont="1" applyBorder="1"/>
    <xf numFmtId="9" fontId="0" fillId="0" borderId="32" xfId="1" applyFont="1" applyBorder="1"/>
    <xf numFmtId="0" fontId="0" fillId="0" borderId="33" xfId="0" applyBorder="1"/>
    <xf numFmtId="9" fontId="0" fillId="0" borderId="27" xfId="0" applyNumberFormat="1" applyBorder="1"/>
    <xf numFmtId="10" fontId="0" fillId="0" borderId="29" xfId="0" applyNumberFormat="1" applyBorder="1"/>
    <xf numFmtId="9" fontId="0" fillId="0" borderId="29" xfId="0" applyNumberFormat="1" applyBorder="1"/>
    <xf numFmtId="0" fontId="0" fillId="0" borderId="29" xfId="0" applyBorder="1"/>
    <xf numFmtId="10" fontId="0" fillId="0" borderId="32" xfId="0" applyNumberFormat="1" applyBorder="1"/>
    <xf numFmtId="0" fontId="0" fillId="0" borderId="28" xfId="0" applyFill="1" applyBorder="1"/>
    <xf numFmtId="0" fontId="0" fillId="7" borderId="30" xfId="0" applyFill="1" applyBorder="1"/>
    <xf numFmtId="0" fontId="0" fillId="0" borderId="13" xfId="0" applyBorder="1" applyAlignment="1"/>
    <xf numFmtId="0" fontId="0" fillId="0" borderId="15" xfId="0" applyBorder="1" applyAlignment="1"/>
    <xf numFmtId="0" fontId="0" fillId="0" borderId="27" xfId="0" applyBorder="1"/>
    <xf numFmtId="2" fontId="0" fillId="0" borderId="29" xfId="1" applyNumberFormat="1" applyFont="1" applyBorder="1"/>
    <xf numFmtId="2" fontId="0" fillId="0" borderId="29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0" fontId="16" fillId="2" borderId="0" xfId="0" applyFont="1" applyFill="1"/>
    <xf numFmtId="0" fontId="0" fillId="0" borderId="17" xfId="0" applyBorder="1"/>
    <xf numFmtId="2" fontId="1" fillId="0" borderId="21" xfId="0" applyNumberFormat="1" applyFont="1" applyBorder="1"/>
    <xf numFmtId="0" fontId="0" fillId="6" borderId="0" xfId="0" applyFill="1" applyBorder="1"/>
    <xf numFmtId="0" fontId="0" fillId="6" borderId="14" xfId="0" applyFill="1" applyBorder="1"/>
    <xf numFmtId="1" fontId="0" fillId="0" borderId="0" xfId="0" applyNumberFormat="1" applyBorder="1"/>
    <xf numFmtId="1" fontId="0" fillId="0" borderId="14" xfId="0" applyNumberFormat="1" applyBorder="1"/>
    <xf numFmtId="0" fontId="0" fillId="6" borderId="24" xfId="0" applyFill="1" applyBorder="1"/>
    <xf numFmtId="0" fontId="0" fillId="6" borderId="15" xfId="0" applyFill="1" applyBorder="1"/>
    <xf numFmtId="0" fontId="3" fillId="0" borderId="36" xfId="0" applyFont="1" applyBorder="1" applyAlignment="1">
      <alignment wrapText="1"/>
    </xf>
    <xf numFmtId="0" fontId="0" fillId="0" borderId="37" xfId="0" applyBorder="1" applyAlignment="1">
      <alignment wrapText="1"/>
    </xf>
    <xf numFmtId="0" fontId="1" fillId="0" borderId="37" xfId="0" applyFont="1" applyBorder="1"/>
    <xf numFmtId="0" fontId="0" fillId="0" borderId="37" xfId="0" applyBorder="1"/>
    <xf numFmtId="0" fontId="1" fillId="0" borderId="38" xfId="0" applyFont="1" applyBorder="1"/>
    <xf numFmtId="0" fontId="1" fillId="0" borderId="37" xfId="0" applyFont="1" applyBorder="1" applyAlignment="1">
      <alignment wrapText="1"/>
    </xf>
    <xf numFmtId="0" fontId="1" fillId="0" borderId="28" xfId="0" applyFont="1" applyBorder="1"/>
    <xf numFmtId="0" fontId="1" fillId="0" borderId="38" xfId="0" applyFont="1" applyBorder="1" applyAlignment="1">
      <alignment wrapText="1"/>
    </xf>
    <xf numFmtId="0" fontId="0" fillId="0" borderId="39" xfId="0" applyBorder="1"/>
    <xf numFmtId="0" fontId="13" fillId="5" borderId="0" xfId="0" applyFont="1" applyFill="1"/>
    <xf numFmtId="0" fontId="13" fillId="5" borderId="0" xfId="0" applyFont="1" applyFill="1" applyAlignment="1">
      <alignment horizontal="right"/>
    </xf>
    <xf numFmtId="0" fontId="8" fillId="5" borderId="0" xfId="0" applyFont="1" applyFill="1" applyAlignment="1">
      <alignment horizontal="right"/>
    </xf>
    <xf numFmtId="0" fontId="1" fillId="0" borderId="0" xfId="0" applyFont="1" applyAlignment="1"/>
    <xf numFmtId="10" fontId="0" fillId="0" borderId="32" xfId="1" applyNumberFormat="1" applyFont="1" applyBorder="1"/>
    <xf numFmtId="10" fontId="0" fillId="7" borderId="32" xfId="0" applyNumberFormat="1" applyFill="1" applyBorder="1"/>
    <xf numFmtId="165" fontId="0" fillId="0" borderId="0" xfId="0" applyNumberFormat="1"/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14" fillId="0" borderId="11" xfId="0" applyFont="1" applyBorder="1"/>
    <xf numFmtId="0" fontId="0" fillId="0" borderId="12" xfId="0" applyBorder="1"/>
    <xf numFmtId="165" fontId="0" fillId="0" borderId="0" xfId="0" applyNumberFormat="1" applyBorder="1"/>
    <xf numFmtId="165" fontId="0" fillId="0" borderId="14" xfId="0" applyNumberFormat="1" applyBorder="1"/>
    <xf numFmtId="0" fontId="17" fillId="0" borderId="9" xfId="0" applyFont="1" applyBorder="1"/>
    <xf numFmtId="165" fontId="1" fillId="0" borderId="0" xfId="0" applyNumberFormat="1" applyFont="1" applyBorder="1"/>
    <xf numFmtId="165" fontId="1" fillId="0" borderId="14" xfId="0" applyNumberFormat="1" applyFont="1" applyBorder="1"/>
    <xf numFmtId="0" fontId="0" fillId="0" borderId="9" xfId="0" applyFont="1" applyBorder="1"/>
    <xf numFmtId="0" fontId="17" fillId="0" borderId="10" xfId="0" applyFont="1" applyBorder="1"/>
    <xf numFmtId="0" fontId="0" fillId="0" borderId="43" xfId="0" applyBorder="1"/>
    <xf numFmtId="165" fontId="1" fillId="0" borderId="3" xfId="0" applyNumberFormat="1" applyFont="1" applyBorder="1"/>
    <xf numFmtId="0" fontId="0" fillId="0" borderId="44" xfId="0" applyBorder="1"/>
    <xf numFmtId="165" fontId="1" fillId="0" borderId="16" xfId="0" applyNumberFormat="1" applyFont="1" applyBorder="1"/>
    <xf numFmtId="0" fontId="1" fillId="0" borderId="16" xfId="0" applyFont="1" applyBorder="1"/>
    <xf numFmtId="0" fontId="0" fillId="0" borderId="0" xfId="0"/>
    <xf numFmtId="0" fontId="0" fillId="0" borderId="0" xfId="0" applyBorder="1"/>
    <xf numFmtId="2" fontId="0" fillId="0" borderId="7" xfId="0" applyNumberFormat="1" applyBorder="1"/>
    <xf numFmtId="2" fontId="0" fillId="0" borderId="14" xfId="0" applyNumberFormat="1" applyBorder="1"/>
    <xf numFmtId="0" fontId="0" fillId="0" borderId="0" xfId="0" applyFill="1" applyBorder="1" applyAlignment="1"/>
    <xf numFmtId="0" fontId="0" fillId="0" borderId="24" xfId="0" applyFill="1" applyBorder="1" applyAlignment="1"/>
    <xf numFmtId="0" fontId="20" fillId="0" borderId="41" xfId="0" applyFont="1" applyFill="1" applyBorder="1" applyAlignment="1">
      <alignment horizontal="center"/>
    </xf>
    <xf numFmtId="0" fontId="20" fillId="0" borderId="41" xfId="0" applyFont="1" applyFill="1" applyBorder="1" applyAlignment="1">
      <alignment horizontal="centerContinuous"/>
    </xf>
    <xf numFmtId="14" fontId="0" fillId="0" borderId="25" xfId="0" applyNumberFormat="1" applyBorder="1"/>
    <xf numFmtId="2" fontId="0" fillId="0" borderId="26" xfId="0" applyNumberFormat="1" applyBorder="1"/>
    <xf numFmtId="14" fontId="0" fillId="0" borderId="28" xfId="0" applyNumberFormat="1" applyBorder="1"/>
    <xf numFmtId="10" fontId="0" fillId="0" borderId="29" xfId="1" applyNumberFormat="1" applyFont="1" applyBorder="1"/>
    <xf numFmtId="14" fontId="0" fillId="0" borderId="30" xfId="0" applyNumberFormat="1" applyBorder="1"/>
    <xf numFmtId="2" fontId="0" fillId="0" borderId="47" xfId="0" applyNumberFormat="1" applyBorder="1"/>
    <xf numFmtId="10" fontId="0" fillId="0" borderId="46" xfId="1" applyNumberFormat="1" applyFont="1" applyBorder="1"/>
    <xf numFmtId="10" fontId="0" fillId="0" borderId="45" xfId="1" applyNumberFormat="1" applyFont="1" applyBorder="1"/>
    <xf numFmtId="167" fontId="0" fillId="0" borderId="0" xfId="1" applyNumberFormat="1" applyFont="1"/>
    <xf numFmtId="167" fontId="0" fillId="0" borderId="0" xfId="1" applyNumberFormat="1" applyFont="1" applyFill="1" applyBorder="1"/>
    <xf numFmtId="2" fontId="0" fillId="0" borderId="27" xfId="0" applyNumberFormat="1" applyFont="1" applyBorder="1"/>
    <xf numFmtId="2" fontId="0" fillId="0" borderId="29" xfId="0" applyNumberFormat="1" applyFont="1" applyBorder="1"/>
    <xf numFmtId="2" fontId="0" fillId="0" borderId="32" xfId="0" applyNumberFormat="1" applyFont="1" applyBorder="1"/>
    <xf numFmtId="166" fontId="0" fillId="0" borderId="0" xfId="0" applyNumberFormat="1"/>
    <xf numFmtId="0" fontId="0" fillId="0" borderId="0" xfId="0" applyFill="1" applyBorder="1"/>
    <xf numFmtId="0" fontId="21" fillId="8" borderId="17" xfId="0" applyFont="1" applyFill="1" applyBorder="1"/>
    <xf numFmtId="0" fontId="21" fillId="8" borderId="12" xfId="0" applyFont="1" applyFill="1" applyBorder="1" applyAlignment="1">
      <alignment horizontal="center"/>
    </xf>
    <xf numFmtId="2" fontId="22" fillId="0" borderId="0" xfId="0" applyNumberFormat="1" applyFont="1"/>
    <xf numFmtId="0" fontId="22" fillId="0" borderId="0" xfId="0" applyFont="1"/>
    <xf numFmtId="0" fontId="13" fillId="8" borderId="11" xfId="0" applyFont="1" applyFill="1" applyBorder="1"/>
    <xf numFmtId="0" fontId="13" fillId="8" borderId="17" xfId="0" applyFont="1" applyFill="1" applyBorder="1"/>
    <xf numFmtId="0" fontId="13" fillId="8" borderId="12" xfId="0" applyFont="1" applyFill="1" applyBorder="1"/>
    <xf numFmtId="164" fontId="0" fillId="0" borderId="31" xfId="1" applyNumberFormat="1" applyFont="1" applyBorder="1"/>
    <xf numFmtId="164" fontId="0" fillId="0" borderId="29" xfId="1" applyNumberFormat="1" applyFont="1" applyBorder="1"/>
    <xf numFmtId="164" fontId="0" fillId="0" borderId="32" xfId="1" applyNumberFormat="1" applyFont="1" applyBorder="1"/>
    <xf numFmtId="0" fontId="0" fillId="0" borderId="0" xfId="0"/>
    <xf numFmtId="2" fontId="0" fillId="0" borderId="0" xfId="0" applyNumberFormat="1"/>
    <xf numFmtId="164" fontId="0" fillId="0" borderId="7" xfId="1" applyNumberFormat="1" applyFont="1" applyBorder="1"/>
    <xf numFmtId="10" fontId="0" fillId="0" borderId="7" xfId="1" applyNumberFormat="1" applyFont="1" applyBorder="1"/>
    <xf numFmtId="0" fontId="1" fillId="10" borderId="25" xfId="0" applyFont="1" applyFill="1" applyBorder="1"/>
    <xf numFmtId="0" fontId="1" fillId="10" borderId="27" xfId="0" applyFont="1" applyFill="1" applyBorder="1" applyAlignment="1">
      <alignment horizontal="right"/>
    </xf>
    <xf numFmtId="0" fontId="1" fillId="10" borderId="28" xfId="0" applyFont="1" applyFill="1" applyBorder="1"/>
    <xf numFmtId="0" fontId="1" fillId="10" borderId="29" xfId="0" applyFont="1" applyFill="1" applyBorder="1" applyAlignment="1">
      <alignment horizontal="right"/>
    </xf>
    <xf numFmtId="15" fontId="1" fillId="10" borderId="29" xfId="0" applyNumberFormat="1" applyFont="1" applyFill="1" applyBorder="1" applyAlignment="1">
      <alignment horizontal="right"/>
    </xf>
    <xf numFmtId="2" fontId="1" fillId="10" borderId="29" xfId="0" applyNumberFormat="1" applyFont="1" applyFill="1" applyBorder="1" applyAlignment="1">
      <alignment horizontal="right"/>
    </xf>
    <xf numFmtId="0" fontId="1" fillId="10" borderId="30" xfId="0" applyFont="1" applyFill="1" applyBorder="1"/>
    <xf numFmtId="166" fontId="1" fillId="10" borderId="32" xfId="0" applyNumberFormat="1" applyFont="1" applyFill="1" applyBorder="1" applyAlignment="1">
      <alignment horizontal="right"/>
    </xf>
    <xf numFmtId="0" fontId="8" fillId="5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9" fillId="9" borderId="40" xfId="0" applyFont="1" applyFill="1" applyBorder="1" applyAlignment="1">
      <alignment horizontal="center"/>
    </xf>
    <xf numFmtId="0" fontId="9" fillId="9" borderId="41" xfId="0" applyFont="1" applyFill="1" applyBorder="1" applyAlignment="1">
      <alignment horizontal="center"/>
    </xf>
    <xf numFmtId="0" fontId="9" fillId="9" borderId="42" xfId="0" applyFont="1" applyFill="1" applyBorder="1" applyAlignment="1">
      <alignment horizontal="center"/>
    </xf>
    <xf numFmtId="0" fontId="22" fillId="0" borderId="11" xfId="0" applyFont="1" applyBorder="1" applyAlignment="1">
      <alignment horizontal="center" wrapText="1"/>
    </xf>
    <xf numFmtId="0" fontId="22" fillId="0" borderId="12" xfId="0" applyFont="1" applyBorder="1" applyAlignment="1">
      <alignment horizontal="center" wrapText="1"/>
    </xf>
    <xf numFmtId="0" fontId="22" fillId="0" borderId="9" xfId="0" applyFont="1" applyBorder="1" applyAlignment="1">
      <alignment horizontal="center" wrapText="1"/>
    </xf>
    <xf numFmtId="0" fontId="22" fillId="0" borderId="14" xfId="0" applyFont="1" applyBorder="1" applyAlignment="1">
      <alignment horizontal="center" wrapText="1"/>
    </xf>
    <xf numFmtId="0" fontId="1" fillId="7" borderId="25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3" fillId="5" borderId="11" xfId="0" applyFont="1" applyFill="1" applyBorder="1" applyAlignment="1">
      <alignment horizontal="center"/>
    </xf>
    <xf numFmtId="0" fontId="13" fillId="5" borderId="12" xfId="0" applyFont="1" applyFill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wrapText="1"/>
    </xf>
    <xf numFmtId="0" fontId="15" fillId="2" borderId="4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174" fontId="0" fillId="0" borderId="7" xfId="1" applyNumberFormat="1" applyFont="1" applyBorder="1"/>
    <xf numFmtId="174" fontId="0" fillId="0" borderId="29" xfId="1" applyNumberFormat="1" applyFont="1" applyBorder="1"/>
  </cellXfs>
  <cellStyles count="4">
    <cellStyle name="Hyperlink 2" xfId="3" xr:uid="{00000000-0005-0000-0000-000000000000}"/>
    <cellStyle name="Normal" xfId="0" builtinId="0"/>
    <cellStyle name="Normal 2" xfId="2" xr:uid="{00000000-0005-0000-0000-000001000000}"/>
    <cellStyle name="Percent" xfId="1" builtinId="5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</dxfs>
  <tableStyles count="1" defaultTableStyle="TableStyleMedium2" defaultPivotStyle="PivotStyleLight16">
    <tableStyle name="Live Market 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ratio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currrent ratio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ratios!$C$3:$L$4</c:f>
              <c:multiLvlStrCache>
                <c:ptCount val="10"/>
                <c:lvl>
                  <c:pt idx="0">
                    <c:v>ACTUAL</c:v>
                  </c:pt>
                  <c:pt idx="1">
                    <c:v>ACTUAL</c:v>
                  </c:pt>
                  <c:pt idx="2">
                    <c:v>ACTUAL</c:v>
                  </c:pt>
                  <c:pt idx="3">
                    <c:v>ACTUAL</c:v>
                  </c:pt>
                  <c:pt idx="4">
                    <c:v>ACTUAL</c:v>
                  </c:pt>
                  <c:pt idx="5">
                    <c:v>ESTIMATED</c:v>
                  </c:pt>
                  <c:pt idx="6">
                    <c:v>ESTIMATED</c:v>
                  </c:pt>
                  <c:pt idx="7">
                    <c:v>ESTIMATED</c:v>
                  </c:pt>
                  <c:pt idx="8">
                    <c:v>ESTIMATED</c:v>
                  </c:pt>
                  <c:pt idx="9">
                    <c:v>ESTIMATED</c:v>
                  </c:pt>
                </c:lvl>
                <c:lvl>
                  <c:pt idx="0">
                    <c:v>FY 2018</c:v>
                  </c:pt>
                  <c:pt idx="1">
                    <c:v>FY 2019</c:v>
                  </c:pt>
                  <c:pt idx="2">
                    <c:v>FY 2020</c:v>
                  </c:pt>
                  <c:pt idx="3">
                    <c:v>FY 2021</c:v>
                  </c:pt>
                  <c:pt idx="4">
                    <c:v>FY 2022</c:v>
                  </c:pt>
                  <c:pt idx="5">
                    <c:v>FY 2023</c:v>
                  </c:pt>
                  <c:pt idx="6">
                    <c:v>FY 2024</c:v>
                  </c:pt>
                  <c:pt idx="7">
                    <c:v>FY 2025</c:v>
                  </c:pt>
                  <c:pt idx="8">
                    <c:v>FY2026</c:v>
                  </c:pt>
                  <c:pt idx="9">
                    <c:v>FY2027</c:v>
                  </c:pt>
                </c:lvl>
              </c:multiLvlStrCache>
            </c:multiLvlStrRef>
          </c:cat>
          <c:val>
            <c:numRef>
              <c:f>ratios!$C$7:$L$7</c:f>
              <c:numCache>
                <c:formatCode>0.00</c:formatCode>
                <c:ptCount val="10"/>
                <c:pt idx="0">
                  <c:v>1.006662789157563</c:v>
                </c:pt>
                <c:pt idx="1">
                  <c:v>0.95421452682192387</c:v>
                </c:pt>
                <c:pt idx="2">
                  <c:v>0.77783712204811317</c:v>
                </c:pt>
                <c:pt idx="3">
                  <c:v>0.72581776127983844</c:v>
                </c:pt>
                <c:pt idx="4">
                  <c:v>0.7109173876053787</c:v>
                </c:pt>
                <c:pt idx="5">
                  <c:v>0.44404567824435442</c:v>
                </c:pt>
                <c:pt idx="6">
                  <c:v>0.48163120459789049</c:v>
                </c:pt>
                <c:pt idx="7">
                  <c:v>0.51485059762673269</c:v>
                </c:pt>
                <c:pt idx="8">
                  <c:v>0.54601256845274204</c:v>
                </c:pt>
                <c:pt idx="9">
                  <c:v>0.57327796576746182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1-47DD-9505-9B3207F92E85}"/>
            </c:ext>
          </c:extLst>
        </c:ser>
        <c:ser>
          <c:idx val="1"/>
          <c:order val="1"/>
          <c:tx>
            <c:strRef>
              <c:f>ratios!$B$8</c:f>
              <c:strCache>
                <c:ptCount val="1"/>
                <c:pt idx="0">
                  <c:v>Quick ratios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ratios!$C$3:$L$4</c:f>
              <c:multiLvlStrCache>
                <c:ptCount val="10"/>
                <c:lvl>
                  <c:pt idx="0">
                    <c:v>ACTUAL</c:v>
                  </c:pt>
                  <c:pt idx="1">
                    <c:v>ACTUAL</c:v>
                  </c:pt>
                  <c:pt idx="2">
                    <c:v>ACTUAL</c:v>
                  </c:pt>
                  <c:pt idx="3">
                    <c:v>ACTUAL</c:v>
                  </c:pt>
                  <c:pt idx="4">
                    <c:v>ACTUAL</c:v>
                  </c:pt>
                  <c:pt idx="5">
                    <c:v>ESTIMATED</c:v>
                  </c:pt>
                  <c:pt idx="6">
                    <c:v>ESTIMATED</c:v>
                  </c:pt>
                  <c:pt idx="7">
                    <c:v>ESTIMATED</c:v>
                  </c:pt>
                  <c:pt idx="8">
                    <c:v>ESTIMATED</c:v>
                  </c:pt>
                  <c:pt idx="9">
                    <c:v>ESTIMATED</c:v>
                  </c:pt>
                </c:lvl>
                <c:lvl>
                  <c:pt idx="0">
                    <c:v>FY 2018</c:v>
                  </c:pt>
                  <c:pt idx="1">
                    <c:v>FY 2019</c:v>
                  </c:pt>
                  <c:pt idx="2">
                    <c:v>FY 2020</c:v>
                  </c:pt>
                  <c:pt idx="3">
                    <c:v>FY 2021</c:v>
                  </c:pt>
                  <c:pt idx="4">
                    <c:v>FY 2022</c:v>
                  </c:pt>
                  <c:pt idx="5">
                    <c:v>FY 2023</c:v>
                  </c:pt>
                  <c:pt idx="6">
                    <c:v>FY 2024</c:v>
                  </c:pt>
                  <c:pt idx="7">
                    <c:v>FY 2025</c:v>
                  </c:pt>
                  <c:pt idx="8">
                    <c:v>FY2026</c:v>
                  </c:pt>
                  <c:pt idx="9">
                    <c:v>FY2027</c:v>
                  </c:pt>
                </c:lvl>
              </c:multiLvlStrCache>
            </c:multiLvlStrRef>
          </c:cat>
          <c:val>
            <c:numRef>
              <c:f>ratios!$C$8:$L$8</c:f>
              <c:numCache>
                <c:formatCode>0.00</c:formatCode>
                <c:ptCount val="10"/>
                <c:pt idx="0">
                  <c:v>0.57190571894201581</c:v>
                </c:pt>
                <c:pt idx="1">
                  <c:v>0.48545617912042555</c:v>
                </c:pt>
                <c:pt idx="2">
                  <c:v>0.37556389318031347</c:v>
                </c:pt>
                <c:pt idx="3">
                  <c:v>0.35610957319889802</c:v>
                </c:pt>
                <c:pt idx="4">
                  <c:v>0.35555537140773652</c:v>
                </c:pt>
                <c:pt idx="5">
                  <c:v>8.7994432965823405E-2</c:v>
                </c:pt>
                <c:pt idx="6">
                  <c:v>0.12414890524403653</c:v>
                </c:pt>
                <c:pt idx="7">
                  <c:v>0.15610348299993249</c:v>
                </c:pt>
                <c:pt idx="8">
                  <c:v>0.18607897409099838</c:v>
                </c:pt>
                <c:pt idx="9">
                  <c:v>0.21230625216866095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1-47DD-9505-9B3207F92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440176"/>
        <c:axId val="1758206368"/>
      </c:barChart>
      <c:catAx>
        <c:axId val="158444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206368"/>
        <c:crosses val="autoZero"/>
        <c:auto val="1"/>
        <c:lblAlgn val="ctr"/>
        <c:lblOffset val="100"/>
        <c:noMultiLvlLbl val="0"/>
      </c:catAx>
      <c:valAx>
        <c:axId val="17582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4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4098" name="AutoShape 2" descr="CEAT Limited-Maharashtra - Company CSR Profile">
          <a:extLst>
            <a:ext uri="{FF2B5EF4-FFF2-40B4-BE49-F238E27FC236}">
              <a16:creationId xmlns:a16="http://schemas.microsoft.com/office/drawing/2014/main" id="{CD83A294-9DEC-49F6-B69A-D8B3AAE81277}"/>
            </a:ext>
          </a:extLst>
        </xdr:cNvPr>
        <xdr:cNvSpPr>
          <a:spLocks noChangeAspect="1" noChangeArrowheads="1"/>
        </xdr:cNvSpPr>
      </xdr:nvSpPr>
      <xdr:spPr bwMode="auto">
        <a:xfrm>
          <a:off x="30861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4101" name="AutoShape 5" descr="CEAT Limited-Maharashtra - Company CSR Profile">
          <a:extLst>
            <a:ext uri="{FF2B5EF4-FFF2-40B4-BE49-F238E27FC236}">
              <a16:creationId xmlns:a16="http://schemas.microsoft.com/office/drawing/2014/main" id="{EF9F5DC6-3D61-4127-B914-54D4E18991B4}"/>
            </a:ext>
          </a:extLst>
        </xdr:cNvPr>
        <xdr:cNvSpPr>
          <a:spLocks noChangeAspect="1" noChangeArrowheads="1"/>
        </xdr:cNvSpPr>
      </xdr:nvSpPr>
      <xdr:spPr bwMode="auto">
        <a:xfrm>
          <a:off x="30861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438150</xdr:colOff>
      <xdr:row>1</xdr:row>
      <xdr:rowOff>171450</xdr:rowOff>
    </xdr:from>
    <xdr:to>
      <xdr:col>7</xdr:col>
      <xdr:colOff>114300</xdr:colOff>
      <xdr:row>6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1BED89-4506-4D92-ADBA-3C6EB1143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361950"/>
          <a:ext cx="3648075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</xdr:row>
      <xdr:rowOff>147637</xdr:rowOff>
    </xdr:from>
    <xdr:to>
      <xdr:col>8</xdr:col>
      <xdr:colOff>47625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DF6F9-4E80-4E8A-9142-24385A25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93F5-1262-416A-89E1-645F1CACE5F4}">
  <sheetPr>
    <tabColor theme="9"/>
  </sheetPr>
  <dimension ref="F9:G19"/>
  <sheetViews>
    <sheetView showGridLines="0" workbookViewId="0">
      <selection activeCell="G17" sqref="G17"/>
    </sheetView>
  </sheetViews>
  <sheetFormatPr defaultRowHeight="15" x14ac:dyDescent="0.25"/>
  <cols>
    <col min="2" max="2" width="11.42578125" customWidth="1"/>
    <col min="3" max="3" width="8.7109375" customWidth="1"/>
    <col min="4" max="4" width="8.42578125" customWidth="1"/>
    <col min="5" max="5" width="8.5703125" customWidth="1"/>
    <col min="6" max="6" width="30.42578125" customWidth="1"/>
    <col min="7" max="7" width="20.5703125" customWidth="1"/>
  </cols>
  <sheetData>
    <row r="9" spans="6:7" ht="15.75" thickBot="1" x14ac:dyDescent="0.3"/>
    <row r="10" spans="6:7" x14ac:dyDescent="0.25">
      <c r="F10" s="226" t="s">
        <v>296</v>
      </c>
      <c r="G10" s="227" t="s">
        <v>305</v>
      </c>
    </row>
    <row r="11" spans="6:7" x14ac:dyDescent="0.25">
      <c r="F11" s="228" t="s">
        <v>297</v>
      </c>
      <c r="G11" s="229" t="s">
        <v>306</v>
      </c>
    </row>
    <row r="12" spans="6:7" x14ac:dyDescent="0.25">
      <c r="F12" s="228" t="s">
        <v>298</v>
      </c>
      <c r="G12" s="229">
        <v>1018.05</v>
      </c>
    </row>
    <row r="13" spans="6:7" x14ac:dyDescent="0.25">
      <c r="F13" s="228" t="s">
        <v>299</v>
      </c>
      <c r="G13" s="230">
        <v>44711</v>
      </c>
    </row>
    <row r="14" spans="6:7" x14ac:dyDescent="0.25">
      <c r="F14" s="228" t="s">
        <v>300</v>
      </c>
      <c r="G14" s="230">
        <v>44651</v>
      </c>
    </row>
    <row r="15" spans="6:7" x14ac:dyDescent="0.25">
      <c r="F15" s="228" t="s">
        <v>301</v>
      </c>
      <c r="G15" s="229">
        <v>365</v>
      </c>
    </row>
    <row r="16" spans="6:7" x14ac:dyDescent="0.25">
      <c r="F16" s="228" t="s">
        <v>302</v>
      </c>
      <c r="G16" s="231">
        <v>40.450091999999998</v>
      </c>
    </row>
    <row r="17" spans="6:7" x14ac:dyDescent="0.25">
      <c r="F17" s="228" t="s">
        <v>303</v>
      </c>
      <c r="G17" s="229">
        <f>G16*G12</f>
        <v>41180.216160599994</v>
      </c>
    </row>
    <row r="18" spans="6:7" x14ac:dyDescent="0.25">
      <c r="F18" s="228" t="s">
        <v>211</v>
      </c>
      <c r="G18" s="229">
        <v>0.48</v>
      </c>
    </row>
    <row r="19" spans="6:7" ht="15.75" thickBot="1" x14ac:dyDescent="0.3">
      <c r="F19" s="232" t="s">
        <v>304</v>
      </c>
      <c r="G19" s="233">
        <f>G12/(PL!G34/G16)</f>
        <v>757.96458974047459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F532-B6E0-4E21-BBE4-F6DF531BE92A}">
  <sheetPr>
    <tabColor theme="5" tint="0.79998168889431442"/>
  </sheetPr>
  <dimension ref="B3:I21"/>
  <sheetViews>
    <sheetView showGridLines="0" workbookViewId="0">
      <selection activeCell="F17" sqref="F17"/>
    </sheetView>
  </sheetViews>
  <sheetFormatPr defaultRowHeight="15" x14ac:dyDescent="0.25"/>
  <cols>
    <col min="2" max="2" width="24.5703125" customWidth="1"/>
    <col min="3" max="3" width="18.140625" customWidth="1"/>
    <col min="4" max="4" width="6.42578125" customWidth="1"/>
    <col min="7" max="7" width="21.5703125" customWidth="1"/>
    <col min="8" max="8" width="20.5703125" customWidth="1"/>
  </cols>
  <sheetData>
    <row r="3" spans="2:9" ht="15.75" thickBot="1" x14ac:dyDescent="0.3"/>
    <row r="4" spans="2:9" x14ac:dyDescent="0.25">
      <c r="B4" s="124" t="s">
        <v>200</v>
      </c>
      <c r="C4" s="133">
        <f>Drivers!H32</f>
        <v>0.23</v>
      </c>
      <c r="G4" s="244" t="s">
        <v>237</v>
      </c>
      <c r="H4" s="245"/>
    </row>
    <row r="5" spans="2:9" x14ac:dyDescent="0.25">
      <c r="B5" s="127" t="s">
        <v>201</v>
      </c>
      <c r="C5" s="134">
        <f>4.8%-C6</f>
        <v>2.8000000000000001E-2</v>
      </c>
      <c r="G5" s="138" t="s">
        <v>208</v>
      </c>
      <c r="H5" s="136"/>
    </row>
    <row r="6" spans="2:9" x14ac:dyDescent="0.25">
      <c r="B6" s="127" t="s">
        <v>202</v>
      </c>
      <c r="C6" s="135">
        <v>0.02</v>
      </c>
      <c r="G6" s="127" t="s">
        <v>204</v>
      </c>
      <c r="H6" s="134">
        <f>C9</f>
        <v>0.49038322835024284</v>
      </c>
    </row>
    <row r="7" spans="2:9" x14ac:dyDescent="0.25">
      <c r="B7" s="127" t="s">
        <v>203</v>
      </c>
      <c r="C7" s="135">
        <v>0.04</v>
      </c>
      <c r="G7" s="127" t="s">
        <v>200</v>
      </c>
      <c r="H7" s="135">
        <f>C4</f>
        <v>0.23</v>
      </c>
    </row>
    <row r="8" spans="2:9" x14ac:dyDescent="0.25">
      <c r="B8" s="127"/>
      <c r="C8" s="136"/>
      <c r="G8" s="127" t="s">
        <v>209</v>
      </c>
      <c r="H8" s="128">
        <f>H6*(1-H7)</f>
        <v>0.37759508582968698</v>
      </c>
    </row>
    <row r="9" spans="2:9" x14ac:dyDescent="0.25">
      <c r="B9" s="127" t="s">
        <v>204</v>
      </c>
      <c r="C9" s="134">
        <f>Drivers!G42</f>
        <v>0.49038322835024284</v>
      </c>
      <c r="G9" s="127"/>
      <c r="H9" s="136"/>
      <c r="I9" s="58"/>
    </row>
    <row r="10" spans="2:9" x14ac:dyDescent="0.25">
      <c r="B10" s="127" t="s">
        <v>205</v>
      </c>
      <c r="C10" s="128">
        <f>(Drivers!G38+Drivers!G39)/(Drivers!G38+Drivers!G39+'BS '!G11)</f>
        <v>0.11663362505292733</v>
      </c>
      <c r="G10" s="127" t="s">
        <v>210</v>
      </c>
      <c r="H10" s="136"/>
      <c r="I10" s="58"/>
    </row>
    <row r="11" spans="2:9" x14ac:dyDescent="0.25">
      <c r="B11" s="127" t="s">
        <v>206</v>
      </c>
      <c r="C11" s="135">
        <f>1-C10</f>
        <v>0.88336637494707271</v>
      </c>
      <c r="G11" s="127" t="s">
        <v>211</v>
      </c>
      <c r="H11" s="136">
        <f>Index!G18</f>
        <v>0.48</v>
      </c>
      <c r="I11" s="58"/>
    </row>
    <row r="12" spans="2:9" ht="15.75" thickBot="1" x14ac:dyDescent="0.3">
      <c r="B12" s="129" t="s">
        <v>207</v>
      </c>
      <c r="C12" s="137">
        <f>1-C9</f>
        <v>0.50961677164975716</v>
      </c>
      <c r="G12" s="127" t="s">
        <v>210</v>
      </c>
      <c r="H12" s="134">
        <f>H11+C6*C5</f>
        <v>0.48055999999999999</v>
      </c>
      <c r="I12" s="58"/>
    </row>
    <row r="13" spans="2:9" x14ac:dyDescent="0.25">
      <c r="B13" s="190"/>
      <c r="C13" s="190"/>
      <c r="G13" s="127"/>
      <c r="H13" s="136"/>
      <c r="I13" s="58"/>
    </row>
    <row r="14" spans="2:9" ht="15.75" thickBot="1" x14ac:dyDescent="0.3">
      <c r="G14" s="139" t="s">
        <v>212</v>
      </c>
      <c r="H14" s="170">
        <f>C10*H8+C11*H12</f>
        <v>0.4685508288070529</v>
      </c>
      <c r="I14" s="58"/>
    </row>
    <row r="17" spans="5:6" ht="15.75" thickBot="1" x14ac:dyDescent="0.3"/>
    <row r="18" spans="5:6" x14ac:dyDescent="0.25">
      <c r="E18" s="240" t="s">
        <v>236</v>
      </c>
      <c r="F18" s="241"/>
    </row>
    <row r="19" spans="5:6" x14ac:dyDescent="0.25">
      <c r="E19" s="242"/>
      <c r="F19" s="243"/>
    </row>
    <row r="20" spans="5:6" x14ac:dyDescent="0.25">
      <c r="E20" s="242"/>
      <c r="F20" s="243"/>
    </row>
    <row r="21" spans="5:6" ht="15.75" thickBot="1" x14ac:dyDescent="0.3">
      <c r="E21" s="140"/>
      <c r="F21" s="141"/>
    </row>
  </sheetData>
  <mergeCells count="2">
    <mergeCell ref="E18:F20"/>
    <mergeCell ref="G4:H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6E18E-2561-4597-8EF8-40ECA1209B86}">
  <sheetPr>
    <tabColor theme="5" tint="-0.249977111117893"/>
  </sheetPr>
  <dimension ref="B2:Q44"/>
  <sheetViews>
    <sheetView showGridLines="0" workbookViewId="0">
      <selection activeCell="C1" sqref="C1"/>
    </sheetView>
  </sheetViews>
  <sheetFormatPr defaultRowHeight="15" x14ac:dyDescent="0.25"/>
  <cols>
    <col min="2" max="2" width="40.140625" customWidth="1"/>
    <col min="3" max="12" width="10.140625" customWidth="1"/>
    <col min="16" max="16" width="10.7109375" customWidth="1"/>
  </cols>
  <sheetData>
    <row r="2" spans="2:17" x14ac:dyDescent="0.25">
      <c r="B2" s="165"/>
      <c r="C2" s="166">
        <v>0</v>
      </c>
      <c r="D2" s="166">
        <v>1</v>
      </c>
      <c r="E2" s="166">
        <v>2</v>
      </c>
      <c r="F2" s="166">
        <v>3</v>
      </c>
      <c r="G2" s="166">
        <v>4</v>
      </c>
      <c r="H2" s="166">
        <v>5</v>
      </c>
      <c r="I2" s="166">
        <v>6</v>
      </c>
      <c r="J2" s="166">
        <v>7</v>
      </c>
      <c r="K2" s="166">
        <v>8</v>
      </c>
      <c r="L2" s="166">
        <v>9</v>
      </c>
    </row>
    <row r="3" spans="2:17" ht="16.5" x14ac:dyDescent="0.3">
      <c r="B3" s="13" t="s">
        <v>234</v>
      </c>
      <c r="C3" s="167" t="s">
        <v>113</v>
      </c>
      <c r="D3" s="167" t="s">
        <v>114</v>
      </c>
      <c r="E3" s="167" t="s">
        <v>115</v>
      </c>
      <c r="F3" s="167" t="s">
        <v>116</v>
      </c>
      <c r="G3" s="167" t="s">
        <v>218</v>
      </c>
      <c r="H3" s="167" t="s">
        <v>219</v>
      </c>
      <c r="I3" s="167" t="s">
        <v>220</v>
      </c>
      <c r="J3" s="167" t="s">
        <v>221</v>
      </c>
      <c r="K3" s="167" t="s">
        <v>222</v>
      </c>
      <c r="L3" s="167" t="s">
        <v>223</v>
      </c>
      <c r="M3" s="66"/>
    </row>
    <row r="4" spans="2:17" ht="15.75" thickBot="1" x14ac:dyDescent="0.3"/>
    <row r="5" spans="2:17" x14ac:dyDescent="0.25">
      <c r="B5" s="75" t="s">
        <v>122</v>
      </c>
      <c r="C5" s="115">
        <f>PL!G7</f>
        <v>9312.6299999999992</v>
      </c>
      <c r="D5" s="115">
        <f>PL!H7</f>
        <v>10616.3982</v>
      </c>
      <c r="E5" s="115">
        <f>PL!I7</f>
        <v>12102.693948</v>
      </c>
      <c r="F5" s="115">
        <f>PL!J7</f>
        <v>13797.071100720003</v>
      </c>
      <c r="G5" s="115">
        <f>PL!K7</f>
        <v>15866.631765828002</v>
      </c>
      <c r="H5" s="115">
        <f>PL!L7</f>
        <v>18246.6265307022</v>
      </c>
      <c r="I5" s="115">
        <f>H5*(1+I6)</f>
        <v>20983.62051030753</v>
      </c>
      <c r="J5" s="115">
        <f>I5*(1+J6)</f>
        <v>24131.163586853658</v>
      </c>
      <c r="K5" s="115">
        <f>J5*(1+K6)</f>
        <v>27750.838124881706</v>
      </c>
      <c r="L5" s="116">
        <f>K5*(1+L6)</f>
        <v>31913.463843613958</v>
      </c>
      <c r="M5" s="34"/>
    </row>
    <row r="6" spans="2:17" x14ac:dyDescent="0.25">
      <c r="B6" s="60" t="s">
        <v>224</v>
      </c>
      <c r="C6" s="68">
        <f>PL!G5/PL!F5-1</f>
        <v>0.23482004696560055</v>
      </c>
      <c r="D6" s="68">
        <f>PL!H5/PL!G5-1</f>
        <v>0.14000000000000012</v>
      </c>
      <c r="E6" s="68">
        <f>PL!I5/PL!H5-1</f>
        <v>0.14000000000000012</v>
      </c>
      <c r="F6" s="68">
        <f>PL!J5/PL!I5-1</f>
        <v>0.14000000000000012</v>
      </c>
      <c r="G6" s="68">
        <f>PL!K5/PL!J5-1</f>
        <v>0.14999999999999991</v>
      </c>
      <c r="H6" s="68">
        <f>PL!L5/PL!K5-1</f>
        <v>0.14999999999999991</v>
      </c>
      <c r="I6" s="68">
        <f>H6</f>
        <v>0.14999999999999991</v>
      </c>
      <c r="J6" s="68">
        <f>I6</f>
        <v>0.14999999999999991</v>
      </c>
      <c r="K6" s="68">
        <f>J6</f>
        <v>0.14999999999999991</v>
      </c>
      <c r="L6" s="72">
        <f>K6</f>
        <v>0.14999999999999991</v>
      </c>
      <c r="M6" s="16"/>
    </row>
    <row r="7" spans="2:17" x14ac:dyDescent="0.25">
      <c r="B7" s="60"/>
      <c r="C7" s="17"/>
      <c r="D7" s="17"/>
      <c r="E7" s="17"/>
      <c r="F7" s="17"/>
      <c r="G7" s="17"/>
      <c r="H7" s="17"/>
      <c r="I7" s="17"/>
      <c r="J7" s="17"/>
      <c r="K7" s="17"/>
      <c r="L7" s="70"/>
    </row>
    <row r="8" spans="2:17" x14ac:dyDescent="0.25">
      <c r="B8" s="60" t="s">
        <v>216</v>
      </c>
      <c r="C8" s="67">
        <f>PL!G24</f>
        <v>61.959999999999241</v>
      </c>
      <c r="D8" s="67">
        <f>PL!H24</f>
        <v>-1374.4674962127633</v>
      </c>
      <c r="E8" s="67">
        <f>PL!I24</f>
        <v>-2781.3840476573764</v>
      </c>
      <c r="F8" s="67">
        <f>PL!J24</f>
        <v>-4378.60414706554</v>
      </c>
      <c r="G8" s="67">
        <f>PL!K24</f>
        <v>-6313.3013502283411</v>
      </c>
      <c r="H8" s="67">
        <f>PL!L24</f>
        <v>-8529.3042363418099</v>
      </c>
      <c r="I8" s="67">
        <f>I5*I21</f>
        <v>-9808.6998717930801</v>
      </c>
      <c r="J8" s="67">
        <f>J5*J21</f>
        <v>-11280.004852562042</v>
      </c>
      <c r="K8" s="67">
        <f>K5*K21</f>
        <v>-12972.005580446348</v>
      </c>
      <c r="L8" s="69">
        <f>L5*L21</f>
        <v>-14917.806417513299</v>
      </c>
      <c r="M8" s="34"/>
    </row>
    <row r="9" spans="2:17" x14ac:dyDescent="0.25">
      <c r="B9" s="60" t="s">
        <v>225</v>
      </c>
      <c r="C9" s="117">
        <f>Drivers!G32</f>
        <v>0.29660797514241322</v>
      </c>
      <c r="D9" s="117">
        <f>Drivers!H32</f>
        <v>0.23</v>
      </c>
      <c r="E9" s="117">
        <f>Drivers!I32</f>
        <v>0.23</v>
      </c>
      <c r="F9" s="117">
        <f>Drivers!J32</f>
        <v>0.23</v>
      </c>
      <c r="G9" s="117">
        <f>Drivers!K32</f>
        <v>0.23</v>
      </c>
      <c r="H9" s="117">
        <f>Drivers!L32</f>
        <v>0.23</v>
      </c>
      <c r="I9" s="117">
        <f>H9</f>
        <v>0.23</v>
      </c>
      <c r="J9" s="117">
        <f>I9</f>
        <v>0.23</v>
      </c>
      <c r="K9" s="117">
        <f>J9</f>
        <v>0.23</v>
      </c>
      <c r="L9" s="118">
        <f>K9</f>
        <v>0.23</v>
      </c>
      <c r="M9" s="27"/>
    </row>
    <row r="10" spans="2:17" x14ac:dyDescent="0.25">
      <c r="B10" s="60" t="s">
        <v>226</v>
      </c>
      <c r="C10" s="67">
        <f t="shared" ref="C10:L10" si="0">C8*(1-C9)</f>
        <v>43.58216986017554</v>
      </c>
      <c r="D10" s="67">
        <f t="shared" si="0"/>
        <v>-1058.3399720838277</v>
      </c>
      <c r="E10" s="67">
        <f t="shared" si="0"/>
        <v>-2141.66571669618</v>
      </c>
      <c r="F10" s="67">
        <f t="shared" si="0"/>
        <v>-3371.5251932404658</v>
      </c>
      <c r="G10" s="67">
        <f t="shared" si="0"/>
        <v>-4861.2420396758225</v>
      </c>
      <c r="H10" s="67">
        <f t="shared" si="0"/>
        <v>-6567.5642619831933</v>
      </c>
      <c r="I10" s="67">
        <f t="shared" si="0"/>
        <v>-7552.6989012806716</v>
      </c>
      <c r="J10" s="67">
        <f t="shared" si="0"/>
        <v>-8685.6037364727727</v>
      </c>
      <c r="K10" s="67">
        <f t="shared" si="0"/>
        <v>-9988.4442969436877</v>
      </c>
      <c r="L10" s="69">
        <f t="shared" si="0"/>
        <v>-11486.71094148524</v>
      </c>
      <c r="M10" s="34"/>
    </row>
    <row r="11" spans="2:17" x14ac:dyDescent="0.25">
      <c r="B11" s="60" t="s">
        <v>227</v>
      </c>
      <c r="C11" s="67">
        <f>PL!G20</f>
        <v>435.14</v>
      </c>
      <c r="D11" s="67">
        <f>PL!H20</f>
        <v>530.93769978321905</v>
      </c>
      <c r="E11" s="67">
        <f>PL!I20</f>
        <v>634.01849204678035</v>
      </c>
      <c r="F11" s="67">
        <f>PL!J20</f>
        <v>744.86582598854329</v>
      </c>
      <c r="G11" s="67">
        <f>PL!K20</f>
        <v>864.06486561738552</v>
      </c>
      <c r="H11" s="67">
        <f>PL!L20</f>
        <v>992.2448636668031</v>
      </c>
      <c r="I11" s="67">
        <f>I5*I22</f>
        <v>1141.0815932168236</v>
      </c>
      <c r="J11" s="67">
        <f>J5*J22</f>
        <v>1312.243832199347</v>
      </c>
      <c r="K11" s="67">
        <f>K5*K22</f>
        <v>1509.080407029249</v>
      </c>
      <c r="L11" s="69">
        <f>L5*L22</f>
        <v>1735.4424680836362</v>
      </c>
      <c r="M11" s="34"/>
    </row>
    <row r="12" spans="2:17" x14ac:dyDescent="0.25">
      <c r="B12" s="60" t="s">
        <v>228</v>
      </c>
      <c r="C12" s="17">
        <f>Schedule!G9</f>
        <v>1042.5</v>
      </c>
      <c r="D12" s="17">
        <f>Schedule!H9</f>
        <v>827.42</v>
      </c>
      <c r="E12" s="17">
        <f>Schedule!I9</f>
        <v>827.42</v>
      </c>
      <c r="F12" s="17">
        <f>Schedule!J9</f>
        <v>827.42</v>
      </c>
      <c r="G12" s="17">
        <f>Schedule!K9</f>
        <v>827.42</v>
      </c>
      <c r="H12" s="17">
        <f>Schedule!L9</f>
        <v>827.42</v>
      </c>
      <c r="I12" s="17">
        <f>I5*I23</f>
        <v>-951.5329999999999</v>
      </c>
      <c r="J12" s="17">
        <f>J5*J23</f>
        <v>-1094.2629499999998</v>
      </c>
      <c r="K12" s="17">
        <f>K5*K23</f>
        <v>-1258.4023924999997</v>
      </c>
      <c r="L12" s="70">
        <f>L5*L23</f>
        <v>-1447.1627513749995</v>
      </c>
      <c r="M12" s="17"/>
    </row>
    <row r="13" spans="2:17" x14ac:dyDescent="0.25">
      <c r="B13" s="60" t="s">
        <v>229</v>
      </c>
      <c r="C13" s="65">
        <f>Schedule!G64</f>
        <v>-195.45999999999958</v>
      </c>
      <c r="D13" s="65">
        <f>Schedule!H64</f>
        <v>179.89210567493637</v>
      </c>
      <c r="E13" s="65">
        <f>Schedule!I64</f>
        <v>-124.87970520550789</v>
      </c>
      <c r="F13" s="65">
        <f>Schedule!J64</f>
        <v>-142.3628639342819</v>
      </c>
      <c r="G13" s="65">
        <f>Schedule!K64</f>
        <v>-173.88606951972815</v>
      </c>
      <c r="H13" s="65">
        <f>Schedule!L64</f>
        <v>-199.96897994768733</v>
      </c>
      <c r="I13" s="65">
        <f>I5*I24</f>
        <v>-229.96432693984042</v>
      </c>
      <c r="J13" s="65">
        <f>J5*J24</f>
        <v>-264.45897598081649</v>
      </c>
      <c r="K13" s="65">
        <f>K5*K24</f>
        <v>-304.12782237793891</v>
      </c>
      <c r="L13" s="119">
        <f>L5*L24</f>
        <v>-349.74699573462971</v>
      </c>
      <c r="M13" s="67"/>
    </row>
    <row r="14" spans="2:17" ht="15.75" thickBot="1" x14ac:dyDescent="0.3">
      <c r="B14" s="120" t="s">
        <v>230</v>
      </c>
      <c r="C14" s="57">
        <f t="shared" ref="C14:L14" si="1">SUM(C10:C13)</f>
        <v>1325.7621698601761</v>
      </c>
      <c r="D14" s="57">
        <f t="shared" si="1"/>
        <v>479.90983337432772</v>
      </c>
      <c r="E14" s="57">
        <f t="shared" si="1"/>
        <v>-805.10692985490743</v>
      </c>
      <c r="F14" s="57">
        <f t="shared" si="1"/>
        <v>-1941.6022311862043</v>
      </c>
      <c r="G14" s="57">
        <f t="shared" si="1"/>
        <v>-3343.6432435781653</v>
      </c>
      <c r="H14" s="57">
        <f t="shared" si="1"/>
        <v>-4947.8683782640774</v>
      </c>
      <c r="I14" s="57">
        <f t="shared" si="1"/>
        <v>-7593.1146350036888</v>
      </c>
      <c r="J14" s="57">
        <f t="shared" si="1"/>
        <v>-8732.081830254243</v>
      </c>
      <c r="K14" s="57">
        <f t="shared" si="1"/>
        <v>-10041.894104792378</v>
      </c>
      <c r="L14" s="71">
        <f t="shared" si="1"/>
        <v>-11548.178220511232</v>
      </c>
    </row>
    <row r="15" spans="2:17" x14ac:dyDescent="0.25">
      <c r="B15" s="60" t="s">
        <v>212</v>
      </c>
      <c r="C15" s="121">
        <f>$P$17</f>
        <v>0.4685508288070529</v>
      </c>
      <c r="D15" s="121">
        <f t="shared" ref="D15:L15" si="2">$P$17</f>
        <v>0.4685508288070529</v>
      </c>
      <c r="E15" s="121">
        <f t="shared" si="2"/>
        <v>0.4685508288070529</v>
      </c>
      <c r="F15" s="121">
        <f t="shared" si="2"/>
        <v>0.4685508288070529</v>
      </c>
      <c r="G15" s="121">
        <f t="shared" si="2"/>
        <v>0.4685508288070529</v>
      </c>
      <c r="H15" s="121">
        <f t="shared" si="2"/>
        <v>0.4685508288070529</v>
      </c>
      <c r="I15" s="121">
        <f t="shared" si="2"/>
        <v>0.4685508288070529</v>
      </c>
      <c r="J15" s="121">
        <f t="shared" si="2"/>
        <v>0.4685508288070529</v>
      </c>
      <c r="K15" s="121">
        <f t="shared" si="2"/>
        <v>0.4685508288070529</v>
      </c>
      <c r="L15" s="122">
        <f t="shared" si="2"/>
        <v>0.4685508288070529</v>
      </c>
      <c r="N15" s="252" t="s">
        <v>240</v>
      </c>
      <c r="O15" s="253"/>
      <c r="P15" s="254"/>
      <c r="Q15" s="168"/>
    </row>
    <row r="16" spans="2:17" x14ac:dyDescent="0.25">
      <c r="B16" s="62" t="s">
        <v>231</v>
      </c>
      <c r="C16" s="57">
        <f>C14/(1+C15)^C2</f>
        <v>1325.7621698601761</v>
      </c>
      <c r="D16" s="57">
        <f t="shared" ref="D16:L16" si="3">D14/(1+D15)^D2</f>
        <v>326.79143544808227</v>
      </c>
      <c r="E16" s="57">
        <f t="shared" si="3"/>
        <v>-373.31513657726043</v>
      </c>
      <c r="F16" s="57">
        <f t="shared" si="3"/>
        <v>-613.04635450430487</v>
      </c>
      <c r="G16" s="57">
        <f t="shared" si="3"/>
        <v>-718.89258228784865</v>
      </c>
      <c r="H16" s="57">
        <f t="shared" si="3"/>
        <v>-724.39129795797669</v>
      </c>
      <c r="I16" s="57">
        <f t="shared" si="3"/>
        <v>-756.9828846823774</v>
      </c>
      <c r="J16" s="57">
        <f t="shared" si="3"/>
        <v>-592.78187741849672</v>
      </c>
      <c r="K16" s="57">
        <f t="shared" si="3"/>
        <v>-464.19854570851703</v>
      </c>
      <c r="L16" s="71">
        <f t="shared" si="3"/>
        <v>-363.50687840913139</v>
      </c>
      <c r="N16" s="246" t="s">
        <v>241</v>
      </c>
      <c r="O16" s="247"/>
      <c r="P16" s="135">
        <f>WACC!C7</f>
        <v>0.04</v>
      </c>
    </row>
    <row r="17" spans="2:16" ht="15.75" thickBot="1" x14ac:dyDescent="0.3">
      <c r="B17" s="62" t="s">
        <v>232</v>
      </c>
      <c r="C17" s="17"/>
      <c r="D17" s="17"/>
      <c r="E17" s="17"/>
      <c r="F17" s="17"/>
      <c r="G17" s="17"/>
      <c r="H17" s="17"/>
      <c r="I17" s="17"/>
      <c r="J17" s="17"/>
      <c r="K17" s="17"/>
      <c r="L17" s="83">
        <f>L14*(1+P16)/(P17-P16)</f>
        <v>-28024.92619781867</v>
      </c>
      <c r="N17" s="248" t="s">
        <v>212</v>
      </c>
      <c r="O17" s="249"/>
      <c r="P17" s="169">
        <f>WACC!H14</f>
        <v>0.4685508288070529</v>
      </c>
    </row>
    <row r="18" spans="2:16" ht="15.75" thickBot="1" x14ac:dyDescent="0.3">
      <c r="B18" s="63" t="s">
        <v>233</v>
      </c>
      <c r="C18" s="114"/>
      <c r="D18" s="114"/>
      <c r="E18" s="114"/>
      <c r="F18" s="114"/>
      <c r="G18" s="114"/>
      <c r="H18" s="114"/>
      <c r="I18" s="114"/>
      <c r="J18" s="114"/>
      <c r="K18" s="114"/>
      <c r="L18" s="123">
        <f>L17/(1+L15)^L2</f>
        <v>-882.15242658113107</v>
      </c>
    </row>
    <row r="19" spans="2:16" ht="15.75" thickBot="1" x14ac:dyDescent="0.3"/>
    <row r="20" spans="2:16" ht="15.75" thickBot="1" x14ac:dyDescent="0.3">
      <c r="B20" s="132"/>
      <c r="C20" s="255" t="s">
        <v>260</v>
      </c>
      <c r="D20" s="256"/>
      <c r="E20" s="256"/>
      <c r="F20" s="256"/>
      <c r="G20" s="256"/>
      <c r="H20" s="256"/>
      <c r="I20" s="256"/>
      <c r="J20" s="256"/>
      <c r="K20" s="256"/>
      <c r="L20" s="257"/>
      <c r="M20" s="17"/>
    </row>
    <row r="21" spans="2:16" x14ac:dyDescent="0.25">
      <c r="B21" s="124" t="s">
        <v>216</v>
      </c>
      <c r="C21" s="125">
        <f t="shared" ref="C21:H21" si="4">C8/C5</f>
        <v>6.6533299400920306E-3</v>
      </c>
      <c r="D21" s="125">
        <f t="shared" si="4"/>
        <v>-0.12946646031163031</v>
      </c>
      <c r="E21" s="125">
        <f t="shared" si="4"/>
        <v>-0.22981528406880081</v>
      </c>
      <c r="F21" s="125">
        <f t="shared" si="4"/>
        <v>-0.31735751125012623</v>
      </c>
      <c r="G21" s="125">
        <f t="shared" si="4"/>
        <v>-0.39789801915144407</v>
      </c>
      <c r="H21" s="125">
        <f t="shared" si="4"/>
        <v>-0.4674455424398698</v>
      </c>
      <c r="I21" s="125">
        <f t="shared" ref="I21:L24" si="5">H21</f>
        <v>-0.4674455424398698</v>
      </c>
      <c r="J21" s="125">
        <f t="shared" si="5"/>
        <v>-0.4674455424398698</v>
      </c>
      <c r="K21" s="125">
        <f t="shared" si="5"/>
        <v>-0.4674455424398698</v>
      </c>
      <c r="L21" s="126">
        <f t="shared" si="5"/>
        <v>-0.4674455424398698</v>
      </c>
      <c r="M21" s="68"/>
    </row>
    <row r="22" spans="2:16" x14ac:dyDescent="0.25">
      <c r="B22" s="127" t="s">
        <v>242</v>
      </c>
      <c r="C22" s="64">
        <f t="shared" ref="C22:H22" si="6">C11/C5</f>
        <v>4.6725790673526169E-2</v>
      </c>
      <c r="D22" s="64">
        <f t="shared" si="6"/>
        <v>5.0011095079611753E-2</v>
      </c>
      <c r="E22" s="64">
        <f t="shared" si="6"/>
        <v>5.2386559122364111E-2</v>
      </c>
      <c r="F22" s="64">
        <f t="shared" si="6"/>
        <v>5.3987242694550755E-2</v>
      </c>
      <c r="G22" s="64">
        <f t="shared" si="6"/>
        <v>5.4457989469341807E-2</v>
      </c>
      <c r="H22" s="64">
        <f t="shared" si="6"/>
        <v>5.4379633517309553E-2</v>
      </c>
      <c r="I22" s="64">
        <f t="shared" si="5"/>
        <v>5.4379633517309553E-2</v>
      </c>
      <c r="J22" s="64">
        <f t="shared" si="5"/>
        <v>5.4379633517309553E-2</v>
      </c>
      <c r="K22" s="64">
        <f t="shared" si="5"/>
        <v>5.4379633517309553E-2</v>
      </c>
      <c r="L22" s="128">
        <f t="shared" si="5"/>
        <v>5.4379633517309553E-2</v>
      </c>
      <c r="M22" s="68"/>
    </row>
    <row r="23" spans="2:16" x14ac:dyDescent="0.25">
      <c r="B23" s="127" t="s">
        <v>243</v>
      </c>
      <c r="C23" s="64">
        <f t="shared" ref="C23:H23" si="7">-C12/C5</f>
        <v>-0.11194474600623026</v>
      </c>
      <c r="D23" s="64">
        <f t="shared" si="7"/>
        <v>-7.7937920602865099E-2</v>
      </c>
      <c r="E23" s="64">
        <f t="shared" si="7"/>
        <v>-6.836659702005711E-2</v>
      </c>
      <c r="F23" s="64">
        <f t="shared" si="7"/>
        <v>-5.9970699140400957E-2</v>
      </c>
      <c r="G23" s="64">
        <f t="shared" si="7"/>
        <v>-5.2148434035131273E-2</v>
      </c>
      <c r="H23" s="64">
        <f t="shared" si="7"/>
        <v>-4.5346464378375022E-2</v>
      </c>
      <c r="I23" s="64">
        <f t="shared" si="5"/>
        <v>-4.5346464378375022E-2</v>
      </c>
      <c r="J23" s="64">
        <f t="shared" si="5"/>
        <v>-4.5346464378375022E-2</v>
      </c>
      <c r="K23" s="64">
        <f t="shared" si="5"/>
        <v>-4.5346464378375022E-2</v>
      </c>
      <c r="L23" s="128">
        <f t="shared" si="5"/>
        <v>-4.5346464378375022E-2</v>
      </c>
      <c r="M23" s="68"/>
    </row>
    <row r="24" spans="2:16" ht="15.75" thickBot="1" x14ac:dyDescent="0.3">
      <c r="B24" s="129" t="s">
        <v>244</v>
      </c>
      <c r="C24" s="130">
        <f t="shared" ref="C24:H24" si="8">C13/C5</f>
        <v>-2.0988700291969035E-2</v>
      </c>
      <c r="D24" s="130">
        <f t="shared" si="8"/>
        <v>1.6944739853007432E-2</v>
      </c>
      <c r="E24" s="130">
        <f t="shared" si="8"/>
        <v>-1.0318339515322914E-2</v>
      </c>
      <c r="F24" s="130">
        <f t="shared" si="8"/>
        <v>-1.0318339515323124E-2</v>
      </c>
      <c r="G24" s="130">
        <f t="shared" si="8"/>
        <v>-1.0959230168448665E-2</v>
      </c>
      <c r="H24" s="130">
        <f t="shared" si="8"/>
        <v>-1.0959230168448663E-2</v>
      </c>
      <c r="I24" s="130">
        <f t="shared" si="5"/>
        <v>-1.0959230168448663E-2</v>
      </c>
      <c r="J24" s="130">
        <f t="shared" si="5"/>
        <v>-1.0959230168448663E-2</v>
      </c>
      <c r="K24" s="130">
        <f t="shared" si="5"/>
        <v>-1.0959230168448663E-2</v>
      </c>
      <c r="L24" s="131">
        <f t="shared" si="5"/>
        <v>-1.0959230168448663E-2</v>
      </c>
      <c r="M24" s="68"/>
    </row>
    <row r="27" spans="2:16" ht="15.75" thickBot="1" x14ac:dyDescent="0.3"/>
    <row r="28" spans="2:16" x14ac:dyDescent="0.25">
      <c r="B28" s="250" t="s">
        <v>249</v>
      </c>
      <c r="C28" s="251"/>
    </row>
    <row r="29" spans="2:16" x14ac:dyDescent="0.25">
      <c r="B29" s="60" t="s">
        <v>245</v>
      </c>
      <c r="C29" s="69">
        <f>SUM(C16:L16)</f>
        <v>-2954.5619522376551</v>
      </c>
    </row>
    <row r="30" spans="2:16" x14ac:dyDescent="0.25">
      <c r="B30" s="60" t="s">
        <v>233</v>
      </c>
      <c r="C30" s="74">
        <f>L18</f>
        <v>-882.15242658113107</v>
      </c>
    </row>
    <row r="31" spans="2:16" x14ac:dyDescent="0.25">
      <c r="B31" s="61" t="s">
        <v>246</v>
      </c>
      <c r="C31" s="71">
        <f>C30+C29</f>
        <v>-3836.7143788187859</v>
      </c>
    </row>
    <row r="32" spans="2:16" x14ac:dyDescent="0.25">
      <c r="B32" s="62"/>
      <c r="C32" s="70"/>
    </row>
    <row r="33" spans="2:5" x14ac:dyDescent="0.25">
      <c r="B33" s="60" t="s">
        <v>247</v>
      </c>
      <c r="C33" s="72">
        <f>C29/C31</f>
        <v>0.77007607565181324</v>
      </c>
    </row>
    <row r="34" spans="2:5" x14ac:dyDescent="0.25">
      <c r="B34" s="60" t="s">
        <v>248</v>
      </c>
      <c r="C34" s="72">
        <f>C30/C31</f>
        <v>0.22992392434818681</v>
      </c>
    </row>
    <row r="35" spans="2:5" ht="15.75" thickBot="1" x14ac:dyDescent="0.3">
      <c r="B35" s="60"/>
      <c r="C35" s="70"/>
    </row>
    <row r="36" spans="2:5" x14ac:dyDescent="0.25">
      <c r="B36" s="250" t="s">
        <v>249</v>
      </c>
      <c r="C36" s="251"/>
    </row>
    <row r="37" spans="2:5" x14ac:dyDescent="0.25">
      <c r="B37" s="60" t="s">
        <v>250</v>
      </c>
      <c r="C37" s="70">
        <f>'BS '!G13+'BS '!G19</f>
        <v>2071.4</v>
      </c>
    </row>
    <row r="38" spans="2:5" x14ac:dyDescent="0.25">
      <c r="B38" s="60" t="s">
        <v>251</v>
      </c>
      <c r="C38" s="70">
        <f>'BS '!G41</f>
        <v>16.670000000000002</v>
      </c>
    </row>
    <row r="39" spans="2:5" x14ac:dyDescent="0.25">
      <c r="B39" s="60" t="s">
        <v>252</v>
      </c>
      <c r="C39" s="70">
        <f>C37-C38</f>
        <v>2054.73</v>
      </c>
    </row>
    <row r="40" spans="2:5" x14ac:dyDescent="0.25">
      <c r="B40" s="60" t="s">
        <v>253</v>
      </c>
      <c r="C40" s="192">
        <f>C31-C37</f>
        <v>-5908.1143788187856</v>
      </c>
      <c r="D40" s="173"/>
      <c r="E40" s="173"/>
    </row>
    <row r="41" spans="2:5" x14ac:dyDescent="0.25">
      <c r="B41" s="60" t="s">
        <v>254</v>
      </c>
      <c r="C41" s="119">
        <f>Index!G16</f>
        <v>40.450091999999998</v>
      </c>
    </row>
    <row r="42" spans="2:5" x14ac:dyDescent="0.25">
      <c r="B42" s="61" t="s">
        <v>255</v>
      </c>
      <c r="C42" s="70">
        <f>C40/C41</f>
        <v>-146.05935578141049</v>
      </c>
    </row>
    <row r="43" spans="2:5" x14ac:dyDescent="0.25">
      <c r="B43" s="60"/>
      <c r="C43" s="70"/>
    </row>
    <row r="44" spans="2:5" ht="15.75" thickBot="1" x14ac:dyDescent="0.3">
      <c r="B44" s="63" t="s">
        <v>256</v>
      </c>
      <c r="C44" s="73">
        <f>Index!G12</f>
        <v>1018.05</v>
      </c>
    </row>
  </sheetData>
  <mergeCells count="6">
    <mergeCell ref="N16:O16"/>
    <mergeCell ref="N17:O17"/>
    <mergeCell ref="B28:C28"/>
    <mergeCell ref="B36:C36"/>
    <mergeCell ref="N15:P15"/>
    <mergeCell ref="C20:L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0B589-1D14-4BF8-BCF7-0A468CF21E27}">
  <sheetPr>
    <tabColor theme="2" tint="-0.499984740745262"/>
  </sheetPr>
  <dimension ref="B1:R25"/>
  <sheetViews>
    <sheetView showGridLines="0" topLeftCell="A5" workbookViewId="0">
      <selection activeCell="J26" sqref="J26"/>
    </sheetView>
  </sheetViews>
  <sheetFormatPr defaultRowHeight="15" x14ac:dyDescent="0.25"/>
  <cols>
    <col min="2" max="2" width="14.28515625" customWidth="1"/>
    <col min="3" max="5" width="11.42578125" customWidth="1"/>
    <col min="6" max="6" width="11.85546875" style="189" customWidth="1"/>
    <col min="7" max="7" width="12.28515625" customWidth="1"/>
    <col min="8" max="8" width="14" customWidth="1"/>
    <col min="9" max="9" width="11.42578125" customWidth="1"/>
    <col min="10" max="18" width="15" customWidth="1"/>
  </cols>
  <sheetData>
    <row r="1" spans="2:15" ht="19.5" customHeight="1" x14ac:dyDescent="0.35">
      <c r="C1" s="258" t="s">
        <v>257</v>
      </c>
      <c r="D1" s="258"/>
      <c r="E1" s="258"/>
      <c r="F1" s="258"/>
      <c r="G1" s="258"/>
      <c r="H1" s="258"/>
    </row>
    <row r="2" spans="2:15" ht="15.75" thickBot="1" x14ac:dyDescent="0.3"/>
    <row r="3" spans="2:15" ht="15.75" thickBot="1" x14ac:dyDescent="0.3">
      <c r="B3" s="216" t="s">
        <v>262</v>
      </c>
      <c r="C3" s="217" t="s">
        <v>307</v>
      </c>
      <c r="D3" s="218" t="s">
        <v>263</v>
      </c>
      <c r="F3" s="216" t="s">
        <v>262</v>
      </c>
      <c r="G3" s="212" t="s">
        <v>308</v>
      </c>
      <c r="H3" s="213" t="s">
        <v>309</v>
      </c>
    </row>
    <row r="4" spans="2:15" x14ac:dyDescent="0.25">
      <c r="B4" s="197">
        <v>44350</v>
      </c>
      <c r="C4" s="198">
        <v>15574.849609000001</v>
      </c>
      <c r="D4" s="207">
        <v>1322.924072</v>
      </c>
      <c r="F4" s="197">
        <v>44350</v>
      </c>
      <c r="G4" s="202"/>
      <c r="H4" s="142"/>
      <c r="I4" s="34"/>
      <c r="J4" t="s">
        <v>315</v>
      </c>
    </row>
    <row r="5" spans="2:15" x14ac:dyDescent="0.25">
      <c r="B5" s="199">
        <v>44351</v>
      </c>
      <c r="C5" s="191">
        <v>15576.200194999999</v>
      </c>
      <c r="D5" s="208">
        <v>1311.2905270000001</v>
      </c>
      <c r="F5" s="199">
        <v>44351</v>
      </c>
      <c r="G5" s="203">
        <f>(C5-C4)/C4</f>
        <v>8.6715829295598107E-5</v>
      </c>
      <c r="H5" s="200">
        <f>(D5-D4)/D4</f>
        <v>-8.7938115619986337E-3</v>
      </c>
      <c r="I5" s="34"/>
    </row>
    <row r="6" spans="2:15" x14ac:dyDescent="0.25">
      <c r="B6" s="199">
        <v>44354</v>
      </c>
      <c r="C6" s="191">
        <v>15690.349609000001</v>
      </c>
      <c r="D6" s="208">
        <v>1332.881592</v>
      </c>
      <c r="F6" s="199">
        <v>44354</v>
      </c>
      <c r="G6" s="203">
        <f t="shared" ref="G6:H19" si="0">(C6-C5)/C5</f>
        <v>7.3284506215221604E-3</v>
      </c>
      <c r="H6" s="200">
        <f t="shared" si="0"/>
        <v>1.6465508257271076E-2</v>
      </c>
      <c r="I6" s="34"/>
      <c r="J6" t="s">
        <v>316</v>
      </c>
    </row>
    <row r="7" spans="2:15" ht="15.75" thickBot="1" x14ac:dyDescent="0.3">
      <c r="B7" s="199">
        <v>44355</v>
      </c>
      <c r="C7" s="191">
        <v>15670.25</v>
      </c>
      <c r="D7" s="208">
        <v>1320.705811</v>
      </c>
      <c r="F7" s="199">
        <v>44355</v>
      </c>
      <c r="G7" s="203">
        <f t="shared" si="0"/>
        <v>-1.2810172813785886E-3</v>
      </c>
      <c r="H7" s="200">
        <f t="shared" si="0"/>
        <v>-9.1349307193372333E-3</v>
      </c>
      <c r="I7" s="34"/>
    </row>
    <row r="8" spans="2:15" x14ac:dyDescent="0.25">
      <c r="B8" s="199">
        <v>44356</v>
      </c>
      <c r="C8" s="191">
        <v>15751.650390999999</v>
      </c>
      <c r="D8" s="208">
        <v>1313.952393</v>
      </c>
      <c r="F8" s="199">
        <v>44356</v>
      </c>
      <c r="G8" s="203">
        <f t="shared" si="0"/>
        <v>5.1945815159298173E-3</v>
      </c>
      <c r="H8" s="200">
        <f t="shared" si="0"/>
        <v>-5.1134915465288356E-3</v>
      </c>
      <c r="I8" s="34"/>
      <c r="J8" s="196" t="s">
        <v>317</v>
      </c>
      <c r="K8" s="196"/>
    </row>
    <row r="9" spans="2:15" x14ac:dyDescent="0.25">
      <c r="B9" s="199">
        <v>44357</v>
      </c>
      <c r="C9" s="191">
        <v>15740.099609000001</v>
      </c>
      <c r="D9" s="208">
        <v>1323.5649410000001</v>
      </c>
      <c r="F9" s="199">
        <v>44357</v>
      </c>
      <c r="G9" s="203">
        <f t="shared" si="0"/>
        <v>-7.3330614337391536E-4</v>
      </c>
      <c r="H9" s="200">
        <f t="shared" si="0"/>
        <v>7.3157505943216164E-3</v>
      </c>
      <c r="I9" s="34"/>
      <c r="J9" s="193" t="s">
        <v>318</v>
      </c>
      <c r="K9" s="193">
        <v>0.23946140171046579</v>
      </c>
    </row>
    <row r="10" spans="2:15" x14ac:dyDescent="0.25">
      <c r="B10" s="199">
        <v>44358</v>
      </c>
      <c r="C10" s="191">
        <v>15635.349609000001</v>
      </c>
      <c r="D10" s="208">
        <v>1349.3460689999999</v>
      </c>
      <c r="F10" s="199">
        <v>44358</v>
      </c>
      <c r="G10" s="203">
        <f t="shared" si="0"/>
        <v>-6.6549769443711273E-3</v>
      </c>
      <c r="H10" s="200">
        <f t="shared" si="0"/>
        <v>1.9478551600589616E-2</v>
      </c>
      <c r="I10" s="34"/>
      <c r="J10" s="193" t="s">
        <v>319</v>
      </c>
      <c r="K10" s="193">
        <v>5.7341762909141072E-2</v>
      </c>
    </row>
    <row r="11" spans="2:15" x14ac:dyDescent="0.25">
      <c r="B11" s="199">
        <v>44361</v>
      </c>
      <c r="C11" s="191">
        <v>15737.75</v>
      </c>
      <c r="D11" s="208">
        <v>1344.564453</v>
      </c>
      <c r="F11" s="199">
        <v>44361</v>
      </c>
      <c r="G11" s="203">
        <f t="shared" si="0"/>
        <v>6.5492869402201045E-3</v>
      </c>
      <c r="H11" s="200">
        <f t="shared" si="0"/>
        <v>-3.5436543002964689E-3</v>
      </c>
      <c r="I11" s="34"/>
      <c r="J11" s="193" t="s">
        <v>320</v>
      </c>
      <c r="K11" s="193">
        <v>-1.517040917477115E-2</v>
      </c>
    </row>
    <row r="12" spans="2:15" x14ac:dyDescent="0.25">
      <c r="B12" s="199">
        <v>44362</v>
      </c>
      <c r="C12" s="191">
        <v>15799.349609000001</v>
      </c>
      <c r="D12" s="208">
        <v>1361.521851</v>
      </c>
      <c r="F12" s="199">
        <v>44362</v>
      </c>
      <c r="G12" s="203">
        <f t="shared" si="0"/>
        <v>3.9141306095217413E-3</v>
      </c>
      <c r="H12" s="200">
        <f t="shared" si="0"/>
        <v>1.2611814898247956E-2</v>
      </c>
      <c r="I12" s="34"/>
      <c r="J12" s="193" t="s">
        <v>321</v>
      </c>
      <c r="K12" s="193">
        <v>4.4408125425493177E-3</v>
      </c>
    </row>
    <row r="13" spans="2:15" ht="15.75" thickBot="1" x14ac:dyDescent="0.3">
      <c r="B13" s="199">
        <v>44363</v>
      </c>
      <c r="C13" s="191">
        <v>15811.849609000001</v>
      </c>
      <c r="D13" s="208">
        <v>1353.289673</v>
      </c>
      <c r="F13" s="199">
        <v>44363</v>
      </c>
      <c r="G13" s="203">
        <f t="shared" si="0"/>
        <v>7.9117180829263076E-4</v>
      </c>
      <c r="H13" s="200">
        <f t="shared" si="0"/>
        <v>-6.0463061932892739E-3</v>
      </c>
      <c r="I13" s="34"/>
      <c r="J13" s="194" t="s">
        <v>322</v>
      </c>
      <c r="K13" s="194">
        <v>15</v>
      </c>
    </row>
    <row r="14" spans="2:15" x14ac:dyDescent="0.25">
      <c r="B14" s="199">
        <v>44364</v>
      </c>
      <c r="C14" s="191">
        <v>15869.25</v>
      </c>
      <c r="D14" s="208">
        <v>1360.388062</v>
      </c>
      <c r="F14" s="199">
        <v>44364</v>
      </c>
      <c r="G14" s="203">
        <f t="shared" si="0"/>
        <v>3.6302135689000796E-3</v>
      </c>
      <c r="H14" s="200">
        <f t="shared" si="0"/>
        <v>5.2452842444767533E-3</v>
      </c>
      <c r="I14" s="34"/>
    </row>
    <row r="15" spans="2:15" ht="15.75" thickBot="1" x14ac:dyDescent="0.3">
      <c r="B15" s="199">
        <v>44365</v>
      </c>
      <c r="C15" s="191">
        <v>15767.549805000001</v>
      </c>
      <c r="D15" s="208">
        <v>1339.9801030000001</v>
      </c>
      <c r="F15" s="199">
        <v>44365</v>
      </c>
      <c r="G15" s="203">
        <f t="shared" si="0"/>
        <v>-6.4086327331158962E-3</v>
      </c>
      <c r="H15" s="200">
        <f t="shared" si="0"/>
        <v>-1.5001571661836513E-2</v>
      </c>
      <c r="I15" s="34"/>
      <c r="J15" t="s">
        <v>323</v>
      </c>
    </row>
    <row r="16" spans="2:15" x14ac:dyDescent="0.25">
      <c r="B16" s="199">
        <v>44368</v>
      </c>
      <c r="C16" s="191">
        <v>15691.400390999999</v>
      </c>
      <c r="D16" s="208">
        <v>1326.2761230000001</v>
      </c>
      <c r="F16" s="199">
        <v>44368</v>
      </c>
      <c r="G16" s="203">
        <f t="shared" si="0"/>
        <v>-4.8295020432314621E-3</v>
      </c>
      <c r="H16" s="200">
        <f t="shared" si="0"/>
        <v>-1.0227002601993114E-2</v>
      </c>
      <c r="I16" s="34"/>
      <c r="J16" s="195"/>
      <c r="K16" s="195" t="s">
        <v>327</v>
      </c>
      <c r="L16" s="195" t="s">
        <v>328</v>
      </c>
      <c r="M16" s="195" t="s">
        <v>329</v>
      </c>
      <c r="N16" s="195" t="s">
        <v>330</v>
      </c>
      <c r="O16" s="195" t="s">
        <v>331</v>
      </c>
    </row>
    <row r="17" spans="2:18" x14ac:dyDescent="0.25">
      <c r="B17" s="199">
        <v>44369</v>
      </c>
      <c r="C17" s="191">
        <v>15683.349609000001</v>
      </c>
      <c r="D17" s="208">
        <v>1331.3535159999999</v>
      </c>
      <c r="F17" s="199">
        <v>44369</v>
      </c>
      <c r="G17" s="203">
        <f t="shared" si="0"/>
        <v>-5.1306969418842073E-4</v>
      </c>
      <c r="H17" s="200">
        <f t="shared" si="0"/>
        <v>3.8283076291194011E-3</v>
      </c>
      <c r="I17" s="34"/>
      <c r="J17" s="193" t="s">
        <v>324</v>
      </c>
      <c r="K17" s="193">
        <v>1</v>
      </c>
      <c r="L17" s="193">
        <v>1.5594986677833959E-5</v>
      </c>
      <c r="M17" s="193">
        <v>1.5594986677833959E-5</v>
      </c>
      <c r="N17" s="193">
        <v>0.79078810165532332</v>
      </c>
      <c r="O17" s="193">
        <v>0.39002091536882155</v>
      </c>
    </row>
    <row r="18" spans="2:18" x14ac:dyDescent="0.25">
      <c r="B18" s="199">
        <v>44370</v>
      </c>
      <c r="C18" s="191">
        <v>15746.5</v>
      </c>
      <c r="D18" s="208">
        <v>1337.0223390000001</v>
      </c>
      <c r="F18" s="199">
        <v>44370</v>
      </c>
      <c r="G18" s="203">
        <f t="shared" si="0"/>
        <v>4.0265882336615079E-3</v>
      </c>
      <c r="H18" s="200">
        <f t="shared" si="0"/>
        <v>4.2579397071274968E-3</v>
      </c>
      <c r="I18" s="34"/>
      <c r="J18" s="193" t="s">
        <v>325</v>
      </c>
      <c r="K18" s="193">
        <v>13</v>
      </c>
      <c r="L18" s="193">
        <v>2.5637060849482339E-4</v>
      </c>
      <c r="M18" s="193">
        <v>1.9720816038063336E-5</v>
      </c>
      <c r="N18" s="193"/>
      <c r="O18" s="193"/>
    </row>
    <row r="19" spans="2:18" ht="15.75" thickBot="1" x14ac:dyDescent="0.3">
      <c r="B19" s="201">
        <v>44371</v>
      </c>
      <c r="C19" s="145">
        <v>15772.75</v>
      </c>
      <c r="D19" s="209">
        <v>1326.8183590000001</v>
      </c>
      <c r="F19" s="201">
        <v>44371</v>
      </c>
      <c r="G19" s="204">
        <f t="shared" si="0"/>
        <v>1.6670371193598578E-3</v>
      </c>
      <c r="H19" s="169">
        <f t="shared" si="0"/>
        <v>-7.6318694926457778E-3</v>
      </c>
      <c r="I19" s="34"/>
      <c r="J19" s="194" t="s">
        <v>165</v>
      </c>
      <c r="K19" s="194">
        <v>14</v>
      </c>
      <c r="L19" s="194">
        <v>2.7196559517265735E-4</v>
      </c>
      <c r="M19" s="194"/>
      <c r="N19" s="194"/>
      <c r="O19" s="194"/>
    </row>
    <row r="20" spans="2:18" ht="15.75" thickBot="1" x14ac:dyDescent="0.3">
      <c r="C20" s="189"/>
      <c r="D20" s="34"/>
      <c r="E20" s="34"/>
      <c r="F20" s="214" t="s">
        <v>310</v>
      </c>
      <c r="G20" s="205">
        <f>AVERAGE(G5:G18)</f>
        <v>7.929024491203021E-4</v>
      </c>
      <c r="H20" s="205">
        <f>AVERAGE(H5:H18)</f>
        <v>8.1017059613384588E-4</v>
      </c>
      <c r="I20" s="34"/>
    </row>
    <row r="21" spans="2:18" x14ac:dyDescent="0.25">
      <c r="C21" s="189"/>
      <c r="F21" s="215" t="s">
        <v>311</v>
      </c>
      <c r="G21" s="206">
        <f>VAR(G5:G19)</f>
        <v>1.9426113940904089E-5</v>
      </c>
      <c r="H21" s="206">
        <f>VAR(H5:H19)</f>
        <v>1.1045796410291228E-4</v>
      </c>
      <c r="J21" s="195"/>
      <c r="K21" s="195" t="s">
        <v>332</v>
      </c>
      <c r="L21" s="195" t="s">
        <v>321</v>
      </c>
      <c r="M21" s="195" t="s">
        <v>333</v>
      </c>
      <c r="N21" s="195" t="s">
        <v>334</v>
      </c>
      <c r="O21" s="195" t="s">
        <v>335</v>
      </c>
      <c r="P21" s="195" t="s">
        <v>336</v>
      </c>
      <c r="Q21" s="195" t="s">
        <v>337</v>
      </c>
      <c r="R21" s="195" t="s">
        <v>338</v>
      </c>
    </row>
    <row r="22" spans="2:18" x14ac:dyDescent="0.25">
      <c r="C22" s="189"/>
      <c r="F22" s="215" t="s">
        <v>312</v>
      </c>
      <c r="G22" s="210">
        <f>STDEVA(G5:G19)</f>
        <v>4.4075065446240787E-3</v>
      </c>
      <c r="H22" s="210">
        <f>STDEVA(H5:H19)</f>
        <v>1.0509898386897577E-2</v>
      </c>
      <c r="J22" s="193" t="s">
        <v>326</v>
      </c>
      <c r="K22" s="193">
        <v>8.2633684911987033E-4</v>
      </c>
      <c r="L22" s="193">
        <v>1.1469531002063613E-3</v>
      </c>
      <c r="M22" s="193">
        <v>0.72046263179479153</v>
      </c>
      <c r="N22" s="193">
        <v>0.4839944339347616</v>
      </c>
      <c r="O22" s="193">
        <v>-1.6515046789987811E-3</v>
      </c>
      <c r="P22" s="193">
        <v>3.3041783772385217E-3</v>
      </c>
      <c r="Q22" s="193">
        <v>-1.6515046789987811E-3</v>
      </c>
      <c r="R22" s="193">
        <v>3.3041783772385217E-3</v>
      </c>
    </row>
    <row r="23" spans="2:18" ht="15.75" thickBot="1" x14ac:dyDescent="0.3">
      <c r="F23" s="189" t="s">
        <v>313</v>
      </c>
      <c r="G23" s="210">
        <f>CORREL(G5:G19,H5:H19)</f>
        <v>0.23946140171046462</v>
      </c>
      <c r="J23" s="194"/>
      <c r="K23" s="194">
        <v>0.10042225494201766</v>
      </c>
      <c r="L23" s="194">
        <v>0.11292754996581374</v>
      </c>
      <c r="M23" s="194">
        <v>0.88926267303610351</v>
      </c>
      <c r="N23" s="194">
        <v>0.39002091536882377</v>
      </c>
      <c r="O23" s="194">
        <v>-0.14354288445526225</v>
      </c>
      <c r="P23" s="194">
        <v>0.34438739433929755</v>
      </c>
      <c r="Q23" s="194">
        <v>-0.14354288445526225</v>
      </c>
      <c r="R23" s="194">
        <v>0.34438739433929755</v>
      </c>
    </row>
    <row r="24" spans="2:18" x14ac:dyDescent="0.25">
      <c r="F24" s="211" t="s">
        <v>211</v>
      </c>
      <c r="G24" s="210">
        <f>SLOPE(G5:G19,H5:H19)</f>
        <v>0.10042225494201766</v>
      </c>
    </row>
    <row r="25" spans="2:18" x14ac:dyDescent="0.25">
      <c r="F25" s="211" t="s">
        <v>314</v>
      </c>
      <c r="G25" s="210">
        <f>INTERCEPT(G5:G19,H5:H19)</f>
        <v>8.2633684911987033E-4</v>
      </c>
    </row>
  </sheetData>
  <mergeCells count="1">
    <mergeCell ref="C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BE44-2DE7-43BD-961F-13E0465EA206}">
  <sheetPr>
    <tabColor theme="9" tint="-0.499984740745262"/>
  </sheetPr>
  <dimension ref="A1:L46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6" sqref="I46"/>
    </sheetView>
  </sheetViews>
  <sheetFormatPr defaultRowHeight="15" x14ac:dyDescent="0.25"/>
  <cols>
    <col min="2" max="2" width="30.42578125" style="2" customWidth="1"/>
    <col min="3" max="7" width="16.140625" style="2" customWidth="1"/>
    <col min="12" max="12" width="11.28515625" style="2" customWidth="1"/>
    <col min="13" max="13" width="14.85546875" customWidth="1"/>
  </cols>
  <sheetData>
    <row r="1" spans="1:12" ht="20.25" customHeight="1" thickBot="1" x14ac:dyDescent="0.4">
      <c r="B1" s="259" t="s">
        <v>258</v>
      </c>
      <c r="C1" s="259"/>
      <c r="D1" s="259"/>
      <c r="E1" s="259"/>
      <c r="F1" s="259"/>
      <c r="G1" s="259"/>
    </row>
    <row r="2" spans="1:12" ht="18.75" customHeight="1" x14ac:dyDescent="0.25">
      <c r="B2" s="75"/>
      <c r="C2" s="76">
        <v>43160</v>
      </c>
      <c r="D2" s="76">
        <v>43525</v>
      </c>
      <c r="E2" s="76">
        <v>43891</v>
      </c>
      <c r="F2" s="76">
        <v>44256</v>
      </c>
      <c r="G2" s="77">
        <v>44621</v>
      </c>
      <c r="L2"/>
    </row>
    <row r="3" spans="1:12" ht="18.75" customHeight="1" x14ac:dyDescent="0.25">
      <c r="B3" s="78" t="s">
        <v>41</v>
      </c>
      <c r="C3" s="79" t="s">
        <v>40</v>
      </c>
      <c r="D3" s="79" t="s">
        <v>40</v>
      </c>
      <c r="E3" s="79" t="s">
        <v>40</v>
      </c>
      <c r="F3" s="79" t="s">
        <v>40</v>
      </c>
      <c r="G3" s="80" t="s">
        <v>40</v>
      </c>
      <c r="L3"/>
    </row>
    <row r="4" spans="1:12" x14ac:dyDescent="0.25">
      <c r="B4" s="60"/>
      <c r="C4" s="17"/>
      <c r="D4" s="17"/>
      <c r="E4" s="17"/>
      <c r="F4" s="17"/>
      <c r="G4" s="70"/>
      <c r="L4"/>
    </row>
    <row r="5" spans="1:12" ht="17.25" customHeight="1" x14ac:dyDescent="0.25">
      <c r="B5" s="60" t="s">
        <v>3</v>
      </c>
      <c r="C5" s="17"/>
      <c r="D5" s="17"/>
      <c r="E5" s="17"/>
      <c r="F5" s="17"/>
      <c r="G5" s="70"/>
      <c r="L5"/>
    </row>
    <row r="6" spans="1:12" ht="13.5" customHeight="1" x14ac:dyDescent="0.25">
      <c r="B6" s="60" t="s">
        <v>4</v>
      </c>
      <c r="C6" s="17"/>
      <c r="D6" s="17"/>
      <c r="E6" s="17"/>
      <c r="F6" s="17"/>
      <c r="G6" s="70"/>
      <c r="L6"/>
    </row>
    <row r="7" spans="1:12" x14ac:dyDescent="0.25">
      <c r="B7" s="60" t="s">
        <v>5</v>
      </c>
      <c r="C7" s="81">
        <v>40.450000000000003</v>
      </c>
      <c r="D7" s="81">
        <v>40.450000000000003</v>
      </c>
      <c r="E7" s="81">
        <v>40.450000000000003</v>
      </c>
      <c r="F7" s="81">
        <v>40.450000000000003</v>
      </c>
      <c r="G7" s="82">
        <v>40.450000000000003</v>
      </c>
      <c r="L7"/>
    </row>
    <row r="8" spans="1:12" x14ac:dyDescent="0.25">
      <c r="B8" s="62" t="s">
        <v>6</v>
      </c>
      <c r="C8" s="19">
        <f>C5+C6+C7</f>
        <v>40.450000000000003</v>
      </c>
      <c r="D8" s="19">
        <f>D5+D6+D7</f>
        <v>40.450000000000003</v>
      </c>
      <c r="E8" s="19">
        <f>E5+E6+E7</f>
        <v>40.450000000000003</v>
      </c>
      <c r="F8" s="19">
        <f>F5+F6+F7</f>
        <v>40.450000000000003</v>
      </c>
      <c r="G8" s="83">
        <f>G5+G6+G7</f>
        <v>40.450000000000003</v>
      </c>
      <c r="L8"/>
    </row>
    <row r="9" spans="1:12" x14ac:dyDescent="0.25">
      <c r="B9" s="60" t="s">
        <v>7</v>
      </c>
      <c r="C9" s="81">
        <v>2506.37</v>
      </c>
      <c r="D9" s="81">
        <v>2710.59</v>
      </c>
      <c r="E9" s="81">
        <v>2720.15</v>
      </c>
      <c r="F9" s="81">
        <v>3124.29</v>
      </c>
      <c r="G9" s="82">
        <v>3109.82</v>
      </c>
      <c r="L9"/>
    </row>
    <row r="10" spans="1:12" ht="15.75" thickBot="1" x14ac:dyDescent="0.3">
      <c r="B10" s="84" t="s">
        <v>8</v>
      </c>
      <c r="C10" s="37">
        <f>C9+C8</f>
        <v>2546.8199999999997</v>
      </c>
      <c r="D10" s="37">
        <f>D9+D8</f>
        <v>2751.04</v>
      </c>
      <c r="E10" s="37">
        <f>E9+E8</f>
        <v>2760.6</v>
      </c>
      <c r="F10" s="37">
        <f>F9+F8</f>
        <v>3164.74</v>
      </c>
      <c r="G10" s="85">
        <f>G9+G8</f>
        <v>3150.27</v>
      </c>
      <c r="L10"/>
    </row>
    <row r="11" spans="1:12" ht="22.5" customHeight="1" thickTop="1" x14ac:dyDescent="0.25">
      <c r="B11" s="62" t="s">
        <v>9</v>
      </c>
      <c r="C11" s="17"/>
      <c r="D11" s="17"/>
      <c r="E11" s="17"/>
      <c r="F11" s="17"/>
      <c r="G11" s="70"/>
      <c r="L11"/>
    </row>
    <row r="12" spans="1:12" x14ac:dyDescent="0.25">
      <c r="B12" s="60" t="s">
        <v>10</v>
      </c>
      <c r="C12" s="81">
        <v>272.3</v>
      </c>
      <c r="D12" s="81">
        <v>1002.72</v>
      </c>
      <c r="E12" s="81">
        <v>1640.78</v>
      </c>
      <c r="F12" s="81">
        <v>1341.04</v>
      </c>
      <c r="G12" s="82">
        <v>1719.16</v>
      </c>
      <c r="L12"/>
    </row>
    <row r="13" spans="1:12" x14ac:dyDescent="0.25">
      <c r="B13" s="60" t="s">
        <v>11</v>
      </c>
      <c r="C13" s="81">
        <v>178.15</v>
      </c>
      <c r="D13" s="81">
        <v>207.71</v>
      </c>
      <c r="E13" s="81">
        <v>261.11</v>
      </c>
      <c r="F13" s="81">
        <v>265.60000000000002</v>
      </c>
      <c r="G13" s="82">
        <v>307.95</v>
      </c>
      <c r="L13"/>
    </row>
    <row r="14" spans="1:12" x14ac:dyDescent="0.25">
      <c r="B14" s="60" t="s">
        <v>12</v>
      </c>
      <c r="C14" s="81">
        <v>12.91</v>
      </c>
      <c r="D14" s="81">
        <v>4.6100000000000003</v>
      </c>
      <c r="E14" s="81">
        <v>164.47</v>
      </c>
      <c r="F14" s="81">
        <v>79.569999999999993</v>
      </c>
      <c r="G14" s="82">
        <v>122.1</v>
      </c>
      <c r="L14"/>
    </row>
    <row r="15" spans="1:12" x14ac:dyDescent="0.25">
      <c r="B15" s="60" t="s">
        <v>13</v>
      </c>
      <c r="C15" s="81">
        <v>33.799999999999997</v>
      </c>
      <c r="D15" s="81">
        <v>36.83</v>
      </c>
      <c r="E15" s="81">
        <v>40.08</v>
      </c>
      <c r="F15" s="81">
        <v>44.94</v>
      </c>
      <c r="G15" s="82">
        <v>41.14</v>
      </c>
      <c r="L15"/>
    </row>
    <row r="16" spans="1:12" x14ac:dyDescent="0.25">
      <c r="A16" s="1"/>
      <c r="B16" s="86" t="s">
        <v>14</v>
      </c>
      <c r="C16" s="5">
        <f>SUM(C12:C15)</f>
        <v>497.16000000000008</v>
      </c>
      <c r="D16" s="5">
        <f>SUM(D12:D15)</f>
        <v>1251.8699999999999</v>
      </c>
      <c r="E16" s="5">
        <f>SUM(E12:E15)</f>
        <v>2106.4399999999996</v>
      </c>
      <c r="F16" s="5">
        <f>SUM(F12:F15)</f>
        <v>1731.1499999999999</v>
      </c>
      <c r="G16" s="87">
        <f>SUM(G12:G15)</f>
        <v>2190.35</v>
      </c>
      <c r="L16"/>
    </row>
    <row r="17" spans="2:12" ht="20.25" customHeight="1" x14ac:dyDescent="0.25">
      <c r="B17" s="62" t="s">
        <v>15</v>
      </c>
      <c r="C17" s="17"/>
      <c r="D17" s="17"/>
      <c r="E17" s="17"/>
      <c r="F17" s="17"/>
      <c r="G17" s="70"/>
      <c r="L17"/>
    </row>
    <row r="18" spans="2:12" x14ac:dyDescent="0.25">
      <c r="B18" s="60" t="s">
        <v>16</v>
      </c>
      <c r="C18" s="81">
        <v>143.63999999999999</v>
      </c>
      <c r="D18" s="81">
        <v>214.31</v>
      </c>
      <c r="E18" s="81">
        <v>215.59</v>
      </c>
      <c r="F18" s="81">
        <v>0.53</v>
      </c>
      <c r="G18" s="82">
        <v>352.24</v>
      </c>
      <c r="L18"/>
    </row>
    <row r="19" spans="2:12" x14ac:dyDescent="0.25">
      <c r="B19" s="60" t="s">
        <v>0</v>
      </c>
      <c r="C19" s="81">
        <v>848.54</v>
      </c>
      <c r="D19" s="81">
        <v>1033.93</v>
      </c>
      <c r="E19" s="81">
        <v>1191.1199999999999</v>
      </c>
      <c r="F19" s="81">
        <v>1943.6</v>
      </c>
      <c r="G19" s="82">
        <v>2206.62</v>
      </c>
      <c r="L19"/>
    </row>
    <row r="20" spans="2:12" x14ac:dyDescent="0.25">
      <c r="B20" s="60" t="s">
        <v>17</v>
      </c>
      <c r="C20" s="81">
        <v>694.19</v>
      </c>
      <c r="D20" s="81">
        <v>710.86</v>
      </c>
      <c r="E20" s="81">
        <v>736.77</v>
      </c>
      <c r="F20" s="81">
        <v>957.42</v>
      </c>
      <c r="G20" s="82">
        <v>936.63</v>
      </c>
      <c r="L20"/>
    </row>
    <row r="21" spans="2:12" x14ac:dyDescent="0.25">
      <c r="B21" s="60" t="s">
        <v>18</v>
      </c>
      <c r="C21" s="81">
        <v>50.14</v>
      </c>
      <c r="D21" s="81">
        <v>99.85</v>
      </c>
      <c r="E21" s="81">
        <v>122.02</v>
      </c>
      <c r="F21" s="81">
        <v>107.58</v>
      </c>
      <c r="G21" s="82">
        <v>124.79</v>
      </c>
      <c r="L21"/>
    </row>
    <row r="22" spans="2:12" s="1" customFormat="1" x14ac:dyDescent="0.25">
      <c r="B22" s="86" t="s">
        <v>19</v>
      </c>
      <c r="C22" s="5">
        <f>SUM(C18:C21)</f>
        <v>1736.51</v>
      </c>
      <c r="D22" s="5">
        <f>SUM(D18:D21)</f>
        <v>2058.9499999999998</v>
      </c>
      <c r="E22" s="5">
        <f>SUM(E18:E21)</f>
        <v>2265.4999999999995</v>
      </c>
      <c r="F22" s="5">
        <f>SUM(F18:F21)</f>
        <v>3009.1299999999997</v>
      </c>
      <c r="G22" s="87">
        <f>SUM(G18:G21)</f>
        <v>3620.2799999999997</v>
      </c>
    </row>
    <row r="23" spans="2:12" ht="15.75" thickBot="1" x14ac:dyDescent="0.3">
      <c r="B23" s="88" t="s">
        <v>20</v>
      </c>
      <c r="C23" s="6">
        <f>C22+C16+C10</f>
        <v>4780.49</v>
      </c>
      <c r="D23" s="6">
        <f>D22+D16+D10</f>
        <v>6061.86</v>
      </c>
      <c r="E23" s="6">
        <f>E22+E16+E10</f>
        <v>7132.5399999999991</v>
      </c>
      <c r="F23" s="6">
        <f>F22+F16+F10</f>
        <v>7905.0199999999995</v>
      </c>
      <c r="G23" s="89">
        <f>G22+G16+G10</f>
        <v>8960.9</v>
      </c>
      <c r="L23"/>
    </row>
    <row r="24" spans="2:12" ht="15.75" thickTop="1" x14ac:dyDescent="0.25">
      <c r="B24" s="62" t="s">
        <v>21</v>
      </c>
      <c r="C24" s="17"/>
      <c r="D24" s="17"/>
      <c r="E24" s="17"/>
      <c r="F24" s="17"/>
      <c r="G24" s="70"/>
      <c r="L24"/>
    </row>
    <row r="25" spans="2:12" x14ac:dyDescent="0.25">
      <c r="B25" s="62" t="s">
        <v>22</v>
      </c>
      <c r="C25" s="17"/>
      <c r="D25" s="17"/>
      <c r="E25" s="17"/>
      <c r="F25" s="17"/>
      <c r="G25" s="70"/>
      <c r="L25"/>
    </row>
    <row r="26" spans="2:12" x14ac:dyDescent="0.25">
      <c r="B26" s="60" t="s">
        <v>23</v>
      </c>
      <c r="C26" s="17">
        <v>2409.81</v>
      </c>
      <c r="D26" s="17">
        <v>2785.74</v>
      </c>
      <c r="E26" s="17">
        <v>4059.35</v>
      </c>
      <c r="F26" s="17">
        <v>4664.6400000000003</v>
      </c>
      <c r="G26" s="70">
        <v>6137.14</v>
      </c>
      <c r="L26"/>
    </row>
    <row r="27" spans="2:12" x14ac:dyDescent="0.25">
      <c r="B27" s="60" t="s">
        <v>1</v>
      </c>
      <c r="C27" s="81">
        <v>65.44</v>
      </c>
      <c r="D27" s="81">
        <v>60.57</v>
      </c>
      <c r="E27" s="81">
        <v>100.17</v>
      </c>
      <c r="F27" s="81">
        <v>98.54</v>
      </c>
      <c r="G27" s="82">
        <v>0</v>
      </c>
      <c r="L27"/>
    </row>
    <row r="28" spans="2:12" x14ac:dyDescent="0.25">
      <c r="B28" s="60" t="s">
        <v>24</v>
      </c>
      <c r="C28" s="81">
        <v>161.86000000000001</v>
      </c>
      <c r="D28" s="81">
        <v>718.89</v>
      </c>
      <c r="E28" s="81">
        <v>983.94</v>
      </c>
      <c r="F28" s="81">
        <v>702.88</v>
      </c>
      <c r="G28" s="82">
        <v>0</v>
      </c>
      <c r="L28"/>
    </row>
    <row r="29" spans="2:12" x14ac:dyDescent="0.25">
      <c r="B29" s="60" t="s">
        <v>25</v>
      </c>
      <c r="C29" s="17">
        <v>0</v>
      </c>
      <c r="D29" s="90">
        <v>30.55</v>
      </c>
      <c r="E29" s="90">
        <v>17.809999999999999</v>
      </c>
      <c r="F29" s="90">
        <v>25</v>
      </c>
      <c r="G29" s="70">
        <v>0</v>
      </c>
      <c r="L29"/>
    </row>
    <row r="30" spans="2:12" x14ac:dyDescent="0.25">
      <c r="B30" s="62" t="s">
        <v>26</v>
      </c>
      <c r="C30" s="19">
        <f>SUM(C26:C29)</f>
        <v>2637.11</v>
      </c>
      <c r="D30" s="19">
        <f>SUM(D26:D29)</f>
        <v>3595.75</v>
      </c>
      <c r="E30" s="19">
        <f>SUM(E26:E29)</f>
        <v>5161.2699999999995</v>
      </c>
      <c r="F30" s="19">
        <f>SUM(F26:F29)</f>
        <v>5491.06</v>
      </c>
      <c r="G30" s="83">
        <f>SUM(G26:G29)</f>
        <v>6137.14</v>
      </c>
      <c r="L30"/>
    </row>
    <row r="31" spans="2:12" x14ac:dyDescent="0.25">
      <c r="B31" s="60" t="s">
        <v>27</v>
      </c>
      <c r="C31" s="81">
        <v>279.99</v>
      </c>
      <c r="D31" s="81">
        <v>313.01</v>
      </c>
      <c r="E31" s="81">
        <v>110.83</v>
      </c>
      <c r="F31" s="81">
        <v>118.11</v>
      </c>
      <c r="G31" s="82">
        <v>126.02</v>
      </c>
      <c r="L31"/>
    </row>
    <row r="32" spans="2:12" x14ac:dyDescent="0.25">
      <c r="B32" s="60" t="s">
        <v>28</v>
      </c>
      <c r="C32" s="81">
        <v>0</v>
      </c>
      <c r="D32" s="81">
        <v>0</v>
      </c>
      <c r="E32" s="81">
        <v>0</v>
      </c>
      <c r="F32" s="81">
        <v>0</v>
      </c>
      <c r="G32" s="82">
        <v>58.55</v>
      </c>
      <c r="L32"/>
    </row>
    <row r="33" spans="2:12" x14ac:dyDescent="0.25">
      <c r="B33" s="60" t="s">
        <v>29</v>
      </c>
      <c r="C33" s="81">
        <v>3.04</v>
      </c>
      <c r="D33" s="81">
        <v>4.08</v>
      </c>
      <c r="E33" s="81">
        <v>4.7300000000000004</v>
      </c>
      <c r="F33" s="81">
        <v>7.57</v>
      </c>
      <c r="G33" s="82">
        <v>0</v>
      </c>
      <c r="L33"/>
    </row>
    <row r="34" spans="2:12" x14ac:dyDescent="0.25">
      <c r="B34" s="60" t="s">
        <v>30</v>
      </c>
      <c r="C34" s="81">
        <v>112.27</v>
      </c>
      <c r="D34" s="81">
        <v>184.34</v>
      </c>
      <c r="E34" s="81">
        <v>93.52</v>
      </c>
      <c r="F34" s="81">
        <v>104.2</v>
      </c>
      <c r="G34" s="82">
        <v>65.47</v>
      </c>
      <c r="L34"/>
    </row>
    <row r="35" spans="2:12" x14ac:dyDescent="0.25">
      <c r="B35" s="86" t="s">
        <v>31</v>
      </c>
      <c r="C35" s="5">
        <f>SUM(C30:C34)</f>
        <v>3032.4100000000003</v>
      </c>
      <c r="D35" s="5">
        <f>SUM(D30:D34)</f>
        <v>4097.18</v>
      </c>
      <c r="E35" s="5">
        <f>SUM(E30:E34)</f>
        <v>5370.3499999999995</v>
      </c>
      <c r="F35" s="5">
        <f>SUM(F30:F34)</f>
        <v>5720.94</v>
      </c>
      <c r="G35" s="87">
        <f>SUM(G30:G34)</f>
        <v>6387.1800000000012</v>
      </c>
      <c r="L35"/>
    </row>
    <row r="36" spans="2:12" x14ac:dyDescent="0.25">
      <c r="B36" s="62" t="s">
        <v>32</v>
      </c>
      <c r="C36" s="17"/>
      <c r="D36" s="17"/>
      <c r="E36" s="17"/>
      <c r="F36" s="17"/>
      <c r="G36" s="70"/>
      <c r="L36"/>
    </row>
    <row r="37" spans="2:12" x14ac:dyDescent="0.25">
      <c r="B37" s="60" t="s">
        <v>33</v>
      </c>
      <c r="C37" s="81">
        <v>40.06</v>
      </c>
      <c r="D37" s="81">
        <v>0</v>
      </c>
      <c r="E37" s="81">
        <v>0</v>
      </c>
      <c r="F37" s="81">
        <v>0</v>
      </c>
      <c r="G37" s="82">
        <v>0</v>
      </c>
      <c r="L37"/>
    </row>
    <row r="38" spans="2:12" x14ac:dyDescent="0.25">
      <c r="B38" s="60" t="s">
        <v>2</v>
      </c>
      <c r="C38" s="81">
        <v>754.96</v>
      </c>
      <c r="D38" s="81">
        <v>965.15</v>
      </c>
      <c r="E38" s="81">
        <v>911.35</v>
      </c>
      <c r="F38" s="81">
        <v>1112.5</v>
      </c>
      <c r="G38" s="82">
        <v>1286.51</v>
      </c>
      <c r="L38"/>
    </row>
    <row r="39" spans="2:12" x14ac:dyDescent="0.25">
      <c r="B39" s="60" t="s">
        <v>34</v>
      </c>
      <c r="C39" s="81">
        <v>712.15</v>
      </c>
      <c r="D39" s="81">
        <v>726.46</v>
      </c>
      <c r="E39" s="81">
        <v>664.3</v>
      </c>
      <c r="F39" s="81">
        <v>922.26</v>
      </c>
      <c r="G39" s="82">
        <v>1152.8699999999999</v>
      </c>
      <c r="L39"/>
    </row>
    <row r="40" spans="2:12" x14ac:dyDescent="0.25">
      <c r="B40" s="60" t="s">
        <v>35</v>
      </c>
      <c r="C40" s="81">
        <v>73.010000000000005</v>
      </c>
      <c r="D40" s="81">
        <v>59.74</v>
      </c>
      <c r="E40" s="81">
        <v>28.92</v>
      </c>
      <c r="F40" s="81">
        <v>25.51</v>
      </c>
      <c r="G40" s="82">
        <v>16.670000000000002</v>
      </c>
      <c r="L40"/>
    </row>
    <row r="41" spans="2:12" x14ac:dyDescent="0.25">
      <c r="B41" s="60" t="s">
        <v>36</v>
      </c>
      <c r="C41" s="81">
        <v>49.02</v>
      </c>
      <c r="D41" s="81">
        <v>58</v>
      </c>
      <c r="E41" s="81">
        <v>0</v>
      </c>
      <c r="F41" s="81">
        <v>0</v>
      </c>
      <c r="G41" s="82">
        <v>0</v>
      </c>
      <c r="L41"/>
    </row>
    <row r="42" spans="2:12" x14ac:dyDescent="0.25">
      <c r="B42" s="60" t="s">
        <v>37</v>
      </c>
      <c r="C42" s="81">
        <v>118.88</v>
      </c>
      <c r="D42" s="81">
        <v>155.33000000000001</v>
      </c>
      <c r="E42" s="81">
        <v>157.62</v>
      </c>
      <c r="F42" s="81">
        <v>123.81</v>
      </c>
      <c r="G42" s="82">
        <v>117.67</v>
      </c>
      <c r="L42"/>
    </row>
    <row r="43" spans="2:12" x14ac:dyDescent="0.25">
      <c r="B43" s="86" t="s">
        <v>38</v>
      </c>
      <c r="C43" s="5">
        <f>SUM(C37:C42)</f>
        <v>1748.08</v>
      </c>
      <c r="D43" s="5">
        <f>SUM(D37:D42)</f>
        <v>1964.68</v>
      </c>
      <c r="E43" s="5">
        <f>SUM(E37:E42)</f>
        <v>1762.19</v>
      </c>
      <c r="F43" s="5">
        <f>SUM(F37:F42)</f>
        <v>2184.08</v>
      </c>
      <c r="G43" s="87">
        <f>SUM(G37:G42)</f>
        <v>2573.7200000000003</v>
      </c>
      <c r="L43"/>
    </row>
    <row r="44" spans="2:12" ht="15.75" thickBot="1" x14ac:dyDescent="0.3">
      <c r="B44" s="88" t="s">
        <v>39</v>
      </c>
      <c r="C44" s="6">
        <f>C35+C43</f>
        <v>4780.49</v>
      </c>
      <c r="D44" s="6">
        <f>D35+D43</f>
        <v>6061.8600000000006</v>
      </c>
      <c r="E44" s="6">
        <f>E35+E43</f>
        <v>7132.5399999999991</v>
      </c>
      <c r="F44" s="6">
        <f>F35+F43</f>
        <v>7905.0199999999995</v>
      </c>
      <c r="G44" s="89">
        <f>G35+G43</f>
        <v>8960.9000000000015</v>
      </c>
      <c r="L44"/>
    </row>
    <row r="45" spans="2:12" ht="15.75" thickTop="1" x14ac:dyDescent="0.25">
      <c r="B45" s="60"/>
      <c r="C45" s="17"/>
      <c r="D45" s="17"/>
      <c r="E45" s="17"/>
      <c r="F45" s="17"/>
      <c r="G45" s="70"/>
      <c r="L45"/>
    </row>
    <row r="46" spans="2:12" ht="15.75" thickBot="1" x14ac:dyDescent="0.3">
      <c r="B46" s="91" t="s">
        <v>235</v>
      </c>
      <c r="C46" s="92">
        <f>C44-C23</f>
        <v>0</v>
      </c>
      <c r="D46" s="92">
        <f>D44-D23</f>
        <v>0</v>
      </c>
      <c r="E46" s="92">
        <f>E44-E23</f>
        <v>0</v>
      </c>
      <c r="F46" s="92">
        <f>F44-F23</f>
        <v>0</v>
      </c>
      <c r="G46" s="93">
        <f>G44-G23</f>
        <v>0</v>
      </c>
    </row>
  </sheetData>
  <mergeCells count="1">
    <mergeCell ref="B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F90BD-24B5-41FD-AFB2-2591FB475003}">
  <sheetPr>
    <tabColor theme="8" tint="-0.499984740745262"/>
  </sheetPr>
  <dimension ref="B1:G49"/>
  <sheetViews>
    <sheetView showGridLines="0" topLeftCell="B1" workbookViewId="0">
      <pane ySplit="2" topLeftCell="A3" activePane="bottomLeft" state="frozen"/>
      <selection activeCell="B1" sqref="B1"/>
      <selection pane="bottomLeft" activeCell="J37" sqref="J37"/>
    </sheetView>
  </sheetViews>
  <sheetFormatPr defaultRowHeight="15" x14ac:dyDescent="0.25"/>
  <cols>
    <col min="2" max="2" width="37.140625" customWidth="1"/>
    <col min="3" max="7" width="14.7109375" customWidth="1"/>
    <col min="12" max="12" width="14.7109375" customWidth="1"/>
  </cols>
  <sheetData>
    <row r="1" spans="2:7" ht="21.75" thickBot="1" x14ac:dyDescent="0.4">
      <c r="B1" s="258" t="s">
        <v>259</v>
      </c>
      <c r="C1" s="258"/>
      <c r="D1" s="258"/>
      <c r="E1" s="258"/>
      <c r="F1" s="258"/>
      <c r="G1" s="258"/>
    </row>
    <row r="2" spans="2:7" x14ac:dyDescent="0.25">
      <c r="B2" s="94" t="s">
        <v>41</v>
      </c>
      <c r="C2" s="76">
        <v>43160</v>
      </c>
      <c r="D2" s="76">
        <v>43525</v>
      </c>
      <c r="E2" s="76">
        <v>43891</v>
      </c>
      <c r="F2" s="76">
        <v>44256</v>
      </c>
      <c r="G2" s="77">
        <v>44621</v>
      </c>
    </row>
    <row r="3" spans="2:7" ht="25.5" customHeight="1" x14ac:dyDescent="0.25">
      <c r="B3" s="95" t="s">
        <v>42</v>
      </c>
      <c r="C3" s="81">
        <v>6244.28</v>
      </c>
      <c r="D3" s="81">
        <v>6800.06</v>
      </c>
      <c r="E3" s="81">
        <v>6680.37</v>
      </c>
      <c r="F3" s="81">
        <v>7541.69</v>
      </c>
      <c r="G3" s="82">
        <v>9312.6299999999992</v>
      </c>
    </row>
    <row r="4" spans="2:7" x14ac:dyDescent="0.25">
      <c r="B4" s="96" t="s">
        <v>43</v>
      </c>
      <c r="C4" s="81">
        <v>168.91</v>
      </c>
      <c r="D4" s="81">
        <v>0</v>
      </c>
      <c r="E4" s="81">
        <v>0</v>
      </c>
      <c r="F4" s="81">
        <v>0</v>
      </c>
      <c r="G4" s="82">
        <v>0</v>
      </c>
    </row>
    <row r="5" spans="2:7" x14ac:dyDescent="0.25">
      <c r="B5" s="62" t="s">
        <v>44</v>
      </c>
      <c r="C5" s="19">
        <f>C3-C4</f>
        <v>6075.37</v>
      </c>
      <c r="D5" s="19">
        <f>D3-D4</f>
        <v>6800.06</v>
      </c>
      <c r="E5" s="19">
        <f>E3-E4</f>
        <v>6680.37</v>
      </c>
      <c r="F5" s="19">
        <f>F3-F4</f>
        <v>7541.69</v>
      </c>
      <c r="G5" s="83">
        <f>G3-G4</f>
        <v>9312.6299999999992</v>
      </c>
    </row>
    <row r="6" spans="2:7" x14ac:dyDescent="0.25">
      <c r="B6" s="60" t="s">
        <v>45</v>
      </c>
      <c r="C6" s="81">
        <v>6161.34</v>
      </c>
      <c r="D6" s="81">
        <v>6831.3</v>
      </c>
      <c r="E6" s="81">
        <v>6747.86</v>
      </c>
      <c r="F6" s="81">
        <v>7572.79</v>
      </c>
      <c r="G6" s="82">
        <v>9312.6299999999992</v>
      </c>
    </row>
    <row r="7" spans="2:7" x14ac:dyDescent="0.25">
      <c r="B7" s="60" t="s">
        <v>46</v>
      </c>
      <c r="C7" s="81">
        <v>56.81</v>
      </c>
      <c r="D7" s="81">
        <v>55.3</v>
      </c>
      <c r="E7" s="81">
        <v>30.72</v>
      </c>
      <c r="F7" s="81">
        <v>31.8</v>
      </c>
      <c r="G7" s="82">
        <v>28.19</v>
      </c>
    </row>
    <row r="8" spans="2:7" ht="15.75" thickBot="1" x14ac:dyDescent="0.3">
      <c r="B8" s="88" t="s">
        <v>47</v>
      </c>
      <c r="C8" s="6">
        <f>C7+C6</f>
        <v>6218.1500000000005</v>
      </c>
      <c r="D8" s="6">
        <f>D7+D6</f>
        <v>6886.6</v>
      </c>
      <c r="E8" s="6">
        <f>E7+E6</f>
        <v>6778.58</v>
      </c>
      <c r="F8" s="6">
        <f>F7+F6</f>
        <v>7604.59</v>
      </c>
      <c r="G8" s="89">
        <f>G7+G6</f>
        <v>9340.82</v>
      </c>
    </row>
    <row r="9" spans="2:7" ht="15.75" thickTop="1" x14ac:dyDescent="0.25">
      <c r="B9" s="62" t="s">
        <v>48</v>
      </c>
      <c r="C9" s="17"/>
      <c r="D9" s="17"/>
      <c r="E9" s="17"/>
      <c r="F9" s="17"/>
      <c r="G9" s="70"/>
    </row>
    <row r="10" spans="2:7" x14ac:dyDescent="0.25">
      <c r="B10" s="60" t="s">
        <v>49</v>
      </c>
      <c r="C10" s="81">
        <v>3650.33</v>
      </c>
      <c r="D10" s="81">
        <v>4273.6400000000003</v>
      </c>
      <c r="E10" s="81">
        <v>3872.96</v>
      </c>
      <c r="F10" s="81">
        <v>4173.76</v>
      </c>
      <c r="G10" s="82">
        <v>6186.9</v>
      </c>
    </row>
    <row r="11" spans="2:7" x14ac:dyDescent="0.25">
      <c r="B11" s="60" t="s">
        <v>50</v>
      </c>
      <c r="C11" s="81">
        <v>59.88</v>
      </c>
      <c r="D11" s="81">
        <v>60.92</v>
      </c>
      <c r="E11" s="81">
        <v>19.57</v>
      </c>
      <c r="F11" s="81">
        <v>10.09</v>
      </c>
      <c r="G11" s="82">
        <v>7.56</v>
      </c>
    </row>
    <row r="12" spans="2:7" ht="27" customHeight="1" x14ac:dyDescent="0.25">
      <c r="B12" s="96" t="s">
        <v>52</v>
      </c>
      <c r="C12" s="81">
        <v>93.32</v>
      </c>
      <c r="D12" s="81">
        <v>-194.25</v>
      </c>
      <c r="E12" s="81">
        <v>12.77</v>
      </c>
      <c r="F12" s="81">
        <v>67.430000000000007</v>
      </c>
      <c r="G12" s="82">
        <v>-182.34</v>
      </c>
    </row>
    <row r="13" spans="2:7" ht="16.5" customHeight="1" x14ac:dyDescent="0.25">
      <c r="B13" s="78" t="s">
        <v>127</v>
      </c>
      <c r="C13" s="19">
        <f>SUM(C10:C12)</f>
        <v>3803.53</v>
      </c>
      <c r="D13" s="19">
        <f>SUM(D10:D12)</f>
        <v>4140.3100000000004</v>
      </c>
      <c r="E13" s="19">
        <f>SUM(E10:E12)</f>
        <v>3905.3</v>
      </c>
      <c r="F13" s="19">
        <f>SUM(F10:F12)</f>
        <v>4251.2800000000007</v>
      </c>
      <c r="G13" s="83">
        <f>SUM(G10:G12)</f>
        <v>6012.12</v>
      </c>
    </row>
    <row r="14" spans="2:7" ht="16.5" customHeight="1" x14ac:dyDescent="0.25">
      <c r="B14" s="78" t="s">
        <v>214</v>
      </c>
      <c r="C14" s="19">
        <f>C6-C13</f>
        <v>2357.81</v>
      </c>
      <c r="D14" s="19">
        <f>D6-D13</f>
        <v>2690.99</v>
      </c>
      <c r="E14" s="19">
        <f>E6-E13</f>
        <v>2842.5599999999995</v>
      </c>
      <c r="F14" s="19">
        <f>F6-F13</f>
        <v>3321.5099999999993</v>
      </c>
      <c r="G14" s="83">
        <f>G6-G13</f>
        <v>3300.5099999999993</v>
      </c>
    </row>
    <row r="15" spans="2:7" ht="17.25" customHeight="1" x14ac:dyDescent="0.25">
      <c r="B15" s="60" t="s">
        <v>51</v>
      </c>
      <c r="C15" s="81">
        <v>0</v>
      </c>
      <c r="D15" s="81">
        <v>0</v>
      </c>
      <c r="E15" s="81">
        <v>0</v>
      </c>
      <c r="F15" s="81">
        <v>0</v>
      </c>
      <c r="G15" s="82">
        <v>0</v>
      </c>
    </row>
    <row r="16" spans="2:7" x14ac:dyDescent="0.25">
      <c r="B16" s="60" t="s">
        <v>53</v>
      </c>
      <c r="C16" s="81">
        <v>413.11</v>
      </c>
      <c r="D16" s="81">
        <v>491.95</v>
      </c>
      <c r="E16" s="81">
        <v>534.09</v>
      </c>
      <c r="F16" s="81">
        <v>667.13</v>
      </c>
      <c r="G16" s="82">
        <v>684.26</v>
      </c>
    </row>
    <row r="17" spans="2:7" x14ac:dyDescent="0.25">
      <c r="B17" s="60" t="s">
        <v>54</v>
      </c>
      <c r="C17" s="81">
        <v>86.45</v>
      </c>
      <c r="D17" s="81">
        <v>64.52</v>
      </c>
      <c r="E17" s="81">
        <v>149.05000000000001</v>
      </c>
      <c r="F17" s="81">
        <v>173.05</v>
      </c>
      <c r="G17" s="82">
        <v>203.97</v>
      </c>
    </row>
    <row r="18" spans="2:7" x14ac:dyDescent="0.25">
      <c r="B18" s="60" t="s">
        <v>55</v>
      </c>
      <c r="C18" s="81">
        <v>161.68</v>
      </c>
      <c r="D18" s="81">
        <v>174.3</v>
      </c>
      <c r="E18" s="81">
        <v>277.11</v>
      </c>
      <c r="F18" s="81">
        <v>339.58</v>
      </c>
      <c r="G18" s="82">
        <v>435.14</v>
      </c>
    </row>
    <row r="19" spans="2:7" x14ac:dyDescent="0.25">
      <c r="B19" s="60" t="s">
        <v>56</v>
      </c>
      <c r="C19" s="81">
        <v>1317.32</v>
      </c>
      <c r="D19" s="81">
        <v>1561.51</v>
      </c>
      <c r="E19" s="81">
        <v>1590.82</v>
      </c>
      <c r="F19" s="81">
        <v>1680.59</v>
      </c>
      <c r="G19" s="82">
        <v>1915.18</v>
      </c>
    </row>
    <row r="20" spans="2:7" x14ac:dyDescent="0.25">
      <c r="B20" s="86" t="s">
        <v>57</v>
      </c>
      <c r="C20" s="5">
        <f>SUM(C13+C15+C16+C17+C18+C19)</f>
        <v>5782.09</v>
      </c>
      <c r="D20" s="5">
        <f>SUM(D13+D15+D16+D17+D18+D19)</f>
        <v>6432.5900000000011</v>
      </c>
      <c r="E20" s="5">
        <f>SUM(E13+E15+E16+E17+E18+E19)</f>
        <v>6456.37</v>
      </c>
      <c r="F20" s="5">
        <f>SUM(F13+F15+F16+F17+F18+F19)</f>
        <v>7111.630000000001</v>
      </c>
      <c r="G20" s="87">
        <f>SUM(G13+G15+G16+G17+G18+G19)</f>
        <v>9250.67</v>
      </c>
    </row>
    <row r="21" spans="2:7" x14ac:dyDescent="0.25">
      <c r="B21" s="62" t="s">
        <v>215</v>
      </c>
      <c r="C21" s="19">
        <f>C14-C16-C17-C19</f>
        <v>540.92999999999984</v>
      </c>
      <c r="D21" s="19">
        <f>D14-D16-D17-D19</f>
        <v>573.01</v>
      </c>
      <c r="E21" s="19">
        <f>E14-E16-E17-E19</f>
        <v>568.59999999999923</v>
      </c>
      <c r="F21" s="19">
        <f>F14-F16-F17-F19</f>
        <v>800.7399999999991</v>
      </c>
      <c r="G21" s="83">
        <f>G14-G16-G17-G19</f>
        <v>497.09999999999923</v>
      </c>
    </row>
    <row r="22" spans="2:7" x14ac:dyDescent="0.25">
      <c r="B22" s="62" t="s">
        <v>216</v>
      </c>
      <c r="C22" s="19">
        <f>C21-C18</f>
        <v>379.24999999999983</v>
      </c>
      <c r="D22" s="19">
        <f>D21-D18</f>
        <v>398.71</v>
      </c>
      <c r="E22" s="19">
        <f>E21-E18</f>
        <v>291.48999999999921</v>
      </c>
      <c r="F22" s="19">
        <f>F21-F18</f>
        <v>461.15999999999912</v>
      </c>
      <c r="G22" s="83">
        <f>G21-G18</f>
        <v>61.959999999999241</v>
      </c>
    </row>
    <row r="23" spans="2:7" ht="30" x14ac:dyDescent="0.25">
      <c r="B23" s="96" t="s">
        <v>58</v>
      </c>
      <c r="C23" s="81">
        <v>436.06</v>
      </c>
      <c r="D23" s="81">
        <v>454.01</v>
      </c>
      <c r="E23" s="81">
        <v>322.20999999999998</v>
      </c>
      <c r="F23" s="81">
        <v>492.96</v>
      </c>
      <c r="G23" s="82">
        <v>90.15</v>
      </c>
    </row>
    <row r="24" spans="2:7" x14ac:dyDescent="0.25">
      <c r="B24" s="60" t="s">
        <v>59</v>
      </c>
      <c r="C24" s="81">
        <v>-26.4</v>
      </c>
      <c r="D24" s="81">
        <v>-44.24</v>
      </c>
      <c r="E24" s="81">
        <v>-29.84</v>
      </c>
      <c r="F24" s="81">
        <v>-34.06</v>
      </c>
      <c r="G24" s="82">
        <v>-12.91</v>
      </c>
    </row>
    <row r="25" spans="2:7" x14ac:dyDescent="0.25">
      <c r="B25" s="86" t="s">
        <v>60</v>
      </c>
      <c r="C25" s="5">
        <f>SUM(C23:C24)</f>
        <v>409.66</v>
      </c>
      <c r="D25" s="5">
        <f>SUM(D23:D24)</f>
        <v>409.77</v>
      </c>
      <c r="E25" s="5">
        <f>SUM(E23:E24)</f>
        <v>292.37</v>
      </c>
      <c r="F25" s="5">
        <f>SUM(F23:F24)</f>
        <v>458.9</v>
      </c>
      <c r="G25" s="87">
        <f>SUM(G23:G24)</f>
        <v>77.240000000000009</v>
      </c>
    </row>
    <row r="26" spans="2:7" x14ac:dyDescent="0.25">
      <c r="B26" s="60" t="s">
        <v>61</v>
      </c>
      <c r="C26" s="17"/>
      <c r="D26" s="17"/>
      <c r="E26" s="17"/>
      <c r="F26" s="17"/>
      <c r="G26" s="70"/>
    </row>
    <row r="27" spans="2:7" x14ac:dyDescent="0.25">
      <c r="B27" s="60" t="s">
        <v>62</v>
      </c>
      <c r="C27" s="81">
        <v>104.08</v>
      </c>
      <c r="D27" s="81">
        <v>90.09</v>
      </c>
      <c r="E27" s="81">
        <v>74.010000000000005</v>
      </c>
      <c r="F27" s="81">
        <v>36.6</v>
      </c>
      <c r="G27" s="82">
        <v>22.91</v>
      </c>
    </row>
    <row r="28" spans="2:7" x14ac:dyDescent="0.25">
      <c r="B28" s="60" t="s">
        <v>63</v>
      </c>
      <c r="C28" s="81">
        <v>0</v>
      </c>
      <c r="D28" s="81">
        <v>0</v>
      </c>
      <c r="E28" s="81">
        <v>0</v>
      </c>
      <c r="F28" s="81">
        <v>0</v>
      </c>
      <c r="G28" s="82">
        <v>0</v>
      </c>
    </row>
    <row r="29" spans="2:7" x14ac:dyDescent="0.25">
      <c r="B29" s="60" t="s">
        <v>64</v>
      </c>
      <c r="C29" s="81">
        <v>26.86</v>
      </c>
      <c r="D29" s="81">
        <v>30.77</v>
      </c>
      <c r="E29" s="81">
        <v>-6.25</v>
      </c>
      <c r="F29" s="81">
        <v>8.66</v>
      </c>
      <c r="G29" s="82">
        <v>0</v>
      </c>
    </row>
    <row r="30" spans="2:7" x14ac:dyDescent="0.25">
      <c r="B30" s="60" t="s">
        <v>65</v>
      </c>
      <c r="C30" s="81">
        <v>0</v>
      </c>
      <c r="D30" s="81">
        <v>0</v>
      </c>
      <c r="E30" s="81">
        <v>0</v>
      </c>
      <c r="F30" s="81">
        <v>0</v>
      </c>
      <c r="G30" s="82">
        <v>0</v>
      </c>
    </row>
    <row r="31" spans="2:7" x14ac:dyDescent="0.25">
      <c r="B31" s="62" t="s">
        <v>66</v>
      </c>
      <c r="C31" s="19">
        <f>SUM(C27:C30)</f>
        <v>130.94</v>
      </c>
      <c r="D31" s="19">
        <f>SUM(D27:D30)</f>
        <v>120.86</v>
      </c>
      <c r="E31" s="19">
        <f>SUM(E27:E30)</f>
        <v>67.760000000000005</v>
      </c>
      <c r="F31" s="19">
        <f>SUM(F27:F30)</f>
        <v>45.260000000000005</v>
      </c>
      <c r="G31" s="83">
        <f>SUM(G27:G30)</f>
        <v>22.91</v>
      </c>
    </row>
    <row r="32" spans="2:7" ht="30.75" thickBot="1" x14ac:dyDescent="0.3">
      <c r="B32" s="97" t="s">
        <v>67</v>
      </c>
      <c r="C32" s="6">
        <f>C25-C31</f>
        <v>278.72000000000003</v>
      </c>
      <c r="D32" s="6">
        <f>D25-D31</f>
        <v>288.90999999999997</v>
      </c>
      <c r="E32" s="6">
        <f>E25-E31</f>
        <v>224.61</v>
      </c>
      <c r="F32" s="6">
        <f>F25-F31</f>
        <v>413.64</v>
      </c>
      <c r="G32" s="89">
        <f>G25-G31</f>
        <v>54.330000000000013</v>
      </c>
    </row>
    <row r="33" spans="2:7" ht="30.75" thickTop="1" x14ac:dyDescent="0.25">
      <c r="B33" s="96" t="s">
        <v>68</v>
      </c>
      <c r="C33" s="98">
        <f t="shared" ref="C33:E34" si="0">C32</f>
        <v>278.72000000000003</v>
      </c>
      <c r="D33" s="98">
        <f t="shared" si="0"/>
        <v>288.90999999999997</v>
      </c>
      <c r="E33" s="98">
        <f t="shared" si="0"/>
        <v>224.61</v>
      </c>
      <c r="F33" s="98">
        <f>F32</f>
        <v>413.64</v>
      </c>
      <c r="G33" s="99">
        <f>G32</f>
        <v>54.330000000000013</v>
      </c>
    </row>
    <row r="34" spans="2:7" x14ac:dyDescent="0.25">
      <c r="B34" s="60" t="s">
        <v>69</v>
      </c>
      <c r="C34" s="98">
        <f t="shared" si="0"/>
        <v>278.72000000000003</v>
      </c>
      <c r="D34" s="98">
        <f t="shared" si="0"/>
        <v>288.90999999999997</v>
      </c>
      <c r="E34" s="98">
        <f t="shared" si="0"/>
        <v>224.61</v>
      </c>
      <c r="F34" s="98">
        <f>F33</f>
        <v>413.64</v>
      </c>
      <c r="G34" s="99">
        <f>G33</f>
        <v>54.330000000000013</v>
      </c>
    </row>
    <row r="35" spans="2:7" x14ac:dyDescent="0.25">
      <c r="B35" s="60"/>
      <c r="C35" s="17"/>
      <c r="D35" s="17"/>
      <c r="E35" s="17"/>
      <c r="F35" s="17"/>
      <c r="G35" s="70"/>
    </row>
    <row r="36" spans="2:7" x14ac:dyDescent="0.25">
      <c r="B36" s="60" t="s">
        <v>70</v>
      </c>
      <c r="C36" s="17"/>
      <c r="D36" s="17"/>
      <c r="E36" s="17"/>
      <c r="F36" s="17"/>
      <c r="G36" s="70"/>
    </row>
    <row r="37" spans="2:7" x14ac:dyDescent="0.25">
      <c r="B37" s="60" t="s">
        <v>71</v>
      </c>
      <c r="C37" s="81"/>
      <c r="D37" s="81"/>
      <c r="E37" s="81"/>
      <c r="F37" s="81"/>
      <c r="G37" s="82"/>
    </row>
    <row r="38" spans="2:7" x14ac:dyDescent="0.25">
      <c r="B38" s="60" t="s">
        <v>72</v>
      </c>
      <c r="C38" s="81">
        <v>68.900000000000006</v>
      </c>
      <c r="D38" s="81">
        <v>71.42</v>
      </c>
      <c r="E38" s="81">
        <v>55.53</v>
      </c>
      <c r="F38" s="81">
        <v>102.26</v>
      </c>
      <c r="G38" s="82">
        <v>13.43</v>
      </c>
    </row>
    <row r="39" spans="2:7" x14ac:dyDescent="0.25">
      <c r="B39" s="60" t="s">
        <v>73</v>
      </c>
      <c r="C39" s="81">
        <v>68.900000000000006</v>
      </c>
      <c r="D39" s="81">
        <v>71.42</v>
      </c>
      <c r="E39" s="81">
        <v>55.53</v>
      </c>
      <c r="F39" s="81">
        <v>102.26</v>
      </c>
      <c r="G39" s="82">
        <v>13.43</v>
      </c>
    </row>
    <row r="40" spans="2:7" ht="15.75" thickBot="1" x14ac:dyDescent="0.3">
      <c r="B40" s="100"/>
      <c r="C40" s="101"/>
      <c r="D40" s="101"/>
      <c r="E40" s="101"/>
      <c r="F40" s="101"/>
      <c r="G40" s="102"/>
    </row>
    <row r="41" spans="2:7" x14ac:dyDescent="0.25">
      <c r="C41" s="4"/>
      <c r="D41" s="4"/>
      <c r="E41" s="4"/>
      <c r="F41" s="4"/>
      <c r="G41" s="4"/>
    </row>
    <row r="42" spans="2:7" x14ac:dyDescent="0.25">
      <c r="C42" s="4"/>
      <c r="D42" s="4"/>
      <c r="E42" s="4"/>
      <c r="F42" s="4"/>
      <c r="G42" s="4"/>
    </row>
    <row r="43" spans="2:7" x14ac:dyDescent="0.25">
      <c r="C43" s="4"/>
      <c r="D43" s="4"/>
      <c r="E43" s="4"/>
      <c r="F43" s="4"/>
      <c r="G43" s="4"/>
    </row>
    <row r="44" spans="2:7" x14ac:dyDescent="0.25">
      <c r="C44" s="4"/>
      <c r="D44" s="4"/>
      <c r="E44" s="4"/>
      <c r="F44" s="4"/>
      <c r="G44" s="4"/>
    </row>
    <row r="45" spans="2:7" x14ac:dyDescent="0.25">
      <c r="C45" s="4"/>
      <c r="D45" s="4"/>
      <c r="E45" s="4"/>
      <c r="F45" s="4"/>
      <c r="G45" s="4"/>
    </row>
    <row r="46" spans="2:7" x14ac:dyDescent="0.25">
      <c r="C46" s="4"/>
      <c r="D46" s="4"/>
      <c r="E46" s="4"/>
      <c r="F46" s="4"/>
      <c r="G46" s="4"/>
    </row>
    <row r="47" spans="2:7" x14ac:dyDescent="0.25">
      <c r="C47" s="4"/>
      <c r="D47" s="4"/>
      <c r="E47" s="4"/>
      <c r="F47" s="4"/>
      <c r="G47" s="4"/>
    </row>
    <row r="48" spans="2:7" x14ac:dyDescent="0.25">
      <c r="C48" s="4"/>
      <c r="D48" s="4"/>
      <c r="E48" s="4"/>
      <c r="F48" s="4"/>
      <c r="G48" s="4"/>
    </row>
    <row r="49" spans="3:7" x14ac:dyDescent="0.25">
      <c r="C49" s="7"/>
      <c r="D49" s="4"/>
      <c r="E49" s="4"/>
      <c r="F49" s="4"/>
      <c r="G49" s="4"/>
    </row>
  </sheetData>
  <sortState ref="G2:K2">
    <sortCondition ref="G2"/>
  </sortState>
  <mergeCells count="1">
    <mergeCell ref="B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797A-3C0E-4036-BB20-768320675B27}">
  <sheetPr>
    <tabColor theme="7" tint="-0.499984740745262"/>
  </sheetPr>
  <dimension ref="B1:H39"/>
  <sheetViews>
    <sheetView showGridLines="0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I1" sqref="I1"/>
    </sheetView>
  </sheetViews>
  <sheetFormatPr defaultRowHeight="15" x14ac:dyDescent="0.25"/>
  <cols>
    <col min="2" max="2" width="35.42578125" customWidth="1"/>
  </cols>
  <sheetData>
    <row r="1" spans="2:7" ht="25.5" customHeight="1" thickBot="1" x14ac:dyDescent="0.4">
      <c r="B1" s="260" t="s">
        <v>108</v>
      </c>
      <c r="C1" s="261"/>
      <c r="D1" s="261"/>
      <c r="E1" s="261"/>
      <c r="F1" s="261"/>
      <c r="G1" s="262"/>
    </row>
    <row r="2" spans="2:7" x14ac:dyDescent="0.25">
      <c r="B2" s="103" t="s">
        <v>41</v>
      </c>
      <c r="C2" s="76">
        <v>43160</v>
      </c>
      <c r="D2" s="76">
        <v>43525</v>
      </c>
      <c r="E2" s="76">
        <v>43891</v>
      </c>
      <c r="F2" s="76">
        <v>44256</v>
      </c>
      <c r="G2" s="77">
        <v>44621</v>
      </c>
    </row>
    <row r="3" spans="2:7" x14ac:dyDescent="0.25">
      <c r="B3" s="78" t="s">
        <v>74</v>
      </c>
      <c r="C3" s="17"/>
      <c r="D3" s="17"/>
      <c r="E3" s="17"/>
      <c r="F3" s="18"/>
      <c r="G3" s="70"/>
    </row>
    <row r="4" spans="2:7" x14ac:dyDescent="0.25">
      <c r="B4" s="96" t="s">
        <v>75</v>
      </c>
      <c r="C4" s="17">
        <v>626</v>
      </c>
      <c r="D4" s="17">
        <v>617</v>
      </c>
      <c r="E4" s="17">
        <v>711</v>
      </c>
      <c r="F4" s="17">
        <v>967</v>
      </c>
      <c r="G4" s="70">
        <v>705</v>
      </c>
    </row>
    <row r="5" spans="2:7" x14ac:dyDescent="0.25">
      <c r="B5" s="96" t="s">
        <v>76</v>
      </c>
      <c r="C5" s="17">
        <v>-121</v>
      </c>
      <c r="D5" s="17">
        <v>-17</v>
      </c>
      <c r="E5" s="17">
        <v>41</v>
      </c>
      <c r="F5" s="17">
        <v>-262</v>
      </c>
      <c r="G5" s="70">
        <v>-227</v>
      </c>
    </row>
    <row r="6" spans="2:7" x14ac:dyDescent="0.25">
      <c r="B6" s="96" t="s">
        <v>77</v>
      </c>
      <c r="C6" s="17">
        <v>167</v>
      </c>
      <c r="D6" s="17">
        <v>-211</v>
      </c>
      <c r="E6" s="17">
        <v>72</v>
      </c>
      <c r="F6" s="17">
        <v>-205</v>
      </c>
      <c r="G6" s="70">
        <v>-173</v>
      </c>
    </row>
    <row r="7" spans="2:7" x14ac:dyDescent="0.25">
      <c r="B7" s="96" t="s">
        <v>78</v>
      </c>
      <c r="C7" s="17">
        <v>96</v>
      </c>
      <c r="D7" s="17">
        <v>191</v>
      </c>
      <c r="E7" s="17">
        <v>136</v>
      </c>
      <c r="F7" s="17">
        <v>758</v>
      </c>
      <c r="G7" s="70">
        <v>320</v>
      </c>
    </row>
    <row r="8" spans="2:7" x14ac:dyDescent="0.25">
      <c r="B8" s="96" t="s">
        <v>79</v>
      </c>
      <c r="C8" s="17">
        <v>0</v>
      </c>
      <c r="D8" s="17">
        <v>0</v>
      </c>
      <c r="E8" s="17">
        <v>0</v>
      </c>
      <c r="F8" s="17">
        <v>0</v>
      </c>
      <c r="G8" s="70">
        <v>10</v>
      </c>
    </row>
    <row r="9" spans="2:7" x14ac:dyDescent="0.25">
      <c r="B9" s="96" t="s">
        <v>80</v>
      </c>
      <c r="C9" s="17">
        <v>71</v>
      </c>
      <c r="D9" s="17">
        <v>31</v>
      </c>
      <c r="E9" s="17">
        <v>24</v>
      </c>
      <c r="F9" s="17">
        <v>138</v>
      </c>
      <c r="G9" s="70">
        <v>12</v>
      </c>
    </row>
    <row r="10" spans="2:7" x14ac:dyDescent="0.25">
      <c r="B10" s="104" t="s">
        <v>81</v>
      </c>
      <c r="C10" s="11">
        <f>SUM(C5:C9)</f>
        <v>213</v>
      </c>
      <c r="D10" s="11">
        <f>SUM(D5:D9)</f>
        <v>-6</v>
      </c>
      <c r="E10" s="11">
        <f>SUM(E5:E9)</f>
        <v>273</v>
      </c>
      <c r="F10" s="11">
        <f>SUM(F5:F9)</f>
        <v>429</v>
      </c>
      <c r="G10" s="105">
        <f>SUM(G5:G9)</f>
        <v>-58</v>
      </c>
    </row>
    <row r="11" spans="2:7" x14ac:dyDescent="0.25">
      <c r="B11" s="78"/>
      <c r="C11" s="19"/>
      <c r="D11" s="19"/>
      <c r="E11" s="19"/>
      <c r="F11" s="19"/>
      <c r="G11" s="83"/>
    </row>
    <row r="12" spans="2:7" x14ac:dyDescent="0.25">
      <c r="B12" s="96" t="s">
        <v>82</v>
      </c>
      <c r="C12" s="17">
        <v>-96</v>
      </c>
      <c r="D12" s="17">
        <v>-78</v>
      </c>
      <c r="E12" s="17">
        <v>-15</v>
      </c>
      <c r="F12" s="17">
        <v>-46</v>
      </c>
      <c r="G12" s="70">
        <v>-15</v>
      </c>
    </row>
    <row r="13" spans="2:7" ht="30" x14ac:dyDescent="0.25">
      <c r="B13" s="106" t="s">
        <v>104</v>
      </c>
      <c r="C13" s="10">
        <f>C4+C10+C12</f>
        <v>743</v>
      </c>
      <c r="D13" s="10">
        <f>D4+D10+D12</f>
        <v>533</v>
      </c>
      <c r="E13" s="10">
        <f>E4+E10+E12</f>
        <v>969</v>
      </c>
      <c r="F13" s="10">
        <f>F4+F10+F12</f>
        <v>1350</v>
      </c>
      <c r="G13" s="107">
        <f>G4+G10+G12</f>
        <v>632</v>
      </c>
    </row>
    <row r="14" spans="2:7" x14ac:dyDescent="0.25">
      <c r="B14" s="62" t="s">
        <v>83</v>
      </c>
      <c r="C14" s="19"/>
      <c r="D14" s="20"/>
      <c r="E14" s="20"/>
      <c r="F14" s="19"/>
      <c r="G14" s="83"/>
    </row>
    <row r="15" spans="2:7" x14ac:dyDescent="0.25">
      <c r="B15" s="60" t="s">
        <v>84</v>
      </c>
      <c r="C15" s="17">
        <v>-404</v>
      </c>
      <c r="D15" s="18">
        <v>-1062</v>
      </c>
      <c r="E15" s="18">
        <v>-1171</v>
      </c>
      <c r="F15" s="17">
        <v>-643</v>
      </c>
      <c r="G15" s="70">
        <v>-959</v>
      </c>
    </row>
    <row r="16" spans="2:7" x14ac:dyDescent="0.25">
      <c r="B16" s="60" t="s">
        <v>85</v>
      </c>
      <c r="C16" s="17">
        <v>0</v>
      </c>
      <c r="D16" s="17">
        <v>0</v>
      </c>
      <c r="E16" s="17">
        <v>8</v>
      </c>
      <c r="F16" s="17">
        <v>0</v>
      </c>
      <c r="G16" s="70">
        <v>3</v>
      </c>
    </row>
    <row r="17" spans="2:8" x14ac:dyDescent="0.25">
      <c r="B17" s="60" t="s">
        <v>86</v>
      </c>
      <c r="C17" s="17">
        <v>0</v>
      </c>
      <c r="D17" s="17">
        <v>0</v>
      </c>
      <c r="E17" s="17">
        <v>-4</v>
      </c>
      <c r="F17" s="17">
        <v>0</v>
      </c>
      <c r="G17" s="70">
        <v>-4</v>
      </c>
    </row>
    <row r="18" spans="2:8" x14ac:dyDescent="0.25">
      <c r="B18" s="60" t="s">
        <v>87</v>
      </c>
      <c r="C18" s="17">
        <v>35</v>
      </c>
      <c r="D18" s="17">
        <v>41</v>
      </c>
      <c r="E18" s="17">
        <v>0</v>
      </c>
      <c r="F18" s="17">
        <v>0</v>
      </c>
      <c r="G18" s="70">
        <v>0</v>
      </c>
    </row>
    <row r="19" spans="2:8" x14ac:dyDescent="0.25">
      <c r="B19" s="60" t="s">
        <v>88</v>
      </c>
      <c r="C19" s="17">
        <v>14</v>
      </c>
      <c r="D19" s="17">
        <v>6</v>
      </c>
      <c r="E19" s="17">
        <v>32</v>
      </c>
      <c r="F19" s="17">
        <v>5</v>
      </c>
      <c r="G19" s="70">
        <v>3</v>
      </c>
    </row>
    <row r="20" spans="2:8" x14ac:dyDescent="0.25">
      <c r="B20" s="60" t="s">
        <v>89</v>
      </c>
      <c r="C20" s="17">
        <v>19</v>
      </c>
      <c r="D20" s="17">
        <v>7</v>
      </c>
      <c r="E20" s="17">
        <v>10</v>
      </c>
      <c r="F20" s="17">
        <v>18</v>
      </c>
      <c r="G20" s="70">
        <v>8</v>
      </c>
    </row>
    <row r="21" spans="2:8" x14ac:dyDescent="0.25">
      <c r="B21" s="60" t="s">
        <v>90</v>
      </c>
      <c r="C21" s="17">
        <v>-86</v>
      </c>
      <c r="D21" s="17">
        <v>-33</v>
      </c>
      <c r="E21" s="17">
        <v>-3</v>
      </c>
      <c r="F21" s="17">
        <v>-7</v>
      </c>
      <c r="G21" s="70">
        <v>-4</v>
      </c>
    </row>
    <row r="22" spans="2:8" x14ac:dyDescent="0.25">
      <c r="B22" s="60" t="s">
        <v>91</v>
      </c>
      <c r="C22" s="17">
        <v>-197</v>
      </c>
      <c r="D22" s="17">
        <v>-196</v>
      </c>
      <c r="E22" s="17">
        <v>0</v>
      </c>
      <c r="F22" s="17">
        <v>0</v>
      </c>
      <c r="G22" s="70">
        <v>0</v>
      </c>
    </row>
    <row r="23" spans="2:8" x14ac:dyDescent="0.25">
      <c r="B23" s="60" t="s">
        <v>92</v>
      </c>
      <c r="C23" s="17">
        <v>0</v>
      </c>
      <c r="D23" s="17">
        <v>0</v>
      </c>
      <c r="E23" s="17">
        <v>0</v>
      </c>
      <c r="F23" s="17">
        <v>0</v>
      </c>
      <c r="G23" s="70">
        <v>0</v>
      </c>
    </row>
    <row r="24" spans="2:8" x14ac:dyDescent="0.25">
      <c r="B24" s="60" t="s">
        <v>93</v>
      </c>
      <c r="C24" s="17">
        <v>198</v>
      </c>
      <c r="D24" s="17">
        <v>185</v>
      </c>
      <c r="E24" s="17">
        <v>0</v>
      </c>
      <c r="F24" s="17">
        <v>1</v>
      </c>
      <c r="G24" s="70">
        <v>3</v>
      </c>
    </row>
    <row r="25" spans="2:8" ht="24" customHeight="1" x14ac:dyDescent="0.25">
      <c r="B25" s="106" t="s">
        <v>105</v>
      </c>
      <c r="C25" s="9">
        <f>SUM(C15:C24)</f>
        <v>-421</v>
      </c>
      <c r="D25" s="9">
        <f>SUM(D15:D24)</f>
        <v>-1052</v>
      </c>
      <c r="E25" s="9">
        <f>SUM(E15:E24)</f>
        <v>-1128</v>
      </c>
      <c r="F25" s="9">
        <f>SUM(F15:F24)</f>
        <v>-626</v>
      </c>
      <c r="G25" s="108">
        <f>SUM(G15:G24)</f>
        <v>-950</v>
      </c>
    </row>
    <row r="26" spans="2:8" x14ac:dyDescent="0.25">
      <c r="B26" s="62" t="s">
        <v>94</v>
      </c>
      <c r="C26" s="21"/>
      <c r="D26" s="21"/>
      <c r="E26" s="21"/>
      <c r="F26" s="21"/>
      <c r="G26" s="109"/>
      <c r="H26" s="1"/>
    </row>
    <row r="27" spans="2:8" x14ac:dyDescent="0.25">
      <c r="B27" s="60" t="s">
        <v>95</v>
      </c>
      <c r="C27" s="17">
        <v>0</v>
      </c>
      <c r="D27" s="17">
        <v>0</v>
      </c>
      <c r="E27" s="17">
        <v>0</v>
      </c>
      <c r="F27" s="17">
        <v>0</v>
      </c>
      <c r="G27" s="70">
        <v>0</v>
      </c>
    </row>
    <row r="28" spans="2:8" x14ac:dyDescent="0.25">
      <c r="B28" s="60" t="s">
        <v>96</v>
      </c>
      <c r="C28" s="17">
        <v>350</v>
      </c>
      <c r="D28" s="18">
        <v>1094</v>
      </c>
      <c r="E28" s="17">
        <v>470</v>
      </c>
      <c r="F28" s="17">
        <v>262</v>
      </c>
      <c r="G28" s="70">
        <v>730</v>
      </c>
    </row>
    <row r="29" spans="2:8" x14ac:dyDescent="0.25">
      <c r="B29" s="60" t="s">
        <v>97</v>
      </c>
      <c r="C29" s="17">
        <v>-484</v>
      </c>
      <c r="D29" s="17">
        <v>-475</v>
      </c>
      <c r="E29" s="17">
        <v>-50</v>
      </c>
      <c r="F29" s="17">
        <v>-773</v>
      </c>
      <c r="G29" s="70">
        <v>-56</v>
      </c>
    </row>
    <row r="30" spans="2:8" x14ac:dyDescent="0.25">
      <c r="B30" s="60" t="s">
        <v>98</v>
      </c>
      <c r="C30" s="17">
        <v>0</v>
      </c>
      <c r="D30" s="17">
        <v>0</v>
      </c>
      <c r="E30" s="17">
        <v>0</v>
      </c>
      <c r="F30" s="17">
        <v>0</v>
      </c>
      <c r="G30" s="70">
        <v>0</v>
      </c>
    </row>
    <row r="31" spans="2:8" x14ac:dyDescent="0.25">
      <c r="B31" s="60" t="s">
        <v>99</v>
      </c>
      <c r="C31" s="17">
        <v>-82</v>
      </c>
      <c r="D31" s="17">
        <v>-63</v>
      </c>
      <c r="E31" s="17">
        <v>-135</v>
      </c>
      <c r="F31" s="17">
        <v>-160</v>
      </c>
      <c r="G31" s="70">
        <v>-191</v>
      </c>
    </row>
    <row r="32" spans="2:8" x14ac:dyDescent="0.25">
      <c r="B32" s="60" t="s">
        <v>100</v>
      </c>
      <c r="C32" s="17">
        <v>-47</v>
      </c>
      <c r="D32" s="17">
        <v>-44</v>
      </c>
      <c r="E32" s="17">
        <v>-96</v>
      </c>
      <c r="F32" s="17">
        <v>0</v>
      </c>
      <c r="G32" s="70">
        <v>-75</v>
      </c>
    </row>
    <row r="33" spans="2:7" x14ac:dyDescent="0.25">
      <c r="B33" s="60" t="s">
        <v>101</v>
      </c>
      <c r="C33" s="17">
        <v>0</v>
      </c>
      <c r="D33" s="17">
        <v>0</v>
      </c>
      <c r="E33" s="17">
        <v>-46</v>
      </c>
      <c r="F33" s="17">
        <v>-56</v>
      </c>
      <c r="G33" s="70">
        <v>-194</v>
      </c>
    </row>
    <row r="34" spans="2:7" x14ac:dyDescent="0.25">
      <c r="B34" s="60" t="s">
        <v>102</v>
      </c>
      <c r="C34" s="17">
        <v>-6</v>
      </c>
      <c r="D34" s="17">
        <v>-8</v>
      </c>
      <c r="E34" s="17">
        <v>-18</v>
      </c>
      <c r="F34" s="17">
        <v>0</v>
      </c>
      <c r="G34" s="70">
        <v>97</v>
      </c>
    </row>
    <row r="35" spans="2:7" x14ac:dyDescent="0.25">
      <c r="B35" s="60" t="s">
        <v>103</v>
      </c>
      <c r="C35" s="17">
        <v>55</v>
      </c>
      <c r="D35" s="17">
        <v>-15</v>
      </c>
      <c r="E35" s="17">
        <v>-34</v>
      </c>
      <c r="F35" s="17">
        <v>-3</v>
      </c>
      <c r="G35" s="70">
        <v>-7</v>
      </c>
    </row>
    <row r="36" spans="2:7" ht="17.25" customHeight="1" x14ac:dyDescent="0.25">
      <c r="B36" s="110" t="s">
        <v>106</v>
      </c>
      <c r="C36" s="10">
        <f>SUM(C27:C35)</f>
        <v>-214</v>
      </c>
      <c r="D36" s="10">
        <f>SUM(D27:D35)</f>
        <v>489</v>
      </c>
      <c r="E36" s="10">
        <f>SUM(E27:E35)</f>
        <v>91</v>
      </c>
      <c r="F36" s="10">
        <f>SUM(F27:F35)</f>
        <v>-730</v>
      </c>
      <c r="G36" s="107">
        <f>SUM(G27:G35)</f>
        <v>304</v>
      </c>
    </row>
    <row r="37" spans="2:7" x14ac:dyDescent="0.25">
      <c r="B37" s="60"/>
      <c r="C37" s="17"/>
      <c r="D37" s="17"/>
      <c r="E37" s="17"/>
      <c r="F37" s="17"/>
      <c r="G37" s="70"/>
    </row>
    <row r="38" spans="2:7" ht="15.75" thickBot="1" x14ac:dyDescent="0.3">
      <c r="B38" s="111" t="s">
        <v>107</v>
      </c>
      <c r="C38" s="12">
        <f>C36+C25+C13</f>
        <v>108</v>
      </c>
      <c r="D38" s="12">
        <f>D36+D25+D13</f>
        <v>-30</v>
      </c>
      <c r="E38" s="12">
        <f>E36+E25+E13</f>
        <v>-68</v>
      </c>
      <c r="F38" s="12">
        <f>F36+F25+F13</f>
        <v>-6</v>
      </c>
      <c r="G38" s="112">
        <f>G36+G25+G13</f>
        <v>-14</v>
      </c>
    </row>
    <row r="39" spans="2:7" ht="16.5" thickTop="1" thickBot="1" x14ac:dyDescent="0.3">
      <c r="B39" s="113"/>
      <c r="C39" s="114"/>
      <c r="D39" s="114"/>
      <c r="E39" s="114"/>
      <c r="F39" s="114"/>
      <c r="G39" s="73"/>
    </row>
  </sheetData>
  <mergeCells count="1">
    <mergeCell ref="B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86F5-227A-4A86-B112-05111627A066}">
  <sheetPr>
    <tabColor theme="9" tint="-0.499984740745262"/>
  </sheetPr>
  <dimension ref="A1"/>
  <sheetViews>
    <sheetView showGridLines="0" tabSelected="1" workbookViewId="0">
      <selection activeCell="J3" sqref="J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7F98-A4D2-4964-82FB-9917450D8D6C}">
  <sheetPr>
    <tabColor theme="5" tint="-0.499984740745262"/>
  </sheetPr>
  <dimension ref="B3:C6"/>
  <sheetViews>
    <sheetView showGridLines="0" workbookViewId="0">
      <selection activeCell="C3" sqref="C3"/>
    </sheetView>
  </sheetViews>
  <sheetFormatPr defaultRowHeight="15" x14ac:dyDescent="0.25"/>
  <cols>
    <col min="2" max="2" width="18.28515625" customWidth="1"/>
    <col min="3" max="3" width="17.140625" customWidth="1"/>
  </cols>
  <sheetData>
    <row r="3" spans="2:3" x14ac:dyDescent="0.25">
      <c r="B3" s="59" t="s">
        <v>238</v>
      </c>
      <c r="C3" s="51">
        <v>1</v>
      </c>
    </row>
    <row r="4" spans="2:3" x14ac:dyDescent="0.25">
      <c r="B4" s="35" t="s">
        <v>128</v>
      </c>
      <c r="C4" s="35" t="s">
        <v>131</v>
      </c>
    </row>
    <row r="5" spans="2:3" x14ac:dyDescent="0.25">
      <c r="B5" s="35" t="s">
        <v>129</v>
      </c>
      <c r="C5" s="35" t="s">
        <v>132</v>
      </c>
    </row>
    <row r="6" spans="2:3" x14ac:dyDescent="0.25">
      <c r="B6" s="35" t="s">
        <v>130</v>
      </c>
      <c r="C6" s="35" t="s">
        <v>133</v>
      </c>
    </row>
  </sheetData>
  <dataValidations count="1">
    <dataValidation type="list" allowBlank="1" showInputMessage="1" showErrorMessage="1" sqref="C3" xr:uid="{212DAA43-547C-4211-9D97-B05E781194D2}">
      <formula1>"1,2,3"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34EC7-621A-416F-837F-627308202EAE}">
  <sheetPr>
    <tabColor theme="5" tint="0.39997558519241921"/>
  </sheetPr>
  <dimension ref="B2:L56"/>
  <sheetViews>
    <sheetView showGridLines="0" workbookViewId="0">
      <pane ySplit="3" topLeftCell="A33" activePane="bottomLeft" state="frozen"/>
      <selection pane="bottomLeft" activeCell="G46" sqref="G46"/>
    </sheetView>
  </sheetViews>
  <sheetFormatPr defaultRowHeight="15" x14ac:dyDescent="0.25"/>
  <cols>
    <col min="2" max="2" width="26.42578125" customWidth="1"/>
    <col min="3" max="7" width="11.7109375" customWidth="1"/>
    <col min="8" max="8" width="13.140625" customWidth="1"/>
    <col min="9" max="11" width="11.7109375" customWidth="1"/>
    <col min="12" max="12" width="12.42578125" customWidth="1"/>
  </cols>
  <sheetData>
    <row r="2" spans="2:12" ht="16.5" x14ac:dyDescent="0.3">
      <c r="B2" s="234" t="s">
        <v>41</v>
      </c>
      <c r="C2" s="13" t="s">
        <v>109</v>
      </c>
      <c r="D2" s="13" t="s">
        <v>110</v>
      </c>
      <c r="E2" s="13" t="s">
        <v>111</v>
      </c>
      <c r="F2" s="13" t="s">
        <v>112</v>
      </c>
      <c r="G2" s="13" t="s">
        <v>113</v>
      </c>
      <c r="H2" s="13" t="s">
        <v>114</v>
      </c>
      <c r="I2" s="13" t="s">
        <v>115</v>
      </c>
      <c r="J2" s="13" t="s">
        <v>116</v>
      </c>
      <c r="K2" s="13" t="s">
        <v>119</v>
      </c>
      <c r="L2" s="13" t="s">
        <v>120</v>
      </c>
    </row>
    <row r="3" spans="2:12" ht="16.5" x14ac:dyDescent="0.3">
      <c r="B3" s="234"/>
      <c r="C3" s="13" t="s">
        <v>117</v>
      </c>
      <c r="D3" s="13" t="s">
        <v>117</v>
      </c>
      <c r="E3" s="13" t="s">
        <v>117</v>
      </c>
      <c r="F3" s="13" t="s">
        <v>117</v>
      </c>
      <c r="G3" s="13" t="s">
        <v>117</v>
      </c>
      <c r="H3" s="13" t="s">
        <v>118</v>
      </c>
      <c r="I3" s="13" t="s">
        <v>118</v>
      </c>
      <c r="J3" s="13" t="s">
        <v>118</v>
      </c>
      <c r="K3" s="13" t="s">
        <v>118</v>
      </c>
      <c r="L3" s="13" t="s">
        <v>118</v>
      </c>
    </row>
    <row r="5" spans="2:12" ht="15.75" x14ac:dyDescent="0.25">
      <c r="B5" s="14" t="s">
        <v>121</v>
      </c>
      <c r="C5" s="15"/>
      <c r="D5" s="15"/>
      <c r="E5" s="15"/>
      <c r="F5" s="15"/>
      <c r="G5" s="15"/>
      <c r="H5" s="15"/>
      <c r="I5" s="15"/>
      <c r="J5" s="15"/>
      <c r="K5" s="15"/>
      <c r="L5" s="15"/>
    </row>
    <row r="7" spans="2:12" x14ac:dyDescent="0.25">
      <c r="B7" s="1" t="s">
        <v>122</v>
      </c>
      <c r="C7" s="4">
        <f>'P&amp;L source'!C3</f>
        <v>6244.28</v>
      </c>
      <c r="D7" s="4">
        <f>'P&amp;L source'!D3</f>
        <v>6800.06</v>
      </c>
      <c r="E7" s="4">
        <f>'P&amp;L source'!E3</f>
        <v>6680.37</v>
      </c>
      <c r="F7" s="4">
        <f>'P&amp;L source'!F3</f>
        <v>7541.69</v>
      </c>
      <c r="G7" s="4">
        <f>'P&amp;L source'!G3</f>
        <v>9312.6299999999992</v>
      </c>
      <c r="H7" s="24">
        <f>G7*(1+H8)</f>
        <v>10616.3982</v>
      </c>
      <c r="I7" s="24">
        <f>H7*(1+I8)</f>
        <v>12102.693948</v>
      </c>
      <c r="J7" s="24">
        <f>I7*(1+J8)</f>
        <v>13797.071100720003</v>
      </c>
      <c r="K7" s="24">
        <f>J7*(1+K8)</f>
        <v>15866.631765828002</v>
      </c>
      <c r="L7" s="24">
        <f>K7*(1+L8)</f>
        <v>18246.6265307022</v>
      </c>
    </row>
    <row r="8" spans="2:12" x14ac:dyDescent="0.25">
      <c r="B8" t="s">
        <v>123</v>
      </c>
      <c r="D8" s="16">
        <f>D7/C7-1</f>
        <v>8.900625852780486E-2</v>
      </c>
      <c r="E8" s="16">
        <f>E7/D7-1</f>
        <v>-1.7601315282512298E-2</v>
      </c>
      <c r="F8" s="16">
        <f>F7/E7-1</f>
        <v>0.12893297826318006</v>
      </c>
      <c r="G8" s="16">
        <f>G7/F7-1</f>
        <v>0.23482004696560055</v>
      </c>
      <c r="H8" s="16">
        <f>CHOOSE('drivers sheet'!$C$3,Drivers!H9,Drivers!H10,Drivers!H11)</f>
        <v>0.14000000000000001</v>
      </c>
      <c r="I8" s="16">
        <f>CHOOSE('drivers sheet'!$C$3,Drivers!I9,Drivers!I10,Drivers!I11)</f>
        <v>0.14000000000000001</v>
      </c>
      <c r="J8" s="16">
        <f>CHOOSE('drivers sheet'!$C$3,Drivers!J9,Drivers!J10,Drivers!J11)</f>
        <v>0.14000000000000001</v>
      </c>
      <c r="K8" s="16">
        <f>CHOOSE('drivers sheet'!$C$3,Drivers!K9,Drivers!K10,Drivers!K11)</f>
        <v>0.15</v>
      </c>
      <c r="L8" s="16">
        <f>CHOOSE('drivers sheet'!$C$3,Drivers!L9,Drivers!L10,Drivers!L11)</f>
        <v>0.15</v>
      </c>
    </row>
    <row r="9" spans="2:12" x14ac:dyDescent="0.25">
      <c r="B9" t="s">
        <v>124</v>
      </c>
      <c r="C9" s="23"/>
      <c r="D9" s="23"/>
      <c r="E9" s="23"/>
      <c r="F9" s="23"/>
      <c r="G9" s="23"/>
      <c r="H9" s="22">
        <v>0.14000000000000001</v>
      </c>
      <c r="I9" s="22">
        <v>0.14000000000000001</v>
      </c>
      <c r="J9" s="22">
        <v>0.14000000000000001</v>
      </c>
      <c r="K9" s="22">
        <v>0.15</v>
      </c>
      <c r="L9" s="22">
        <v>0.15</v>
      </c>
    </row>
    <row r="10" spans="2:12" x14ac:dyDescent="0.25">
      <c r="B10" t="s">
        <v>125</v>
      </c>
      <c r="C10" s="23"/>
      <c r="D10" s="23"/>
      <c r="E10" s="23"/>
      <c r="F10" s="23"/>
      <c r="G10" s="23"/>
      <c r="H10" s="22">
        <v>0.12</v>
      </c>
      <c r="I10" s="22">
        <v>0.12</v>
      </c>
      <c r="J10" s="22">
        <v>0.12</v>
      </c>
      <c r="K10" s="22">
        <v>0.14000000000000001</v>
      </c>
      <c r="L10" s="22">
        <v>0.14000000000000001</v>
      </c>
    </row>
    <row r="11" spans="2:12" x14ac:dyDescent="0.25">
      <c r="B11" t="s">
        <v>126</v>
      </c>
      <c r="C11" s="23"/>
      <c r="D11" s="23"/>
      <c r="E11" s="23"/>
      <c r="F11" s="23"/>
      <c r="G11" s="23"/>
      <c r="H11" s="22">
        <v>0.1</v>
      </c>
      <c r="I11" s="22">
        <v>0.1</v>
      </c>
      <c r="J11" s="22">
        <v>0.1</v>
      </c>
      <c r="K11" s="22">
        <v>0.13</v>
      </c>
      <c r="L11" s="22">
        <v>0.13</v>
      </c>
    </row>
    <row r="13" spans="2:12" x14ac:dyDescent="0.25">
      <c r="B13" s="1" t="s">
        <v>127</v>
      </c>
      <c r="C13" s="4">
        <f>'P&amp;L source'!C13</f>
        <v>3803.53</v>
      </c>
      <c r="D13" s="4">
        <f>'P&amp;L source'!D13</f>
        <v>4140.3100000000004</v>
      </c>
      <c r="E13" s="4">
        <f>'P&amp;L source'!E13</f>
        <v>3905.3</v>
      </c>
      <c r="F13" s="4">
        <f>'P&amp;L source'!F13</f>
        <v>4251.2800000000007</v>
      </c>
      <c r="G13" s="4">
        <f>'P&amp;L source'!G13</f>
        <v>6012.12</v>
      </c>
      <c r="H13" s="24">
        <f>H7*H14</f>
        <v>6369.8389199999992</v>
      </c>
      <c r="I13" s="24">
        <f>I7*I14</f>
        <v>7261.6163687999997</v>
      </c>
      <c r="J13" s="24">
        <f>J7*J14</f>
        <v>8278.2426604320008</v>
      </c>
      <c r="K13" s="24">
        <f>K7*K14</f>
        <v>9519.9790594968017</v>
      </c>
      <c r="L13" s="24">
        <f>L7*L14</f>
        <v>10947.97591842132</v>
      </c>
    </row>
    <row r="14" spans="2:12" x14ac:dyDescent="0.25">
      <c r="B14" t="s">
        <v>134</v>
      </c>
      <c r="C14" s="27">
        <f>C13/C7</f>
        <v>0.60912226870031461</v>
      </c>
      <c r="D14" s="27">
        <f>D13/D7</f>
        <v>0.60886374531989429</v>
      </c>
      <c r="E14" s="27">
        <f>E13/E7</f>
        <v>0.58459336833139486</v>
      </c>
      <c r="F14" s="27">
        <f>F13/F7</f>
        <v>0.5637038913028779</v>
      </c>
      <c r="G14" s="27">
        <f>G13/G7</f>
        <v>0.64558776629158465</v>
      </c>
      <c r="H14" s="16">
        <f>CHOOSE('drivers sheet'!$C$3,Drivers!H15,Drivers!H16,Drivers!H17)</f>
        <v>0.6</v>
      </c>
      <c r="I14" s="16">
        <f>CHOOSE('drivers sheet'!$C$3,Drivers!I15,Drivers!I16,Drivers!I17)</f>
        <v>0.6</v>
      </c>
      <c r="J14" s="16">
        <f>CHOOSE('drivers sheet'!$C$3,Drivers!J15,Drivers!J16,Drivers!J17)</f>
        <v>0.6</v>
      </c>
      <c r="K14" s="16">
        <f>CHOOSE('drivers sheet'!$C$3,Drivers!K15,Drivers!K16,Drivers!K17)</f>
        <v>0.6</v>
      </c>
      <c r="L14" s="16">
        <f>CHOOSE('drivers sheet'!$C$3,Drivers!L15,Drivers!L16,Drivers!L17)</f>
        <v>0.6</v>
      </c>
    </row>
    <row r="15" spans="2:12" x14ac:dyDescent="0.25">
      <c r="B15" t="s">
        <v>135</v>
      </c>
      <c r="C15" s="23"/>
      <c r="D15" s="23"/>
      <c r="E15" s="23"/>
      <c r="F15" s="23"/>
      <c r="G15" s="23"/>
      <c r="H15" s="22">
        <v>0.6</v>
      </c>
      <c r="I15" s="22">
        <v>0.6</v>
      </c>
      <c r="J15" s="22">
        <v>0.6</v>
      </c>
      <c r="K15" s="22">
        <v>0.6</v>
      </c>
      <c r="L15" s="22">
        <v>0.6</v>
      </c>
    </row>
    <row r="16" spans="2:12" x14ac:dyDescent="0.25">
      <c r="B16" t="s">
        <v>136</v>
      </c>
      <c r="C16" s="23"/>
      <c r="D16" s="23"/>
      <c r="E16" s="23"/>
      <c r="F16" s="23"/>
      <c r="G16" s="23"/>
      <c r="H16" s="22">
        <v>0.61</v>
      </c>
      <c r="I16" s="22">
        <v>0.61</v>
      </c>
      <c r="J16" s="22">
        <v>0.61</v>
      </c>
      <c r="K16" s="22">
        <v>0.61</v>
      </c>
      <c r="L16" s="22">
        <v>0.61</v>
      </c>
    </row>
    <row r="17" spans="2:12" x14ac:dyDescent="0.25">
      <c r="B17" t="s">
        <v>137</v>
      </c>
      <c r="C17" s="23"/>
      <c r="D17" s="23"/>
      <c r="E17" s="23"/>
      <c r="F17" s="23"/>
      <c r="G17" s="26"/>
      <c r="H17" s="22">
        <v>0.62</v>
      </c>
      <c r="I17" s="22">
        <v>0.62</v>
      </c>
      <c r="J17" s="22">
        <v>0.62</v>
      </c>
      <c r="K17" s="22">
        <v>0.62</v>
      </c>
      <c r="L17" s="22">
        <v>0.62</v>
      </c>
    </row>
    <row r="19" spans="2:12" x14ac:dyDescent="0.25">
      <c r="B19" s="1" t="s">
        <v>138</v>
      </c>
      <c r="C19" s="4">
        <f>'P&amp;L source'!C16</f>
        <v>413.11</v>
      </c>
      <c r="D19" s="4">
        <f>'P&amp;L source'!D16</f>
        <v>491.95</v>
      </c>
      <c r="E19" s="4">
        <f>'P&amp;L source'!E16</f>
        <v>534.09</v>
      </c>
      <c r="F19" s="4">
        <f>'P&amp;L source'!F16</f>
        <v>667.13</v>
      </c>
      <c r="G19" s="4">
        <f>'P&amp;L source'!G16</f>
        <v>684.26</v>
      </c>
      <c r="H19" s="24">
        <f>H7*H20</f>
        <v>636.98389199999997</v>
      </c>
      <c r="I19" s="24">
        <f>I7*I20</f>
        <v>726.16163687999995</v>
      </c>
      <c r="J19" s="24">
        <f>J7*J20</f>
        <v>827.82426604320017</v>
      </c>
      <c r="K19" s="24">
        <f>K7*K20</f>
        <v>951.9979059496801</v>
      </c>
      <c r="L19" s="24">
        <f>L7*L20</f>
        <v>1094.7975918421321</v>
      </c>
    </row>
    <row r="20" spans="2:12" x14ac:dyDescent="0.25">
      <c r="B20" t="s">
        <v>139</v>
      </c>
      <c r="C20" s="27">
        <f>C19/C7</f>
        <v>6.6158147936991943E-2</v>
      </c>
      <c r="D20" s="27">
        <f>D19/D7</f>
        <v>7.2344949897500899E-2</v>
      </c>
      <c r="E20" s="27">
        <f>E19/E7</f>
        <v>7.9949164492385913E-2</v>
      </c>
      <c r="F20" s="27">
        <f>F19/F7</f>
        <v>8.845895283417908E-2</v>
      </c>
      <c r="G20" s="27">
        <f>G19/G7</f>
        <v>7.347655817959052E-2</v>
      </c>
      <c r="H20" s="48">
        <f>CHOOSE('drivers sheet'!$C$3,Drivers!H21,Drivers!H22,Drivers!H23)</f>
        <v>0.06</v>
      </c>
      <c r="I20" s="48">
        <f>CHOOSE('drivers sheet'!$C$3,Drivers!I21,Drivers!I22,Drivers!I23)</f>
        <v>0.06</v>
      </c>
      <c r="J20" s="48">
        <f>CHOOSE('drivers sheet'!$C$3,Drivers!J21,Drivers!J22,Drivers!J23)</f>
        <v>0.06</v>
      </c>
      <c r="K20" s="48">
        <f>CHOOSE('drivers sheet'!$C$3,Drivers!K21,Drivers!K22,Drivers!K23)</f>
        <v>0.06</v>
      </c>
      <c r="L20" s="48">
        <f>CHOOSE('drivers sheet'!$C$3,Drivers!L21,Drivers!L22,Drivers!L23)</f>
        <v>0.06</v>
      </c>
    </row>
    <row r="21" spans="2:12" x14ac:dyDescent="0.25">
      <c r="B21" t="s">
        <v>135</v>
      </c>
      <c r="C21" s="23"/>
      <c r="D21" s="23"/>
      <c r="E21" s="23"/>
      <c r="F21" s="23"/>
      <c r="G21" s="23"/>
      <c r="H21" s="22">
        <v>0.06</v>
      </c>
      <c r="I21" s="22">
        <v>0.06</v>
      </c>
      <c r="J21" s="22">
        <v>0.06</v>
      </c>
      <c r="K21" s="22">
        <v>0.06</v>
      </c>
      <c r="L21" s="22">
        <v>0.06</v>
      </c>
    </row>
    <row r="22" spans="2:12" x14ac:dyDescent="0.25">
      <c r="B22" t="s">
        <v>136</v>
      </c>
      <c r="C22" s="23"/>
      <c r="D22" s="23"/>
      <c r="E22" s="23"/>
      <c r="F22" s="23"/>
      <c r="G22" s="23"/>
      <c r="H22" s="22">
        <v>7.0000000000000007E-2</v>
      </c>
      <c r="I22" s="22">
        <v>7.0000000000000007E-2</v>
      </c>
      <c r="J22" s="22">
        <v>7.0000000000000007E-2</v>
      </c>
      <c r="K22" s="22">
        <v>7.0000000000000007E-2</v>
      </c>
      <c r="L22" s="22">
        <v>7.0000000000000007E-2</v>
      </c>
    </row>
    <row r="23" spans="2:12" x14ac:dyDescent="0.25">
      <c r="B23" t="s">
        <v>137</v>
      </c>
      <c r="C23" s="23"/>
      <c r="D23" s="23"/>
      <c r="E23" s="23"/>
      <c r="F23" s="23"/>
      <c r="G23" s="23"/>
      <c r="H23" s="22">
        <v>0.08</v>
      </c>
      <c r="I23" s="22">
        <v>0.08</v>
      </c>
      <c r="J23" s="22">
        <v>0.08</v>
      </c>
      <c r="K23" s="22">
        <v>0.08</v>
      </c>
      <c r="L23" s="22">
        <v>0.08</v>
      </c>
    </row>
    <row r="25" spans="2:12" x14ac:dyDescent="0.25">
      <c r="B25" s="1" t="s">
        <v>140</v>
      </c>
      <c r="C25" s="4">
        <f>'P&amp;L source'!C19</f>
        <v>1317.32</v>
      </c>
      <c r="D25" s="4">
        <f>'P&amp;L source'!D19</f>
        <v>1561.51</v>
      </c>
      <c r="E25" s="4">
        <f>'P&amp;L source'!E19</f>
        <v>1590.82</v>
      </c>
      <c r="F25" s="4">
        <f>'P&amp;L source'!F19</f>
        <v>1680.59</v>
      </c>
      <c r="G25" s="4">
        <f>'P&amp;L source'!G19</f>
        <v>1915.18</v>
      </c>
      <c r="H25" s="24">
        <f>H7*H26</f>
        <v>2123.2796400000002</v>
      </c>
      <c r="I25" s="24">
        <f>I7*I26</f>
        <v>2420.5387896000002</v>
      </c>
      <c r="J25" s="24">
        <f>J7*J26</f>
        <v>2759.4142201440009</v>
      </c>
      <c r="K25" s="24">
        <f>K7*K26</f>
        <v>3173.3263531656007</v>
      </c>
      <c r="L25" s="24">
        <f>L7*L26</f>
        <v>3649.3253061404403</v>
      </c>
    </row>
    <row r="26" spans="2:12" x14ac:dyDescent="0.25">
      <c r="B26" t="s">
        <v>134</v>
      </c>
      <c r="C26" s="27">
        <f>C25/C7</f>
        <v>0.21096427450402608</v>
      </c>
      <c r="D26" s="27">
        <f>D25/D7</f>
        <v>0.22963179736649381</v>
      </c>
      <c r="E26" s="27">
        <f>E25/E7</f>
        <v>0.23813351655671766</v>
      </c>
      <c r="F26" s="27">
        <f>F25/F7</f>
        <v>0.22283997353378354</v>
      </c>
      <c r="G26" s="27">
        <f>G25/G7</f>
        <v>0.20565404187646241</v>
      </c>
      <c r="H26" s="49">
        <f>CHOOSE('drivers sheet'!$C$3,Drivers!H27,Drivers!H28,Drivers!H29)</f>
        <v>0.2</v>
      </c>
      <c r="I26" s="49">
        <f>CHOOSE('drivers sheet'!$C$3,Drivers!I27,Drivers!I28,Drivers!I29)</f>
        <v>0.2</v>
      </c>
      <c r="J26" s="49">
        <f>CHOOSE('drivers sheet'!$C$3,Drivers!J27,Drivers!J28,Drivers!J29)</f>
        <v>0.2</v>
      </c>
      <c r="K26" s="49">
        <f>CHOOSE('drivers sheet'!$C$3,Drivers!K27,Drivers!K28,Drivers!K29)</f>
        <v>0.2</v>
      </c>
      <c r="L26" s="49">
        <f>CHOOSE('drivers sheet'!$C$3,Drivers!L27,Drivers!L28,Drivers!L29)</f>
        <v>0.2</v>
      </c>
    </row>
    <row r="27" spans="2:12" x14ac:dyDescent="0.25">
      <c r="B27" t="s">
        <v>135</v>
      </c>
      <c r="C27" s="23"/>
      <c r="D27" s="23"/>
      <c r="E27" s="23"/>
      <c r="F27" s="23"/>
      <c r="G27" s="23"/>
      <c r="H27" s="50">
        <v>0.2</v>
      </c>
      <c r="I27" s="50">
        <v>0.2</v>
      </c>
      <c r="J27" s="50">
        <v>0.2</v>
      </c>
      <c r="K27" s="50">
        <v>0.2</v>
      </c>
      <c r="L27" s="50">
        <v>0.2</v>
      </c>
    </row>
    <row r="28" spans="2:12" x14ac:dyDescent="0.25">
      <c r="B28" t="s">
        <v>136</v>
      </c>
      <c r="C28" s="23"/>
      <c r="D28" s="23"/>
      <c r="E28" s="23"/>
      <c r="F28" s="23"/>
      <c r="G28" s="23"/>
      <c r="H28" s="50">
        <v>0.21</v>
      </c>
      <c r="I28" s="50">
        <v>0.21</v>
      </c>
      <c r="J28" s="50">
        <v>0.21</v>
      </c>
      <c r="K28" s="50">
        <v>0.21</v>
      </c>
      <c r="L28" s="50">
        <v>0.21</v>
      </c>
    </row>
    <row r="29" spans="2:12" x14ac:dyDescent="0.25">
      <c r="B29" t="s">
        <v>137</v>
      </c>
      <c r="C29" s="23"/>
      <c r="D29" s="23"/>
      <c r="E29" s="23"/>
      <c r="F29" s="23"/>
      <c r="G29" s="23"/>
      <c r="H29" s="50">
        <v>0.22</v>
      </c>
      <c r="I29" s="50">
        <v>0.22</v>
      </c>
      <c r="J29" s="50">
        <v>0.22</v>
      </c>
      <c r="K29" s="50">
        <v>0.22</v>
      </c>
      <c r="L29" s="50">
        <v>0.22</v>
      </c>
    </row>
    <row r="31" spans="2:12" x14ac:dyDescent="0.25">
      <c r="B31" s="1" t="s">
        <v>141</v>
      </c>
      <c r="C31">
        <f>'P&amp;L source'!C31</f>
        <v>130.94</v>
      </c>
      <c r="D31">
        <f>'P&amp;L source'!D31</f>
        <v>120.86</v>
      </c>
      <c r="E31">
        <f>'P&amp;L source'!E31</f>
        <v>67.760000000000005</v>
      </c>
      <c r="F31">
        <f>'P&amp;L source'!F31</f>
        <v>45.260000000000005</v>
      </c>
      <c r="G31">
        <f>'P&amp;L source'!G31</f>
        <v>22.91</v>
      </c>
      <c r="H31">
        <f>PL!H27*Drivers!H32</f>
        <v>17.765200000000004</v>
      </c>
      <c r="I31">
        <f>PL!I27*Drivers!I32</f>
        <v>17.765200000000004</v>
      </c>
      <c r="J31">
        <f>PL!J27*Drivers!J32</f>
        <v>17.765200000000004</v>
      </c>
      <c r="K31">
        <f>PL!K27*Drivers!K32</f>
        <v>17.765200000000004</v>
      </c>
      <c r="L31">
        <f>PL!L27*Drivers!L32</f>
        <v>17.765200000000004</v>
      </c>
    </row>
    <row r="32" spans="2:12" x14ac:dyDescent="0.25">
      <c r="B32" t="s">
        <v>142</v>
      </c>
      <c r="C32" s="27">
        <f>C31/'P&amp;L source'!C25</f>
        <v>0.319630913440414</v>
      </c>
      <c r="D32" s="27">
        <f>D31/'P&amp;L source'!D25</f>
        <v>0.29494594528638018</v>
      </c>
      <c r="E32" s="27">
        <f>E31/'P&amp;L source'!E25</f>
        <v>0.2317611246023874</v>
      </c>
      <c r="F32" s="27">
        <f>F31/'P&amp;L source'!F25</f>
        <v>9.8627151884942268E-2</v>
      </c>
      <c r="G32" s="27">
        <f>G31/'P&amp;L source'!G25</f>
        <v>0.29660797514241322</v>
      </c>
      <c r="H32" s="16">
        <f>CHOOSE('drivers sheet'!$C$3,Drivers!H33,Drivers!H34,Drivers!H35)</f>
        <v>0.23</v>
      </c>
      <c r="I32" s="16">
        <f>CHOOSE('drivers sheet'!$C$3,Drivers!I33,Drivers!I34,Drivers!I35)</f>
        <v>0.23</v>
      </c>
      <c r="J32" s="16">
        <f>CHOOSE('drivers sheet'!$C$3,Drivers!J33,Drivers!J34,Drivers!J35)</f>
        <v>0.23</v>
      </c>
      <c r="K32" s="16">
        <f>CHOOSE('drivers sheet'!$C$3,Drivers!K33,Drivers!K34,Drivers!K35)</f>
        <v>0.23</v>
      </c>
      <c r="L32" s="16">
        <f>CHOOSE('drivers sheet'!$C$3,Drivers!L33,Drivers!L34,Drivers!L35)</f>
        <v>0.23</v>
      </c>
    </row>
    <row r="33" spans="2:12" x14ac:dyDescent="0.25">
      <c r="B33" t="s">
        <v>135</v>
      </c>
      <c r="C33" s="23"/>
      <c r="D33" s="23"/>
      <c r="E33" s="23"/>
      <c r="F33" s="23"/>
      <c r="G33" s="23"/>
      <c r="H33" s="25">
        <v>0.23</v>
      </c>
      <c r="I33" s="25">
        <v>0.23</v>
      </c>
      <c r="J33" s="25">
        <v>0.23</v>
      </c>
      <c r="K33" s="25">
        <v>0.23</v>
      </c>
      <c r="L33" s="25">
        <v>0.23</v>
      </c>
    </row>
    <row r="34" spans="2:12" x14ac:dyDescent="0.25">
      <c r="B34" t="s">
        <v>136</v>
      </c>
      <c r="C34" s="23"/>
      <c r="D34" s="23"/>
      <c r="E34" s="23"/>
      <c r="F34" s="23"/>
      <c r="G34" s="23"/>
      <c r="H34" s="25">
        <v>0.24</v>
      </c>
      <c r="I34" s="25">
        <v>0.24</v>
      </c>
      <c r="J34" s="25">
        <v>0.24</v>
      </c>
      <c r="K34" s="25">
        <v>0.24</v>
      </c>
      <c r="L34" s="25">
        <v>0.24</v>
      </c>
    </row>
    <row r="35" spans="2:12" x14ac:dyDescent="0.25">
      <c r="B35" t="s">
        <v>137</v>
      </c>
      <c r="C35" s="23"/>
      <c r="D35" s="23"/>
      <c r="E35" s="23"/>
      <c r="F35" s="23"/>
      <c r="G35" s="23"/>
      <c r="H35" s="25">
        <v>0.25</v>
      </c>
      <c r="I35" s="25">
        <v>0.25</v>
      </c>
      <c r="J35" s="25">
        <v>0.25</v>
      </c>
      <c r="K35" s="25">
        <v>0.25</v>
      </c>
      <c r="L35" s="25">
        <v>0.25</v>
      </c>
    </row>
    <row r="37" spans="2:12" x14ac:dyDescent="0.25">
      <c r="B37" s="1" t="s">
        <v>143</v>
      </c>
    </row>
    <row r="38" spans="2:12" x14ac:dyDescent="0.25">
      <c r="B38" t="s">
        <v>144</v>
      </c>
      <c r="C38">
        <f>'BS Source'!G12</f>
        <v>1719.16</v>
      </c>
      <c r="D38">
        <f>'BS Source'!F12</f>
        <v>1341.04</v>
      </c>
      <c r="E38">
        <f>'BS Source'!E12</f>
        <v>1640.78</v>
      </c>
      <c r="F38">
        <f>'BS Source'!D12</f>
        <v>1002.72</v>
      </c>
      <c r="G38">
        <f>'BS Source'!C12</f>
        <v>272.3</v>
      </c>
      <c r="H38">
        <f>'BS '!H13</f>
        <v>1719.16</v>
      </c>
      <c r="I38">
        <f>'BS '!I13</f>
        <v>1719.16</v>
      </c>
      <c r="J38">
        <f>'BS '!J13</f>
        <v>1719.16</v>
      </c>
      <c r="K38">
        <f>'BS '!K13</f>
        <v>1719.16</v>
      </c>
      <c r="L38">
        <f>'BS '!L13</f>
        <v>1719.16</v>
      </c>
    </row>
    <row r="39" spans="2:12" x14ac:dyDescent="0.25">
      <c r="B39" t="s">
        <v>145</v>
      </c>
      <c r="C39">
        <f>'BS Source'!G18</f>
        <v>352.24</v>
      </c>
      <c r="D39">
        <f>'BS Source'!F18</f>
        <v>0.53</v>
      </c>
      <c r="E39">
        <f>'BS Source'!E18</f>
        <v>215.59</v>
      </c>
      <c r="F39">
        <f>'BS Source'!D18</f>
        <v>214.31</v>
      </c>
      <c r="G39">
        <f>'BS Source'!C18</f>
        <v>143.63999999999999</v>
      </c>
      <c r="H39" s="34">
        <f>'BS '!H19</f>
        <v>373.19814993393339</v>
      </c>
      <c r="I39" s="34">
        <f>'BS '!I19</f>
        <v>425.44589092468414</v>
      </c>
      <c r="J39" s="34">
        <f>'BS '!J19</f>
        <v>485.00831565413995</v>
      </c>
      <c r="K39" s="34">
        <f>'BS '!K19</f>
        <v>557.75956300226096</v>
      </c>
      <c r="L39" s="34">
        <f>'BS '!L19</f>
        <v>641.42349745260003</v>
      </c>
    </row>
    <row r="40" spans="2:12" x14ac:dyDescent="0.25">
      <c r="B40" t="s">
        <v>146</v>
      </c>
      <c r="C40">
        <f>'P&amp;L source'!C17</f>
        <v>86.45</v>
      </c>
      <c r="D40">
        <f>'P&amp;L source'!D17</f>
        <v>64.52</v>
      </c>
      <c r="E40">
        <f>'P&amp;L source'!E17</f>
        <v>149.05000000000001</v>
      </c>
      <c r="F40">
        <f>'P&amp;L source'!F17</f>
        <v>173.05</v>
      </c>
      <c r="G40">
        <f>'P&amp;L source'!G17</f>
        <v>203.97</v>
      </c>
      <c r="H40" s="34">
        <f>H42*(H39+H38)</f>
        <v>1026.0573444295437</v>
      </c>
      <c r="I40" s="34">
        <f>I42*(I39+I38)</f>
        <v>1051.6787603305952</v>
      </c>
      <c r="J40" s="34">
        <f>J42*(J39+J38)</f>
        <v>1080.8871744577941</v>
      </c>
      <c r="K40" s="34">
        <f>K42*(K39+K38)</f>
        <v>1116.5631659988728</v>
      </c>
      <c r="L40" s="34">
        <f>L42*(L39+L38)</f>
        <v>1157.5905562711132</v>
      </c>
    </row>
    <row r="42" spans="2:12" x14ac:dyDescent="0.25">
      <c r="B42" t="s">
        <v>147</v>
      </c>
      <c r="C42" s="27">
        <f>C40/(C38+C39)</f>
        <v>4.1735058414598819E-2</v>
      </c>
      <c r="D42" s="27">
        <f>D40/(D38+D39)</f>
        <v>4.8092906072735676E-2</v>
      </c>
      <c r="E42" s="27">
        <f>E40/(E38+E39)</f>
        <v>8.0291105760166362E-2</v>
      </c>
      <c r="F42" s="27">
        <f>F40/(F38+F39)</f>
        <v>0.14219041436940749</v>
      </c>
      <c r="G42" s="27">
        <f>G40/(G38+G39)</f>
        <v>0.49038322835024284</v>
      </c>
      <c r="H42" s="29">
        <f>G42</f>
        <v>0.49038322835024284</v>
      </c>
      <c r="I42" s="29">
        <f>H42</f>
        <v>0.49038322835024284</v>
      </c>
      <c r="J42" s="29">
        <f>I42</f>
        <v>0.49038322835024284</v>
      </c>
      <c r="K42" s="29">
        <f>J42</f>
        <v>0.49038322835024284</v>
      </c>
      <c r="L42" s="29">
        <f>K42</f>
        <v>0.49038322835024284</v>
      </c>
    </row>
    <row r="44" spans="2:12" x14ac:dyDescent="0.25">
      <c r="B44" s="1" t="s">
        <v>148</v>
      </c>
    </row>
    <row r="45" spans="2:12" x14ac:dyDescent="0.25">
      <c r="B45" t="s">
        <v>149</v>
      </c>
      <c r="C45">
        <f>'P&amp;L source'!C34</f>
        <v>278.72000000000003</v>
      </c>
      <c r="D45">
        <f>'P&amp;L source'!D34</f>
        <v>288.90999999999997</v>
      </c>
      <c r="E45">
        <f>'P&amp;L source'!E34</f>
        <v>224.61</v>
      </c>
      <c r="F45">
        <f>'P&amp;L source'!F34</f>
        <v>413.64</v>
      </c>
      <c r="G45">
        <f>'P&amp;L source'!G34</f>
        <v>54.330000000000013</v>
      </c>
      <c r="H45">
        <f>PL!H34</f>
        <v>54.330000000000013</v>
      </c>
      <c r="I45">
        <f>PL!I34</f>
        <v>54.330000000000013</v>
      </c>
      <c r="J45">
        <f>PL!J34</f>
        <v>54.330000000000013</v>
      </c>
      <c r="K45">
        <f>PL!K34</f>
        <v>54.330000000000013</v>
      </c>
      <c r="L45">
        <f>PL!L34</f>
        <v>54.330000000000013</v>
      </c>
    </row>
    <row r="46" spans="2:12" x14ac:dyDescent="0.25">
      <c r="B46" t="s">
        <v>150</v>
      </c>
      <c r="C46">
        <f>-' cash flow source'!C32</f>
        <v>47</v>
      </c>
      <c r="D46">
        <f>-' cash flow source'!D32</f>
        <v>44</v>
      </c>
      <c r="E46">
        <f>-' cash flow source'!E32</f>
        <v>96</v>
      </c>
      <c r="F46">
        <f>-' cash flow source'!F32</f>
        <v>0</v>
      </c>
      <c r="G46">
        <f>-' cash flow source'!G32</f>
        <v>75</v>
      </c>
      <c r="H46">
        <f ca="1">H45*H47</f>
        <v>54.330000000000013</v>
      </c>
      <c r="I46">
        <f ca="1">I45*I47</f>
        <v>54.330000000000013</v>
      </c>
      <c r="J46">
        <f ca="1">J45*J47</f>
        <v>54.330000000000013</v>
      </c>
      <c r="K46">
        <f ca="1">K45*K47</f>
        <v>54.330000000000013</v>
      </c>
      <c r="L46">
        <f ca="1">L45*L47</f>
        <v>54.330000000000013</v>
      </c>
    </row>
    <row r="47" spans="2:12" x14ac:dyDescent="0.25">
      <c r="B47" t="s">
        <v>151</v>
      </c>
      <c r="C47" s="28">
        <f>IF(C45&lt;0,"NA",C46/C45)</f>
        <v>0.16862801377726749</v>
      </c>
      <c r="D47" s="28">
        <f t="shared" ref="D47:L47" si="0">IF(D45&lt;0,"NA",D46/D45)</f>
        <v>0.15229656294347724</v>
      </c>
      <c r="E47" s="28">
        <f t="shared" si="0"/>
        <v>0.42740750634433017</v>
      </c>
      <c r="F47" s="28">
        <f t="shared" si="0"/>
        <v>0</v>
      </c>
      <c r="G47" s="28">
        <f t="shared" si="0"/>
        <v>1.3804527885146325</v>
      </c>
      <c r="H47" s="28">
        <f t="shared" ca="1" si="0"/>
        <v>0.16862801377726749</v>
      </c>
      <c r="I47" s="28">
        <f t="shared" ca="1" si="0"/>
        <v>0.16862801377726749</v>
      </c>
      <c r="J47" s="28">
        <f t="shared" ca="1" si="0"/>
        <v>0.16862801377726749</v>
      </c>
      <c r="K47" s="28">
        <f t="shared" ca="1" si="0"/>
        <v>0.16862801377726749</v>
      </c>
      <c r="L47" s="28">
        <f t="shared" ca="1" si="0"/>
        <v>0.16862801377726749</v>
      </c>
    </row>
    <row r="48" spans="2:12" x14ac:dyDescent="0.2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2:12" ht="15.75" x14ac:dyDescent="0.25">
      <c r="B49" s="14" t="s">
        <v>152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</row>
    <row r="51" spans="2:12" x14ac:dyDescent="0.25">
      <c r="B51" s="1" t="s">
        <v>153</v>
      </c>
    </row>
    <row r="52" spans="2:12" x14ac:dyDescent="0.25">
      <c r="B52" t="s">
        <v>154</v>
      </c>
      <c r="D52">
        <f>'BS Source'!C7</f>
        <v>40.450000000000003</v>
      </c>
      <c r="E52">
        <f>'BS Source'!D7</f>
        <v>40.450000000000003</v>
      </c>
      <c r="F52">
        <f>'BS Source'!E7</f>
        <v>40.450000000000003</v>
      </c>
      <c r="G52">
        <f>'BS Source'!F7</f>
        <v>40.450000000000003</v>
      </c>
      <c r="H52">
        <f>'BS '!H8</f>
        <v>40.450000000000003</v>
      </c>
      <c r="I52">
        <f>'BS '!I8</f>
        <v>40.450000000000003</v>
      </c>
      <c r="J52">
        <f>'BS '!J8</f>
        <v>40.450000000000003</v>
      </c>
      <c r="K52">
        <f>'BS '!K8</f>
        <v>40.450000000000003</v>
      </c>
      <c r="L52">
        <f>'BS '!L8</f>
        <v>40.450000000000003</v>
      </c>
    </row>
    <row r="53" spans="2:12" x14ac:dyDescent="0.25">
      <c r="B53" t="s">
        <v>155</v>
      </c>
      <c r="D53">
        <f>'P&amp;L source'!C34</f>
        <v>278.72000000000003</v>
      </c>
      <c r="E53">
        <f>'P&amp;L source'!D34</f>
        <v>288.90999999999997</v>
      </c>
      <c r="F53">
        <f>'P&amp;L source'!E34</f>
        <v>224.61</v>
      </c>
      <c r="G53">
        <f>'P&amp;L source'!F34</f>
        <v>413.64</v>
      </c>
      <c r="H53">
        <f>PL!H34</f>
        <v>54.330000000000013</v>
      </c>
      <c r="I53">
        <f>PL!I34</f>
        <v>54.330000000000013</v>
      </c>
      <c r="J53">
        <f>PL!J34</f>
        <v>54.330000000000013</v>
      </c>
      <c r="K53">
        <f>PL!K34</f>
        <v>54.330000000000013</v>
      </c>
      <c r="L53">
        <f>PL!L34</f>
        <v>54.330000000000013</v>
      </c>
    </row>
    <row r="54" spans="2:12" x14ac:dyDescent="0.25">
      <c r="B54" t="s">
        <v>156</v>
      </c>
      <c r="D54">
        <f>' cash flow source'!C32</f>
        <v>-47</v>
      </c>
      <c r="E54">
        <f>' cash flow source'!D32</f>
        <v>-44</v>
      </c>
      <c r="F54">
        <f>' cash flow source'!E32</f>
        <v>-96</v>
      </c>
      <c r="G54">
        <f>' cash flow source'!F32</f>
        <v>0</v>
      </c>
      <c r="H54">
        <f ca="1">-H46</f>
        <v>-54.330000000000013</v>
      </c>
      <c r="I54">
        <f ca="1">-I46</f>
        <v>-54.330000000000013</v>
      </c>
      <c r="J54">
        <f ca="1">-J46</f>
        <v>-54.330000000000013</v>
      </c>
      <c r="K54">
        <f ca="1">-K46</f>
        <v>-54.330000000000013</v>
      </c>
      <c r="L54">
        <f ca="1">-L46</f>
        <v>-54.330000000000013</v>
      </c>
    </row>
    <row r="55" spans="2:12" x14ac:dyDescent="0.25">
      <c r="B55" t="s">
        <v>157</v>
      </c>
      <c r="D55">
        <f>'BS Source'!C7-(D52+D53+D54)</f>
        <v>-231.72000000000003</v>
      </c>
      <c r="E55">
        <f>'BS Source'!D7-(E52+E53+E54)</f>
        <v>-244.90999999999997</v>
      </c>
      <c r="F55">
        <f>'BS Source'!E7-(F52+F53+F54)</f>
        <v>-128.61000000000001</v>
      </c>
      <c r="G55">
        <f>'BS Source'!F7-(G52+G53+G54)</f>
        <v>-413.64</v>
      </c>
      <c r="H55" s="23"/>
      <c r="I55" s="23"/>
      <c r="J55" s="23"/>
      <c r="K55" s="23"/>
      <c r="L55" s="23"/>
    </row>
    <row r="56" spans="2:12" x14ac:dyDescent="0.25">
      <c r="B56" s="30" t="s">
        <v>158</v>
      </c>
      <c r="C56" s="31">
        <f>'BS Source'!C7</f>
        <v>40.450000000000003</v>
      </c>
      <c r="D56" s="31">
        <f t="shared" ref="D56:L56" si="1">SUM(D52:D55)</f>
        <v>40.449999999999989</v>
      </c>
      <c r="E56" s="31">
        <f t="shared" si="1"/>
        <v>40.449999999999989</v>
      </c>
      <c r="F56" s="31">
        <f t="shared" si="1"/>
        <v>40.449999999999989</v>
      </c>
      <c r="G56" s="31">
        <f t="shared" si="1"/>
        <v>40.449999999999989</v>
      </c>
      <c r="H56" s="31">
        <f t="shared" ca="1" si="1"/>
        <v>40.450000000000003</v>
      </c>
      <c r="I56" s="31">
        <f t="shared" ca="1" si="1"/>
        <v>40.450000000000003</v>
      </c>
      <c r="J56" s="31">
        <f t="shared" ca="1" si="1"/>
        <v>40.450000000000003</v>
      </c>
      <c r="K56" s="31">
        <f t="shared" ca="1" si="1"/>
        <v>40.450000000000003</v>
      </c>
      <c r="L56" s="31">
        <f t="shared" ca="1" si="1"/>
        <v>40.450000000000003</v>
      </c>
    </row>
  </sheetData>
  <mergeCells count="1">
    <mergeCell ref="B2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2FD0-DF81-4E48-A3AF-EA13549B8311}">
  <sheetPr>
    <tabColor theme="5" tint="0.59999389629810485"/>
  </sheetPr>
  <dimension ref="B2:M65"/>
  <sheetViews>
    <sheetView showGridLines="0" workbookViewId="0">
      <pane ySplit="3" topLeftCell="A4" activePane="bottomLeft" state="frozen"/>
      <selection pane="bottomLeft" activeCell="I69" sqref="I69"/>
    </sheetView>
  </sheetViews>
  <sheetFormatPr defaultRowHeight="15" x14ac:dyDescent="0.25"/>
  <cols>
    <col min="2" max="2" width="28.140625" customWidth="1"/>
    <col min="3" max="12" width="10.7109375" customWidth="1"/>
  </cols>
  <sheetData>
    <row r="2" spans="2:12" ht="16.5" x14ac:dyDescent="0.3">
      <c r="B2" s="234" t="s">
        <v>41</v>
      </c>
      <c r="C2" s="13" t="s">
        <v>109</v>
      </c>
      <c r="D2" s="13" t="s">
        <v>110</v>
      </c>
      <c r="E2" s="13" t="s">
        <v>111</v>
      </c>
      <c r="F2" s="13" t="s">
        <v>112</v>
      </c>
      <c r="G2" s="13" t="s">
        <v>113</v>
      </c>
      <c r="H2" s="13" t="s">
        <v>114</v>
      </c>
      <c r="I2" s="13" t="s">
        <v>115</v>
      </c>
      <c r="J2" s="13" t="s">
        <v>116</v>
      </c>
      <c r="K2" s="13" t="s">
        <v>119</v>
      </c>
      <c r="L2" s="13" t="s">
        <v>120</v>
      </c>
    </row>
    <row r="3" spans="2:12" ht="16.5" x14ac:dyDescent="0.3">
      <c r="B3" s="234"/>
      <c r="C3" s="13" t="s">
        <v>117</v>
      </c>
      <c r="D3" s="13" t="s">
        <v>117</v>
      </c>
      <c r="E3" s="13" t="s">
        <v>117</v>
      </c>
      <c r="F3" s="13" t="s">
        <v>117</v>
      </c>
      <c r="G3" s="13" t="s">
        <v>117</v>
      </c>
      <c r="H3" s="13" t="s">
        <v>118</v>
      </c>
      <c r="I3" s="13" t="s">
        <v>118</v>
      </c>
      <c r="J3" s="13" t="s">
        <v>118</v>
      </c>
      <c r="K3" s="13" t="s">
        <v>118</v>
      </c>
      <c r="L3" s="13" t="s">
        <v>118</v>
      </c>
    </row>
    <row r="6" spans="2:12" x14ac:dyDescent="0.25">
      <c r="B6" s="32" t="s">
        <v>23</v>
      </c>
    </row>
    <row r="8" spans="2:12" x14ac:dyDescent="0.25">
      <c r="B8" t="s">
        <v>154</v>
      </c>
      <c r="C8">
        <v>2340.62</v>
      </c>
      <c r="D8">
        <f>C11</f>
        <v>2409.81</v>
      </c>
      <c r="E8">
        <f t="shared" ref="E8:L8" si="0">D11</f>
        <v>2785.74</v>
      </c>
      <c r="F8">
        <f t="shared" si="0"/>
        <v>4059.35</v>
      </c>
      <c r="G8">
        <f t="shared" si="0"/>
        <v>4664.6400000000003</v>
      </c>
      <c r="H8">
        <f t="shared" si="0"/>
        <v>6137.14</v>
      </c>
      <c r="I8" s="34">
        <f t="shared" si="0"/>
        <v>7489.2993265278237</v>
      </c>
      <c r="J8" s="34">
        <f t="shared" si="0"/>
        <v>8943.3360400493002</v>
      </c>
      <c r="K8" s="34">
        <f t="shared" si="0"/>
        <v>10506.926012613701</v>
      </c>
      <c r="L8" s="34">
        <f t="shared" si="0"/>
        <v>12188.323448846892</v>
      </c>
    </row>
    <row r="9" spans="2:12" x14ac:dyDescent="0.25">
      <c r="B9" t="s">
        <v>159</v>
      </c>
      <c r="C9">
        <f>C11-C10-C8</f>
        <v>-90.809999999999945</v>
      </c>
      <c r="D9">
        <f>D11-D10-D8</f>
        <v>205.92999999999984</v>
      </c>
      <c r="E9">
        <f>E11-E10-E8</f>
        <v>1000.6100000000001</v>
      </c>
      <c r="F9">
        <f>F11-F10-F8</f>
        <v>274.29000000000042</v>
      </c>
      <c r="G9">
        <f>G11-G10-G8</f>
        <v>1042.5</v>
      </c>
      <c r="H9">
        <v>827.42</v>
      </c>
      <c r="I9">
        <v>827.42</v>
      </c>
      <c r="J9">
        <v>827.42</v>
      </c>
      <c r="K9">
        <v>827.42</v>
      </c>
      <c r="L9">
        <v>827.42</v>
      </c>
    </row>
    <row r="10" spans="2:12" x14ac:dyDescent="0.25">
      <c r="B10" t="s">
        <v>160</v>
      </c>
      <c r="C10">
        <v>160</v>
      </c>
      <c r="D10">
        <v>170</v>
      </c>
      <c r="E10">
        <v>273</v>
      </c>
      <c r="F10">
        <v>331</v>
      </c>
      <c r="G10">
        <v>430</v>
      </c>
      <c r="H10" s="40">
        <f>H13*(H8+H9)</f>
        <v>524.7393265278231</v>
      </c>
      <c r="I10" s="40">
        <f>I13*(I8+I9)</f>
        <v>626.61671352147732</v>
      </c>
      <c r="J10" s="40">
        <f>J13*(J8+J9)</f>
        <v>736.16997256440163</v>
      </c>
      <c r="K10" s="40">
        <f>K13*(K8+K9)</f>
        <v>853.97743623319059</v>
      </c>
      <c r="L10" s="40">
        <f>L13*(L8+L9)</f>
        <v>980.66101112013428</v>
      </c>
    </row>
    <row r="11" spans="2:12" x14ac:dyDescent="0.25">
      <c r="B11" s="30" t="s">
        <v>158</v>
      </c>
      <c r="C11" s="30">
        <f>'BS Source'!C26</f>
        <v>2409.81</v>
      </c>
      <c r="D11" s="30">
        <f>'BS Source'!D26</f>
        <v>2785.74</v>
      </c>
      <c r="E11" s="30">
        <f>'BS Source'!E26</f>
        <v>4059.35</v>
      </c>
      <c r="F11" s="30">
        <f>'BS Source'!F26</f>
        <v>4664.6400000000003</v>
      </c>
      <c r="G11" s="30">
        <f>'BS Source'!G26</f>
        <v>6137.14</v>
      </c>
      <c r="H11" s="39">
        <f>SUM(H8:H10)</f>
        <v>7489.2993265278237</v>
      </c>
      <c r="I11" s="39">
        <f>SUM(I8:I10)</f>
        <v>8943.3360400493002</v>
      </c>
      <c r="J11" s="39">
        <f>SUM(J8:J10)</f>
        <v>10506.926012613701</v>
      </c>
      <c r="K11" s="39">
        <f>SUM(K8:K10)</f>
        <v>12188.323448846892</v>
      </c>
      <c r="L11" s="39">
        <f>SUM(L8:L10)</f>
        <v>13996.404459967025</v>
      </c>
    </row>
    <row r="13" spans="2:12" x14ac:dyDescent="0.25">
      <c r="B13" t="s">
        <v>161</v>
      </c>
      <c r="C13" s="16">
        <f>C10/(C8+C9)</f>
        <v>7.1117116556509222E-2</v>
      </c>
      <c r="D13" s="16">
        <f>D10/(D8+D9)</f>
        <v>6.4991168847056677E-2</v>
      </c>
      <c r="E13" s="16">
        <f>E10/(E8+E9)</f>
        <v>7.2101100003961596E-2</v>
      </c>
      <c r="F13" s="16">
        <f>F10/(F8+F9)</f>
        <v>7.6379210086670785E-2</v>
      </c>
      <c r="G13" s="16">
        <f>G10/(G8+G9)</f>
        <v>7.5344217944539646E-2</v>
      </c>
      <c r="H13" s="25">
        <f>G13</f>
        <v>7.5344217944539646E-2</v>
      </c>
      <c r="I13" s="25">
        <f>H13</f>
        <v>7.5344217944539646E-2</v>
      </c>
      <c r="J13" s="25">
        <f>I13</f>
        <v>7.5344217944539646E-2</v>
      </c>
      <c r="K13" s="25">
        <f>J13</f>
        <v>7.5344217944539646E-2</v>
      </c>
      <c r="L13" s="25">
        <f>K13</f>
        <v>7.5344217944539646E-2</v>
      </c>
    </row>
    <row r="16" spans="2:12" x14ac:dyDescent="0.25">
      <c r="B16" s="8" t="s">
        <v>162</v>
      </c>
    </row>
    <row r="17" spans="2:12" x14ac:dyDescent="0.25">
      <c r="B17" t="s">
        <v>163</v>
      </c>
      <c r="C17">
        <f>C10</f>
        <v>160</v>
      </c>
      <c r="D17">
        <f>D10</f>
        <v>170</v>
      </c>
      <c r="E17">
        <f t="shared" ref="E17:L17" si="1">E10</f>
        <v>273</v>
      </c>
      <c r="F17">
        <f t="shared" si="1"/>
        <v>331</v>
      </c>
      <c r="G17" s="40">
        <f t="shared" si="1"/>
        <v>430</v>
      </c>
      <c r="H17" s="40">
        <f t="shared" si="1"/>
        <v>524.7393265278231</v>
      </c>
      <c r="I17" s="40">
        <f t="shared" si="1"/>
        <v>626.61671352147732</v>
      </c>
      <c r="J17" s="40">
        <f t="shared" si="1"/>
        <v>736.16997256440163</v>
      </c>
      <c r="K17" s="40">
        <f t="shared" si="1"/>
        <v>853.97743623319059</v>
      </c>
      <c r="L17" s="40">
        <f t="shared" si="1"/>
        <v>980.66101112013428</v>
      </c>
    </row>
    <row r="18" spans="2:12" x14ac:dyDescent="0.25">
      <c r="B18" t="s">
        <v>164</v>
      </c>
      <c r="C18">
        <f>C19-C17</f>
        <v>1.6800000000000068</v>
      </c>
      <c r="D18">
        <f>D19-D17</f>
        <v>4.3000000000000114</v>
      </c>
      <c r="E18">
        <f>E19-E17</f>
        <v>4.1100000000000136</v>
      </c>
      <c r="F18">
        <f>F19-F17</f>
        <v>8.5799999999999841</v>
      </c>
      <c r="G18">
        <f>G19-G17</f>
        <v>5.1399999999999864</v>
      </c>
      <c r="H18" s="34">
        <f>H17*(1-H20)</f>
        <v>6.1983732553959676</v>
      </c>
      <c r="I18" s="34">
        <f>I17*(1-I20)</f>
        <v>7.4017785253030803</v>
      </c>
      <c r="J18" s="34">
        <f>J17*(1-J20)</f>
        <v>8.6958534241416814</v>
      </c>
      <c r="K18" s="34">
        <f>K17*(1-K20)</f>
        <v>10.087429384194936</v>
      </c>
      <c r="L18" s="34">
        <f>L17*(1-L20)</f>
        <v>11.583852546668826</v>
      </c>
    </row>
    <row r="19" spans="2:12" x14ac:dyDescent="0.25">
      <c r="B19" s="30" t="s">
        <v>165</v>
      </c>
      <c r="C19" s="30">
        <f>'P&amp;L source'!C18</f>
        <v>161.68</v>
      </c>
      <c r="D19" s="30">
        <f>'P&amp;L source'!D18</f>
        <v>174.3</v>
      </c>
      <c r="E19" s="30">
        <f>'P&amp;L source'!E18</f>
        <v>277.11</v>
      </c>
      <c r="F19" s="30">
        <f>'P&amp;L source'!F18</f>
        <v>339.58</v>
      </c>
      <c r="G19" s="30">
        <f>'P&amp;L source'!G18</f>
        <v>435.14</v>
      </c>
      <c r="H19" s="41">
        <f>SUM(H17:H18)</f>
        <v>530.93769978321905</v>
      </c>
      <c r="I19" s="41">
        <f>SUM(I17:I18)</f>
        <v>634.01849204678035</v>
      </c>
      <c r="J19" s="41">
        <f>SUM(J17:J18)</f>
        <v>744.86582598854329</v>
      </c>
      <c r="K19" s="41">
        <f>SUM(K17:K18)</f>
        <v>864.06486561738552</v>
      </c>
      <c r="L19" s="41">
        <f>SUM(L17:L18)</f>
        <v>992.2448636668031</v>
      </c>
    </row>
    <row r="20" spans="2:12" x14ac:dyDescent="0.25">
      <c r="C20" s="16">
        <f>C17/C19</f>
        <v>0.98960910440376049</v>
      </c>
      <c r="D20" s="16">
        <f>D17/D19</f>
        <v>0.97532989099254153</v>
      </c>
      <c r="E20" s="16">
        <f>E17/E19</f>
        <v>0.98516834470066039</v>
      </c>
      <c r="F20" s="16">
        <f>F17/F19</f>
        <v>0.97473349431650869</v>
      </c>
      <c r="G20" s="16">
        <f>G17/G19</f>
        <v>0.98818770970262448</v>
      </c>
      <c r="H20" s="25">
        <f>G20</f>
        <v>0.98818770970262448</v>
      </c>
      <c r="I20" s="25">
        <f>H20</f>
        <v>0.98818770970262448</v>
      </c>
      <c r="J20" s="25">
        <f>I20</f>
        <v>0.98818770970262448</v>
      </c>
      <c r="K20" s="25">
        <f>J20</f>
        <v>0.98818770970262448</v>
      </c>
      <c r="L20" s="25">
        <f>K20</f>
        <v>0.98818770970262448</v>
      </c>
    </row>
    <row r="21" spans="2:12" x14ac:dyDescent="0.25">
      <c r="B21" s="32" t="s">
        <v>166</v>
      </c>
    </row>
    <row r="22" spans="2:12" x14ac:dyDescent="0.25">
      <c r="B22" t="s">
        <v>167</v>
      </c>
      <c r="D22">
        <f t="shared" ref="D22:L22" si="2">C25</f>
        <v>65.44</v>
      </c>
      <c r="E22">
        <f t="shared" si="2"/>
        <v>60.57</v>
      </c>
      <c r="F22">
        <f t="shared" si="2"/>
        <v>100.17</v>
      </c>
      <c r="G22">
        <f t="shared" si="2"/>
        <v>98.54</v>
      </c>
      <c r="H22">
        <f t="shared" ca="1" si="2"/>
        <v>103.67999999999999</v>
      </c>
      <c r="I22">
        <f t="shared" ca="1" si="2"/>
        <v>109.87837325539596</v>
      </c>
      <c r="J22">
        <f t="shared" ca="1" si="2"/>
        <v>117.28015178069904</v>
      </c>
      <c r="K22">
        <f t="shared" ca="1" si="2"/>
        <v>125.97600520484073</v>
      </c>
      <c r="L22">
        <f t="shared" ca="1" si="2"/>
        <v>136.06343458903567</v>
      </c>
    </row>
    <row r="23" spans="2:12" x14ac:dyDescent="0.25">
      <c r="B23" t="s">
        <v>168</v>
      </c>
      <c r="C23" s="171">
        <f>C25-C24</f>
        <v>63.759999999999991</v>
      </c>
      <c r="D23" s="171">
        <f t="shared" ref="D23:L23" si="3">D25-D24</f>
        <v>56.269999999999989</v>
      </c>
      <c r="E23" s="171">
        <f t="shared" si="3"/>
        <v>96.059999999999988</v>
      </c>
      <c r="F23" s="171">
        <f t="shared" si="3"/>
        <v>89.960000000000022</v>
      </c>
      <c r="G23" s="171">
        <f t="shared" ca="1" si="3"/>
        <v>63.759999999999991</v>
      </c>
      <c r="H23" s="171">
        <f t="shared" ca="1" si="3"/>
        <v>63.759999999999991</v>
      </c>
      <c r="I23" s="171">
        <f t="shared" ca="1" si="3"/>
        <v>63.759999999999991</v>
      </c>
      <c r="J23" s="171">
        <f t="shared" ca="1" si="3"/>
        <v>63.759999999999991</v>
      </c>
      <c r="K23" s="171">
        <f t="shared" ca="1" si="3"/>
        <v>63.759999999999991</v>
      </c>
      <c r="L23" s="171">
        <f t="shared" ca="1" si="3"/>
        <v>63.759999999999991</v>
      </c>
    </row>
    <row r="24" spans="2:12" x14ac:dyDescent="0.25">
      <c r="B24" t="s">
        <v>164</v>
      </c>
      <c r="C24" s="171">
        <f>C18</f>
        <v>1.6800000000000068</v>
      </c>
      <c r="D24" s="171">
        <f t="shared" ref="D24:L24" si="4">D18</f>
        <v>4.3000000000000114</v>
      </c>
      <c r="E24" s="171">
        <f t="shared" si="4"/>
        <v>4.1100000000000136</v>
      </c>
      <c r="F24" s="171">
        <f t="shared" si="4"/>
        <v>8.5799999999999841</v>
      </c>
      <c r="G24" s="171">
        <f t="shared" si="4"/>
        <v>5.1399999999999864</v>
      </c>
      <c r="H24" s="171">
        <f t="shared" si="4"/>
        <v>6.1983732553959676</v>
      </c>
      <c r="I24" s="171">
        <f t="shared" si="4"/>
        <v>7.4017785253030803</v>
      </c>
      <c r="J24" s="171">
        <f t="shared" si="4"/>
        <v>8.6958534241416814</v>
      </c>
      <c r="K24" s="171">
        <f t="shared" si="4"/>
        <v>10.087429384194936</v>
      </c>
      <c r="L24" s="171">
        <f t="shared" si="4"/>
        <v>11.583852546668826</v>
      </c>
    </row>
    <row r="25" spans="2:12" x14ac:dyDescent="0.25">
      <c r="B25" t="s">
        <v>169</v>
      </c>
      <c r="C25" s="1">
        <f>'BS Source'!C27</f>
        <v>65.44</v>
      </c>
      <c r="D25" s="1">
        <f>'BS Source'!D27</f>
        <v>60.57</v>
      </c>
      <c r="E25" s="1">
        <f>'BS Source'!E27</f>
        <v>100.17</v>
      </c>
      <c r="F25" s="1">
        <f>'BS Source'!F27</f>
        <v>98.54</v>
      </c>
      <c r="G25" s="1">
        <f t="shared" ref="G25:L25" ca="1" si="5">SUM(G22:G24)</f>
        <v>103.67999999999999</v>
      </c>
      <c r="H25" s="1">
        <f t="shared" ca="1" si="5"/>
        <v>109.87837325539596</v>
      </c>
      <c r="I25" s="1">
        <f t="shared" ca="1" si="5"/>
        <v>117.28015178069904</v>
      </c>
      <c r="J25" s="1">
        <f t="shared" ca="1" si="5"/>
        <v>125.97600520484073</v>
      </c>
      <c r="K25" s="1">
        <f t="shared" ca="1" si="5"/>
        <v>136.06343458903567</v>
      </c>
      <c r="L25" s="1">
        <f t="shared" ca="1" si="5"/>
        <v>147.64728713570449</v>
      </c>
    </row>
    <row r="27" spans="2:12" x14ac:dyDescent="0.25">
      <c r="B27" s="17"/>
    </row>
    <row r="28" spans="2:12" ht="18.75" x14ac:dyDescent="0.3">
      <c r="B28" s="33" t="s">
        <v>170</v>
      </c>
    </row>
    <row r="30" spans="2:12" x14ac:dyDescent="0.25">
      <c r="B30" s="32" t="s">
        <v>77</v>
      </c>
      <c r="C30">
        <f>'BS Source'!C38</f>
        <v>754.96</v>
      </c>
      <c r="D30">
        <f>'BS Source'!D38</f>
        <v>965.15</v>
      </c>
      <c r="E30">
        <f>'BS Source'!E38</f>
        <v>911.35</v>
      </c>
      <c r="F30">
        <f>'BS Source'!F38</f>
        <v>1112.5</v>
      </c>
      <c r="G30">
        <f>'BS Source'!G38</f>
        <v>1286.51</v>
      </c>
      <c r="H30" s="34">
        <f>(H31*H32)/365</f>
        <v>1363.0568699508992</v>
      </c>
      <c r="I30" s="34">
        <f>(I31*I32)/365</f>
        <v>1553.8848317440252</v>
      </c>
      <c r="J30" s="34">
        <f>(J31*J32)/365</f>
        <v>1771.4287081881889</v>
      </c>
      <c r="K30" s="34">
        <f>(K31*K32)/365</f>
        <v>2037.1430144164171</v>
      </c>
      <c r="L30" s="34">
        <f>(L31*L32)/365</f>
        <v>2342.7144665788796</v>
      </c>
    </row>
    <row r="31" spans="2:12" x14ac:dyDescent="0.25">
      <c r="B31" t="s">
        <v>127</v>
      </c>
      <c r="C31">
        <f>'P&amp;L source'!C13</f>
        <v>3803.53</v>
      </c>
      <c r="D31">
        <f>'P&amp;L source'!D13</f>
        <v>4140.3100000000004</v>
      </c>
      <c r="E31">
        <f>'P&amp;L source'!E13</f>
        <v>3905.3</v>
      </c>
      <c r="F31">
        <f>'P&amp;L source'!F13</f>
        <v>4251.2800000000007</v>
      </c>
      <c r="G31">
        <f>'P&amp;L source'!G13</f>
        <v>6012.12</v>
      </c>
      <c r="H31" s="34">
        <f>PL!H15</f>
        <v>6369.8389199999992</v>
      </c>
      <c r="I31" s="34">
        <f>PL!I15</f>
        <v>7261.6163687999997</v>
      </c>
      <c r="J31" s="34">
        <f>PL!J15</f>
        <v>8278.2426604320008</v>
      </c>
      <c r="K31" s="34">
        <f>PL!K15</f>
        <v>9519.9790594968017</v>
      </c>
      <c r="L31" s="34">
        <f>PL!L15</f>
        <v>10947.97591842132</v>
      </c>
    </row>
    <row r="32" spans="2:12" x14ac:dyDescent="0.25">
      <c r="B32" t="s">
        <v>171</v>
      </c>
      <c r="C32" s="24">
        <f>(C30/C31)*365</f>
        <v>72.448593806279959</v>
      </c>
      <c r="D32" s="24">
        <f>(D30/D31)*365</f>
        <v>85.0853559274547</v>
      </c>
      <c r="E32" s="24">
        <f>(E30/E31)*365</f>
        <v>85.177259109415402</v>
      </c>
      <c r="F32" s="24">
        <f>(F30/F31)*365</f>
        <v>95.515350670856762</v>
      </c>
      <c r="G32" s="24">
        <f>(G30/G31)*365</f>
        <v>78.104919728814465</v>
      </c>
      <c r="H32" s="24">
        <f>G32</f>
        <v>78.104919728814465</v>
      </c>
      <c r="I32" s="24">
        <f>H32</f>
        <v>78.104919728814465</v>
      </c>
      <c r="J32" s="24">
        <f>I32</f>
        <v>78.104919728814465</v>
      </c>
      <c r="K32" s="24">
        <f>J32</f>
        <v>78.104919728814465</v>
      </c>
      <c r="L32" s="24">
        <f>K32</f>
        <v>78.104919728814465</v>
      </c>
    </row>
    <row r="34" spans="2:12" x14ac:dyDescent="0.25">
      <c r="B34" s="32" t="s">
        <v>76</v>
      </c>
    </row>
    <row r="35" spans="2:12" x14ac:dyDescent="0.25">
      <c r="B35" t="s">
        <v>34</v>
      </c>
      <c r="C35">
        <f>'BS Source'!C39</f>
        <v>712.15</v>
      </c>
      <c r="D35">
        <f>'BS Source'!D39</f>
        <v>726.46</v>
      </c>
      <c r="E35">
        <f>'BS Source'!E39</f>
        <v>664.3</v>
      </c>
      <c r="F35">
        <f>'BS Source'!F39</f>
        <v>922.26</v>
      </c>
      <c r="G35">
        <f>'BS Source'!G39</f>
        <v>1152.8699999999999</v>
      </c>
      <c r="H35" s="34">
        <f>(H36*H37)/365</f>
        <v>1314.2718</v>
      </c>
      <c r="I35" s="34">
        <f>(I36*I37)/365</f>
        <v>1498.2698520000001</v>
      </c>
      <c r="J35" s="34">
        <f>(J36*J37)/365</f>
        <v>1708.0276312800004</v>
      </c>
      <c r="K35" s="34">
        <f>(K36*K37)/365</f>
        <v>1964.2317759720002</v>
      </c>
      <c r="L35" s="34">
        <f>(L36*L37)/365</f>
        <v>2258.8665423678003</v>
      </c>
    </row>
    <row r="36" spans="2:12" x14ac:dyDescent="0.25">
      <c r="B36" t="s">
        <v>122</v>
      </c>
      <c r="C36">
        <f>'P&amp;L source'!C5</f>
        <v>6075.37</v>
      </c>
      <c r="D36">
        <f>'P&amp;L source'!D5</f>
        <v>6800.06</v>
      </c>
      <c r="E36">
        <f>'P&amp;L source'!E5</f>
        <v>6680.37</v>
      </c>
      <c r="F36">
        <f>'P&amp;L source'!F5</f>
        <v>7541.69</v>
      </c>
      <c r="G36">
        <f>'P&amp;L source'!G5</f>
        <v>9312.6299999999992</v>
      </c>
      <c r="H36" s="34">
        <f>PL!H7</f>
        <v>10616.3982</v>
      </c>
      <c r="I36" s="34">
        <f>PL!I7</f>
        <v>12102.693948</v>
      </c>
      <c r="J36" s="34">
        <f>PL!J7</f>
        <v>13797.071100720003</v>
      </c>
      <c r="K36" s="34">
        <f>PL!K7</f>
        <v>15866.631765828002</v>
      </c>
      <c r="L36" s="34">
        <f>PL!L7</f>
        <v>18246.6265307022</v>
      </c>
    </row>
    <row r="37" spans="2:12" x14ac:dyDescent="0.25">
      <c r="B37" t="s">
        <v>172</v>
      </c>
      <c r="C37" s="24">
        <f>(C35/C36)*365</f>
        <v>42.785007332886721</v>
      </c>
      <c r="D37" s="24">
        <f>(D35/D36)*365</f>
        <v>38.993464763546207</v>
      </c>
      <c r="E37" s="24">
        <f>(E35/E36)*365</f>
        <v>36.295818944160281</v>
      </c>
      <c r="F37" s="24">
        <f>(F35/F36)*365</f>
        <v>44.635207758473236</v>
      </c>
      <c r="G37" s="24">
        <f>(G35/G36)*365</f>
        <v>45.185683313951053</v>
      </c>
      <c r="H37" s="24">
        <f>G37</f>
        <v>45.185683313951053</v>
      </c>
      <c r="I37" s="24">
        <f>H37</f>
        <v>45.185683313951053</v>
      </c>
      <c r="J37" s="24">
        <f>I37</f>
        <v>45.185683313951053</v>
      </c>
      <c r="K37" s="24">
        <f>J37</f>
        <v>45.185683313951053</v>
      </c>
      <c r="L37" s="24">
        <f>K37</f>
        <v>45.185683313951053</v>
      </c>
    </row>
    <row r="39" spans="2:12" x14ac:dyDescent="0.25">
      <c r="B39" s="32" t="s">
        <v>0</v>
      </c>
    </row>
    <row r="40" spans="2:12" x14ac:dyDescent="0.25">
      <c r="B40" t="s">
        <v>173</v>
      </c>
      <c r="C40">
        <f>'BS Source'!C19</f>
        <v>848.54</v>
      </c>
      <c r="D40">
        <f>'BS Source'!D19</f>
        <v>1033.93</v>
      </c>
      <c r="E40">
        <f>'BS Source'!E19</f>
        <v>1191.1199999999999</v>
      </c>
      <c r="F40">
        <f>'BS Source'!F19</f>
        <v>1943.6</v>
      </c>
      <c r="G40">
        <f>'BS Source'!G19</f>
        <v>2206.62</v>
      </c>
      <c r="H40" s="34">
        <f>(H41*H42)/365</f>
        <v>2337.9130751965026</v>
      </c>
      <c r="I40" s="34">
        <f>(I41*I42)/365</f>
        <v>2665.2209057240134</v>
      </c>
      <c r="J40" s="34">
        <f>(J41*J42)/365</f>
        <v>3038.3518325253758</v>
      </c>
      <c r="K40" s="34">
        <f>(K41*K42)/365</f>
        <v>3494.1046074041824</v>
      </c>
      <c r="L40" s="34">
        <f>(L41*L42)/365</f>
        <v>4018.2202985148092</v>
      </c>
    </row>
    <row r="41" spans="2:12" x14ac:dyDescent="0.25">
      <c r="B41" t="s">
        <v>127</v>
      </c>
      <c r="C41">
        <f>'P&amp;L source'!C13</f>
        <v>3803.53</v>
      </c>
      <c r="D41">
        <f>'P&amp;L source'!D13</f>
        <v>4140.3100000000004</v>
      </c>
      <c r="E41">
        <f>'P&amp;L source'!E13</f>
        <v>3905.3</v>
      </c>
      <c r="F41">
        <f>'P&amp;L source'!F13</f>
        <v>4251.2800000000007</v>
      </c>
      <c r="G41">
        <f>'P&amp;L source'!G13</f>
        <v>6012.12</v>
      </c>
      <c r="H41" s="34">
        <f>PL!H15</f>
        <v>6369.8389199999992</v>
      </c>
      <c r="I41" s="34">
        <f>PL!I15</f>
        <v>7261.6163687999997</v>
      </c>
      <c r="J41" s="34">
        <f>PL!J15</f>
        <v>8278.2426604320008</v>
      </c>
      <c r="K41" s="34">
        <f>PL!K15</f>
        <v>9519.9790594968017</v>
      </c>
      <c r="L41" s="34">
        <f>PL!L15</f>
        <v>10947.97591842132</v>
      </c>
    </row>
    <row r="42" spans="2:12" x14ac:dyDescent="0.25">
      <c r="B42" t="s">
        <v>174</v>
      </c>
      <c r="C42" s="24">
        <f>(C40/C41)*365</f>
        <v>81.428856877689924</v>
      </c>
      <c r="D42" s="24">
        <f>(D40/D41)*365</f>
        <v>91.148839096589384</v>
      </c>
      <c r="E42" s="24">
        <f>(E40/E41)*365</f>
        <v>111.32532711955547</v>
      </c>
      <c r="F42" s="24">
        <f>(F40/F41)*365</f>
        <v>166.8706836529233</v>
      </c>
      <c r="G42" s="24">
        <f>(G40/G41)*365</f>
        <v>133.96543981158061</v>
      </c>
      <c r="H42" s="24">
        <f>G42</f>
        <v>133.96543981158061</v>
      </c>
      <c r="I42" s="24">
        <f>H42</f>
        <v>133.96543981158061</v>
      </c>
      <c r="J42" s="24">
        <f>I42</f>
        <v>133.96543981158061</v>
      </c>
      <c r="K42" s="24">
        <f>J42</f>
        <v>133.96543981158061</v>
      </c>
      <c r="L42" s="24">
        <f>K42</f>
        <v>133.96543981158061</v>
      </c>
    </row>
    <row r="44" spans="2:12" x14ac:dyDescent="0.25">
      <c r="B44" t="s">
        <v>175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2:12" x14ac:dyDescent="0.25">
      <c r="B45" t="s">
        <v>176</v>
      </c>
      <c r="C45">
        <f>'BS Source'!C41</f>
        <v>49.02</v>
      </c>
      <c r="D45">
        <f>'BS Source'!D41</f>
        <v>58</v>
      </c>
      <c r="E45">
        <f>'BS Source'!E41</f>
        <v>0</v>
      </c>
      <c r="F45">
        <f>'BS Source'!F41</f>
        <v>0</v>
      </c>
      <c r="G45">
        <f>'BS Source'!G41</f>
        <v>0</v>
      </c>
      <c r="H45">
        <f>G45</f>
        <v>0</v>
      </c>
      <c r="I45">
        <f>H45</f>
        <v>0</v>
      </c>
      <c r="J45">
        <f>I45</f>
        <v>0</v>
      </c>
      <c r="K45">
        <f>J45</f>
        <v>0</v>
      </c>
      <c r="L45">
        <f>K45</f>
        <v>0</v>
      </c>
    </row>
    <row r="46" spans="2:12" x14ac:dyDescent="0.25">
      <c r="B46" t="s">
        <v>177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2:12" x14ac:dyDescent="0.25">
      <c r="B47" t="s">
        <v>178</v>
      </c>
      <c r="C47" s="42">
        <f>'BS Source'!C42</f>
        <v>118.88</v>
      </c>
      <c r="D47" s="42">
        <f>'BS Source'!D42</f>
        <v>155.33000000000001</v>
      </c>
      <c r="E47" s="42">
        <f>'BS Source'!E42</f>
        <v>157.62</v>
      </c>
      <c r="F47" s="42">
        <f>'BS Source'!F42</f>
        <v>123.81</v>
      </c>
      <c r="G47" s="42">
        <f>'BS Source'!G42</f>
        <v>117.67</v>
      </c>
      <c r="H47" s="34">
        <f>H57*H53</f>
        <v>134.14380000000003</v>
      </c>
      <c r="I47" s="34">
        <f>I57*I53</f>
        <v>152.92393200000004</v>
      </c>
      <c r="J47" s="34">
        <f>J57*J53</f>
        <v>174.33328248000007</v>
      </c>
      <c r="K47" s="34">
        <f>K57*K53</f>
        <v>200.48327485200005</v>
      </c>
      <c r="L47" s="34">
        <f>L57*L53</f>
        <v>230.55576607980004</v>
      </c>
    </row>
    <row r="48" spans="2:12" x14ac:dyDescent="0.25">
      <c r="B48" t="s">
        <v>179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</row>
    <row r="49" spans="2:13" x14ac:dyDescent="0.25">
      <c r="B49" t="s">
        <v>180</v>
      </c>
      <c r="C49" s="42">
        <f>'BS Source'!C18</f>
        <v>143.63999999999999</v>
      </c>
      <c r="D49" s="42">
        <f>'BS Source'!D18</f>
        <v>214.31</v>
      </c>
      <c r="E49" s="42">
        <f>'BS Source'!E18</f>
        <v>215.59</v>
      </c>
      <c r="F49" s="42">
        <f>'BS Source'!F18</f>
        <v>0.53</v>
      </c>
      <c r="G49" s="42">
        <f>'BS Source'!G18</f>
        <v>352.24</v>
      </c>
      <c r="H49" s="34">
        <f>H58*H54</f>
        <v>373.19814993393339</v>
      </c>
      <c r="I49" s="34">
        <f>I58*I54</f>
        <v>425.44589092468414</v>
      </c>
      <c r="J49" s="34">
        <f>J58*J54</f>
        <v>485.00831565413995</v>
      </c>
      <c r="K49" s="34">
        <f>K58*K54</f>
        <v>557.75956300226096</v>
      </c>
      <c r="L49" s="34">
        <f>L58*L54</f>
        <v>641.42349745260003</v>
      </c>
    </row>
    <row r="50" spans="2:13" x14ac:dyDescent="0.25">
      <c r="B50" t="s">
        <v>181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</row>
    <row r="51" spans="2:13" x14ac:dyDescent="0.25">
      <c r="B51" t="s">
        <v>182</v>
      </c>
      <c r="C51" s="42">
        <f>'BS Source'!C20</f>
        <v>694.19</v>
      </c>
      <c r="D51" s="42">
        <f>'BS Source'!D20</f>
        <v>710.86</v>
      </c>
      <c r="E51" s="42">
        <f>'BS Source'!E20</f>
        <v>736.77</v>
      </c>
      <c r="F51" s="42">
        <f>'BS Source'!F20</f>
        <v>957.42</v>
      </c>
      <c r="G51" s="42">
        <f>'BS Source'!G20</f>
        <v>936.63</v>
      </c>
      <c r="H51" s="34">
        <f>H59*H54</f>
        <v>992.35913914552589</v>
      </c>
      <c r="I51" s="34">
        <f>I59*I54</f>
        <v>1131.2894186258995</v>
      </c>
      <c r="J51" s="34">
        <f>J59*J54</f>
        <v>1289.6699372335256</v>
      </c>
      <c r="K51" s="34">
        <f>K59*K54</f>
        <v>1483.1204278185546</v>
      </c>
      <c r="L51" s="34">
        <f>L59*L54</f>
        <v>1705.5884919913376</v>
      </c>
    </row>
    <row r="53" spans="2:13" x14ac:dyDescent="0.25">
      <c r="B53" s="1" t="s">
        <v>122</v>
      </c>
      <c r="C53" s="1">
        <f>'P&amp;L source'!C5</f>
        <v>6075.37</v>
      </c>
      <c r="D53" s="1">
        <f>'P&amp;L source'!D5</f>
        <v>6800.06</v>
      </c>
      <c r="E53" s="1">
        <f>'P&amp;L source'!E5</f>
        <v>6680.37</v>
      </c>
      <c r="F53" s="1">
        <f>'P&amp;L source'!F5</f>
        <v>7541.69</v>
      </c>
      <c r="G53" s="1">
        <f>'P&amp;L source'!G5</f>
        <v>9312.6299999999992</v>
      </c>
      <c r="H53" s="24">
        <f>PL!H7</f>
        <v>10616.3982</v>
      </c>
      <c r="I53" s="24">
        <f>PL!I7</f>
        <v>12102.693948</v>
      </c>
      <c r="J53" s="24">
        <f>PL!J7</f>
        <v>13797.071100720003</v>
      </c>
      <c r="K53" s="24">
        <f>PL!K7</f>
        <v>15866.631765828002</v>
      </c>
      <c r="L53" s="24">
        <f>PL!L7</f>
        <v>18246.6265307022</v>
      </c>
    </row>
    <row r="54" spans="2:13" x14ac:dyDescent="0.25">
      <c r="B54" s="1" t="s">
        <v>127</v>
      </c>
      <c r="C54" s="1">
        <f>'P&amp;L source'!C13</f>
        <v>3803.53</v>
      </c>
      <c r="D54" s="1">
        <f>'P&amp;L source'!D13</f>
        <v>4140.3100000000004</v>
      </c>
      <c r="E54" s="1">
        <f>'P&amp;L source'!E13</f>
        <v>3905.3</v>
      </c>
      <c r="F54" s="1">
        <f>'P&amp;L source'!F13</f>
        <v>4251.2800000000007</v>
      </c>
      <c r="G54" s="1">
        <f>'P&amp;L source'!G13</f>
        <v>6012.12</v>
      </c>
      <c r="H54" s="24">
        <f>PL!H15</f>
        <v>6369.8389199999992</v>
      </c>
      <c r="I54" s="24">
        <f>PL!I15</f>
        <v>7261.6163687999997</v>
      </c>
      <c r="J54" s="24">
        <f>PL!J15</f>
        <v>8278.2426604320008</v>
      </c>
      <c r="K54" s="24">
        <f>PL!K15</f>
        <v>9519.9790594968017</v>
      </c>
      <c r="L54" s="24">
        <f>PL!L15</f>
        <v>10947.97591842132</v>
      </c>
    </row>
    <row r="56" spans="2:13" ht="16.5" customHeight="1" x14ac:dyDescent="0.25">
      <c r="B56" s="1" t="s">
        <v>183</v>
      </c>
    </row>
    <row r="57" spans="2:13" x14ac:dyDescent="0.25">
      <c r="B57" t="s">
        <v>178</v>
      </c>
      <c r="C57" s="38">
        <f>C47/C53</f>
        <v>1.9567532512423113E-2</v>
      </c>
      <c r="D57" s="38">
        <f>D47/D53</f>
        <v>2.2842445507833754E-2</v>
      </c>
      <c r="E57" s="38">
        <f>E47/E53</f>
        <v>2.3594501502162305E-2</v>
      </c>
      <c r="F57" s="38">
        <f>F47/F53</f>
        <v>1.6416744787971928E-2</v>
      </c>
      <c r="G57" s="38">
        <f>G47/G53</f>
        <v>1.2635528309403468E-2</v>
      </c>
      <c r="H57" s="29">
        <f t="shared" ref="H57:L59" si="6">G57</f>
        <v>1.2635528309403468E-2</v>
      </c>
      <c r="I57" s="29">
        <f t="shared" si="6"/>
        <v>1.2635528309403468E-2</v>
      </c>
      <c r="J57" s="29">
        <f t="shared" si="6"/>
        <v>1.2635528309403468E-2</v>
      </c>
      <c r="K57" s="29">
        <f t="shared" si="6"/>
        <v>1.2635528309403468E-2</v>
      </c>
      <c r="L57" s="29">
        <f t="shared" si="6"/>
        <v>1.2635528309403468E-2</v>
      </c>
    </row>
    <row r="58" spans="2:13" x14ac:dyDescent="0.25">
      <c r="B58" t="s">
        <v>180</v>
      </c>
      <c r="C58" s="38">
        <f>C49/C54</f>
        <v>3.7764918378453693E-2</v>
      </c>
      <c r="D58" s="38">
        <f>D49/D54</f>
        <v>5.1761824597675046E-2</v>
      </c>
      <c r="E58" s="38">
        <f>E49/E54</f>
        <v>5.5204465726064578E-2</v>
      </c>
      <c r="F58" s="38">
        <f>F49/F54</f>
        <v>1.2466833518375641E-4</v>
      </c>
      <c r="G58" s="38">
        <f>G49/G54</f>
        <v>5.8588318263773843E-2</v>
      </c>
      <c r="H58" s="29">
        <f t="shared" si="6"/>
        <v>5.8588318263773843E-2</v>
      </c>
      <c r="I58" s="29">
        <f t="shared" si="6"/>
        <v>5.8588318263773843E-2</v>
      </c>
      <c r="J58" s="29">
        <f t="shared" si="6"/>
        <v>5.8588318263773843E-2</v>
      </c>
      <c r="K58" s="29">
        <f t="shared" si="6"/>
        <v>5.8588318263773843E-2</v>
      </c>
      <c r="L58" s="29">
        <f t="shared" si="6"/>
        <v>5.8588318263773843E-2</v>
      </c>
    </row>
    <row r="59" spans="2:13" x14ac:dyDescent="0.25">
      <c r="B59" t="s">
        <v>182</v>
      </c>
      <c r="C59" s="38">
        <f>C51/C54</f>
        <v>0.1825120348728681</v>
      </c>
      <c r="D59" s="38">
        <f>D51/D54</f>
        <v>0.17169245781113007</v>
      </c>
      <c r="E59" s="38">
        <f>E51/E54</f>
        <v>0.18865900186925458</v>
      </c>
      <c r="F59" s="38">
        <f>F51/F54</f>
        <v>0.22520746692760765</v>
      </c>
      <c r="G59" s="38">
        <f>G51/G54</f>
        <v>0.15579030358675475</v>
      </c>
      <c r="H59" s="29">
        <f t="shared" si="6"/>
        <v>0.15579030358675475</v>
      </c>
      <c r="I59" s="29">
        <f t="shared" si="6"/>
        <v>0.15579030358675475</v>
      </c>
      <c r="J59" s="29">
        <f t="shared" si="6"/>
        <v>0.15579030358675475</v>
      </c>
      <c r="K59" s="29">
        <f t="shared" si="6"/>
        <v>0.15579030358675475</v>
      </c>
      <c r="L59" s="29">
        <f t="shared" si="6"/>
        <v>0.15579030358675475</v>
      </c>
    </row>
    <row r="60" spans="2:13" x14ac:dyDescent="0.25">
      <c r="C60" s="1"/>
      <c r="D60" s="1"/>
      <c r="E60" s="1"/>
      <c r="F60" s="1"/>
      <c r="G60" s="1"/>
    </row>
    <row r="61" spans="2:13" x14ac:dyDescent="0.25">
      <c r="B61" s="35" t="s">
        <v>184</v>
      </c>
      <c r="C61" s="36">
        <f>'BS Source'!C43-'BS Source'!C40</f>
        <v>1675.07</v>
      </c>
      <c r="D61" s="36">
        <f>'BS Source'!D43-'BS Source'!D40</f>
        <v>1904.94</v>
      </c>
      <c r="E61" s="36">
        <f>'BS Source'!E43-'BS Source'!E40</f>
        <v>1733.27</v>
      </c>
      <c r="F61" s="36">
        <f>'BS Source'!F43-'BS Source'!F40</f>
        <v>2158.5699999999997</v>
      </c>
      <c r="G61" s="36">
        <f>'BS Source'!G43-'BS Source'!G40</f>
        <v>2557.0500000000002</v>
      </c>
      <c r="H61" s="45">
        <f>'BS '!H44-'BS '!H41</f>
        <v>2944.9224699508991</v>
      </c>
      <c r="I61" s="45">
        <f>'BS '!I44-'BS '!I41</f>
        <v>3338.5286157440255</v>
      </c>
      <c r="J61" s="45">
        <f>'BS '!J44-'BS '!J41</f>
        <v>3787.2396219481889</v>
      </c>
      <c r="K61" s="45">
        <f>'BS '!K44-'BS '!K41</f>
        <v>4335.3080652404169</v>
      </c>
      <c r="L61" s="45">
        <f>'BS '!L44-'BS '!L41</f>
        <v>4965.5867750264788</v>
      </c>
      <c r="M61" s="17"/>
    </row>
    <row r="62" spans="2:13" x14ac:dyDescent="0.25">
      <c r="B62" s="35" t="s">
        <v>185</v>
      </c>
      <c r="C62" s="36">
        <f>'BS Source'!C22-'BS Source'!C21</f>
        <v>1686.37</v>
      </c>
      <c r="D62" s="36">
        <f>'BS Source'!D22-'BS Source'!D21</f>
        <v>1959.1</v>
      </c>
      <c r="E62" s="36">
        <f>'BS Source'!E22-'BS Source'!E21</f>
        <v>2143.4799999999996</v>
      </c>
      <c r="F62" s="36">
        <f>'BS Source'!F22-'BS Source'!F21</f>
        <v>2901.5499999999997</v>
      </c>
      <c r="G62" s="36">
        <f>'BS Source'!G22-'BS Source'!G21</f>
        <v>3495.49</v>
      </c>
      <c r="H62" s="45">
        <f>'BS '!H23-'BS '!H22</f>
        <v>3703.4703642759623</v>
      </c>
      <c r="I62" s="45">
        <f>'BS '!I23-'BS '!I22</f>
        <v>4221.9562152745966</v>
      </c>
      <c r="J62" s="45">
        <f>'BS '!J23-'BS '!J22</f>
        <v>4813.0300854130419</v>
      </c>
      <c r="K62" s="45">
        <f>'BS '!K23-'BS '!K22</f>
        <v>5534.9845982249981</v>
      </c>
      <c r="L62" s="45">
        <f>'BS '!L23-'BS '!L22</f>
        <v>6365.2322879587473</v>
      </c>
      <c r="M62" s="17"/>
    </row>
    <row r="63" spans="2:13" x14ac:dyDescent="0.25">
      <c r="B63" s="35" t="s">
        <v>186</v>
      </c>
      <c r="C63" s="35">
        <f>C61-C62</f>
        <v>-11.299999999999955</v>
      </c>
      <c r="D63" s="35">
        <f t="shared" ref="D63:L63" si="7">D61-D62</f>
        <v>-54.159999999999854</v>
      </c>
      <c r="E63" s="35">
        <f t="shared" si="7"/>
        <v>-410.20999999999958</v>
      </c>
      <c r="F63" s="35">
        <f t="shared" si="7"/>
        <v>-742.98</v>
      </c>
      <c r="G63" s="46">
        <f t="shared" si="7"/>
        <v>-938.4399999999996</v>
      </c>
      <c r="H63" s="46">
        <f t="shared" si="7"/>
        <v>-758.54789432506323</v>
      </c>
      <c r="I63" s="46">
        <f t="shared" si="7"/>
        <v>-883.42759953057111</v>
      </c>
      <c r="J63" s="46">
        <f t="shared" si="7"/>
        <v>-1025.790463464853</v>
      </c>
      <c r="K63" s="46">
        <f t="shared" si="7"/>
        <v>-1199.6765329845812</v>
      </c>
      <c r="L63" s="46">
        <f t="shared" si="7"/>
        <v>-1399.6455129322685</v>
      </c>
      <c r="M63" s="17"/>
    </row>
    <row r="64" spans="2:13" x14ac:dyDescent="0.25">
      <c r="B64" s="35" t="s">
        <v>187</v>
      </c>
      <c r="C64" s="35"/>
      <c r="D64" s="35">
        <f t="shared" ref="D64:L64" si="8">D63-C63</f>
        <v>-42.8599999999999</v>
      </c>
      <c r="E64" s="35">
        <f t="shared" si="8"/>
        <v>-356.04999999999973</v>
      </c>
      <c r="F64" s="35">
        <f t="shared" si="8"/>
        <v>-332.77000000000044</v>
      </c>
      <c r="G64" s="46">
        <f t="shared" si="8"/>
        <v>-195.45999999999958</v>
      </c>
      <c r="H64" s="46">
        <f t="shared" si="8"/>
        <v>179.89210567493637</v>
      </c>
      <c r="I64" s="46">
        <f t="shared" si="8"/>
        <v>-124.87970520550789</v>
      </c>
      <c r="J64" s="46">
        <f t="shared" si="8"/>
        <v>-142.3628639342819</v>
      </c>
      <c r="K64" s="46">
        <f t="shared" si="8"/>
        <v>-173.88606951972815</v>
      </c>
      <c r="L64" s="46">
        <f t="shared" si="8"/>
        <v>-199.96897994768733</v>
      </c>
      <c r="M64" s="17"/>
    </row>
    <row r="65" spans="2:13" x14ac:dyDescent="0.25"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17"/>
    </row>
  </sheetData>
  <mergeCells count="1">
    <mergeCell ref="B2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E299-1937-4F0E-ABB1-2A08B173CF0F}">
  <sheetPr>
    <tabColor theme="9" tint="-0.499984740745262"/>
  </sheetPr>
  <dimension ref="B2:M47"/>
  <sheetViews>
    <sheetView showGridLines="0" workbookViewId="0">
      <pane ySplit="3" topLeftCell="A30" activePane="bottomLeft" state="frozen"/>
      <selection pane="bottomLeft" activeCell="I48" sqref="I48"/>
    </sheetView>
  </sheetViews>
  <sheetFormatPr defaultRowHeight="15" x14ac:dyDescent="0.25"/>
  <cols>
    <col min="2" max="2" width="31.7109375" customWidth="1"/>
    <col min="3" max="12" width="12.140625" customWidth="1"/>
  </cols>
  <sheetData>
    <row r="2" spans="2:13" ht="16.5" x14ac:dyDescent="0.3">
      <c r="B2" s="234" t="s">
        <v>41</v>
      </c>
      <c r="C2" s="13" t="s">
        <v>109</v>
      </c>
      <c r="D2" s="13" t="s">
        <v>110</v>
      </c>
      <c r="E2" s="13" t="s">
        <v>111</v>
      </c>
      <c r="F2" s="13" t="s">
        <v>112</v>
      </c>
      <c r="G2" s="13" t="s">
        <v>113</v>
      </c>
      <c r="H2" s="13" t="s">
        <v>114</v>
      </c>
      <c r="I2" s="13" t="s">
        <v>115</v>
      </c>
      <c r="J2" s="13" t="s">
        <v>116</v>
      </c>
      <c r="K2" s="13" t="s">
        <v>119</v>
      </c>
      <c r="L2" s="13" t="s">
        <v>120</v>
      </c>
    </row>
    <row r="3" spans="2:13" ht="16.5" x14ac:dyDescent="0.3">
      <c r="B3" s="234"/>
      <c r="C3" s="13" t="s">
        <v>117</v>
      </c>
      <c r="D3" s="13" t="s">
        <v>117</v>
      </c>
      <c r="E3" s="13" t="s">
        <v>117</v>
      </c>
      <c r="F3" s="13" t="s">
        <v>117</v>
      </c>
      <c r="G3" s="13" t="s">
        <v>117</v>
      </c>
      <c r="H3" s="13" t="s">
        <v>118</v>
      </c>
      <c r="I3" s="13" t="s">
        <v>118</v>
      </c>
      <c r="J3" s="13" t="s">
        <v>118</v>
      </c>
      <c r="K3" s="13" t="s">
        <v>118</v>
      </c>
      <c r="L3" s="13" t="s">
        <v>118</v>
      </c>
    </row>
    <row r="4" spans="2:13" x14ac:dyDescent="0.25">
      <c r="B4" s="3"/>
    </row>
    <row r="6" spans="2:13" x14ac:dyDescent="0.25">
      <c r="B6" t="s">
        <v>3</v>
      </c>
    </row>
    <row r="7" spans="2:13" x14ac:dyDescent="0.25">
      <c r="B7" t="s">
        <v>4</v>
      </c>
    </row>
    <row r="8" spans="2:13" x14ac:dyDescent="0.25">
      <c r="B8" t="s">
        <v>5</v>
      </c>
      <c r="C8" s="4">
        <f>'BS Source'!C7</f>
        <v>40.450000000000003</v>
      </c>
      <c r="D8" s="4">
        <f>'BS Source'!D7</f>
        <v>40.450000000000003</v>
      </c>
      <c r="E8" s="4">
        <f>'BS Source'!E7</f>
        <v>40.450000000000003</v>
      </c>
      <c r="F8" s="4">
        <f>'BS Source'!F7</f>
        <v>40.450000000000003</v>
      </c>
      <c r="G8" s="4">
        <f>'BS Source'!G7</f>
        <v>40.450000000000003</v>
      </c>
      <c r="H8">
        <f>G8</f>
        <v>40.450000000000003</v>
      </c>
      <c r="I8">
        <f>H8</f>
        <v>40.450000000000003</v>
      </c>
      <c r="J8">
        <f>I8</f>
        <v>40.450000000000003</v>
      </c>
      <c r="K8">
        <f>J8</f>
        <v>40.450000000000003</v>
      </c>
      <c r="L8">
        <f>K8</f>
        <v>40.450000000000003</v>
      </c>
    </row>
    <row r="9" spans="2:13" x14ac:dyDescent="0.25">
      <c r="B9" s="1" t="s">
        <v>6</v>
      </c>
      <c r="C9" s="1">
        <f t="shared" ref="C9:L9" si="0">SUM(C6:C8)</f>
        <v>40.450000000000003</v>
      </c>
      <c r="D9" s="1">
        <f t="shared" si="0"/>
        <v>40.450000000000003</v>
      </c>
      <c r="E9" s="1">
        <f t="shared" si="0"/>
        <v>40.450000000000003</v>
      </c>
      <c r="F9" s="1">
        <f t="shared" si="0"/>
        <v>40.450000000000003</v>
      </c>
      <c r="G9" s="1">
        <f t="shared" si="0"/>
        <v>40.450000000000003</v>
      </c>
      <c r="H9" s="1">
        <f t="shared" si="0"/>
        <v>40.450000000000003</v>
      </c>
      <c r="I9" s="1">
        <f t="shared" si="0"/>
        <v>40.450000000000003</v>
      </c>
      <c r="J9" s="1">
        <f t="shared" si="0"/>
        <v>40.450000000000003</v>
      </c>
      <c r="K9" s="1">
        <f t="shared" si="0"/>
        <v>40.450000000000003</v>
      </c>
      <c r="L9" s="1">
        <f t="shared" si="0"/>
        <v>40.450000000000003</v>
      </c>
    </row>
    <row r="10" spans="2:13" x14ac:dyDescent="0.25">
      <c r="B10" t="s">
        <v>7</v>
      </c>
      <c r="C10" s="4">
        <f>'BS Source'!C9</f>
        <v>2506.37</v>
      </c>
      <c r="D10" s="4">
        <f>'BS Source'!D9</f>
        <v>2710.59</v>
      </c>
      <c r="E10" s="4">
        <f>'BS Source'!E9</f>
        <v>2720.15</v>
      </c>
      <c r="F10" s="4">
        <f>'BS Source'!F9</f>
        <v>3124.29</v>
      </c>
      <c r="G10" s="4">
        <f>'BS Source'!G9</f>
        <v>3109.82</v>
      </c>
      <c r="H10">
        <f>G10</f>
        <v>3109.82</v>
      </c>
      <c r="I10">
        <f>H10</f>
        <v>3109.82</v>
      </c>
      <c r="J10">
        <f>I10</f>
        <v>3109.82</v>
      </c>
      <c r="K10">
        <f>J10</f>
        <v>3109.82</v>
      </c>
      <c r="L10">
        <f>K10</f>
        <v>3109.82</v>
      </c>
    </row>
    <row r="11" spans="2:13" x14ac:dyDescent="0.25">
      <c r="B11" s="52" t="s">
        <v>8</v>
      </c>
      <c r="C11" s="52">
        <f>SUM(C9:C10)</f>
        <v>2546.8199999999997</v>
      </c>
      <c r="D11" s="52">
        <f t="shared" ref="D11:L11" si="1">SUM(D9:D10)</f>
        <v>2751.04</v>
      </c>
      <c r="E11" s="52">
        <f t="shared" si="1"/>
        <v>2760.6</v>
      </c>
      <c r="F11" s="52">
        <f t="shared" si="1"/>
        <v>3164.74</v>
      </c>
      <c r="G11" s="52">
        <f t="shared" si="1"/>
        <v>3150.27</v>
      </c>
      <c r="H11" s="52">
        <f t="shared" si="1"/>
        <v>3150.27</v>
      </c>
      <c r="I11" s="52">
        <f t="shared" si="1"/>
        <v>3150.27</v>
      </c>
      <c r="J11" s="52">
        <f t="shared" si="1"/>
        <v>3150.27</v>
      </c>
      <c r="K11" s="52">
        <f t="shared" si="1"/>
        <v>3150.27</v>
      </c>
      <c r="L11" s="52">
        <f t="shared" si="1"/>
        <v>3150.27</v>
      </c>
    </row>
    <row r="12" spans="2:13" s="53" customFormat="1" x14ac:dyDescent="0.25">
      <c r="B12" s="54" t="s">
        <v>9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3" t="s">
        <v>239</v>
      </c>
    </row>
    <row r="13" spans="2:13" x14ac:dyDescent="0.25">
      <c r="B13" t="s">
        <v>10</v>
      </c>
      <c r="C13" s="4">
        <f>'BS Source'!C12</f>
        <v>272.3</v>
      </c>
      <c r="D13" s="4">
        <f>'BS Source'!D12</f>
        <v>1002.72</v>
      </c>
      <c r="E13" s="4">
        <f>'BS Source'!E12</f>
        <v>1640.78</v>
      </c>
      <c r="F13" s="4">
        <f>'BS Source'!F12</f>
        <v>1341.04</v>
      </c>
      <c r="G13" s="4">
        <f>'BS Source'!G12</f>
        <v>1719.16</v>
      </c>
      <c r="H13">
        <f t="shared" ref="H13:L16" si="2">G13</f>
        <v>1719.16</v>
      </c>
      <c r="I13">
        <f t="shared" si="2"/>
        <v>1719.16</v>
      </c>
      <c r="J13">
        <f t="shared" si="2"/>
        <v>1719.16</v>
      </c>
      <c r="K13">
        <f t="shared" si="2"/>
        <v>1719.16</v>
      </c>
      <c r="L13">
        <f t="shared" si="2"/>
        <v>1719.16</v>
      </c>
    </row>
    <row r="14" spans="2:13" x14ac:dyDescent="0.25">
      <c r="B14" t="s">
        <v>11</v>
      </c>
      <c r="C14" s="4">
        <f>'BS Source'!C13</f>
        <v>178.15</v>
      </c>
      <c r="D14" s="4">
        <f>'BS Source'!D13</f>
        <v>207.71</v>
      </c>
      <c r="E14" s="4">
        <f>'BS Source'!E13</f>
        <v>261.11</v>
      </c>
      <c r="F14" s="4">
        <f>'BS Source'!F13</f>
        <v>265.60000000000002</v>
      </c>
      <c r="G14" s="4">
        <f>'BS Source'!G13</f>
        <v>307.95</v>
      </c>
      <c r="H14">
        <f t="shared" si="2"/>
        <v>307.95</v>
      </c>
      <c r="I14">
        <f t="shared" si="2"/>
        <v>307.95</v>
      </c>
      <c r="J14">
        <f t="shared" si="2"/>
        <v>307.95</v>
      </c>
      <c r="K14">
        <f t="shared" si="2"/>
        <v>307.95</v>
      </c>
      <c r="L14">
        <f t="shared" si="2"/>
        <v>307.95</v>
      </c>
    </row>
    <row r="15" spans="2:13" x14ac:dyDescent="0.25">
      <c r="B15" t="s">
        <v>12</v>
      </c>
      <c r="C15" s="4">
        <f>'BS Source'!C14</f>
        <v>12.91</v>
      </c>
      <c r="D15" s="4">
        <f>'BS Source'!D14</f>
        <v>4.6100000000000003</v>
      </c>
      <c r="E15" s="4">
        <f>'BS Source'!E14</f>
        <v>164.47</v>
      </c>
      <c r="F15" s="4">
        <f>'BS Source'!F14</f>
        <v>79.569999999999993</v>
      </c>
      <c r="G15" s="4">
        <f>'BS Source'!G14</f>
        <v>122.1</v>
      </c>
      <c r="H15">
        <f t="shared" si="2"/>
        <v>122.1</v>
      </c>
      <c r="I15">
        <f t="shared" si="2"/>
        <v>122.1</v>
      </c>
      <c r="J15">
        <f t="shared" si="2"/>
        <v>122.1</v>
      </c>
      <c r="K15">
        <f t="shared" si="2"/>
        <v>122.1</v>
      </c>
      <c r="L15">
        <f t="shared" si="2"/>
        <v>122.1</v>
      </c>
    </row>
    <row r="16" spans="2:13" x14ac:dyDescent="0.25">
      <c r="B16" t="s">
        <v>13</v>
      </c>
      <c r="C16" s="4">
        <f>'BS Source'!C15</f>
        <v>33.799999999999997</v>
      </c>
      <c r="D16" s="4">
        <f>'BS Source'!D15</f>
        <v>36.83</v>
      </c>
      <c r="E16" s="4">
        <f>'BS Source'!E15</f>
        <v>40.08</v>
      </c>
      <c r="F16" s="4">
        <f>'BS Source'!F15</f>
        <v>44.94</v>
      </c>
      <c r="G16" s="4">
        <f>'BS Source'!G15</f>
        <v>41.14</v>
      </c>
      <c r="H16">
        <f t="shared" si="2"/>
        <v>41.14</v>
      </c>
      <c r="I16">
        <f t="shared" si="2"/>
        <v>41.14</v>
      </c>
      <c r="J16">
        <f t="shared" si="2"/>
        <v>41.14</v>
      </c>
      <c r="K16">
        <f t="shared" si="2"/>
        <v>41.14</v>
      </c>
      <c r="L16">
        <f t="shared" si="2"/>
        <v>41.14</v>
      </c>
    </row>
    <row r="17" spans="2:12" x14ac:dyDescent="0.25">
      <c r="B17" s="5" t="s">
        <v>14</v>
      </c>
      <c r="C17" s="5">
        <f t="shared" ref="C17:L17" si="3">SUM(C13:C16)</f>
        <v>497.16000000000008</v>
      </c>
      <c r="D17" s="5">
        <f t="shared" si="3"/>
        <v>1251.8699999999999</v>
      </c>
      <c r="E17" s="5">
        <f t="shared" si="3"/>
        <v>2106.4399999999996</v>
      </c>
      <c r="F17" s="5">
        <f t="shared" si="3"/>
        <v>1731.1499999999999</v>
      </c>
      <c r="G17" s="5">
        <f t="shared" si="3"/>
        <v>2190.35</v>
      </c>
      <c r="H17" s="5">
        <f t="shared" si="3"/>
        <v>2190.35</v>
      </c>
      <c r="I17" s="5">
        <f t="shared" si="3"/>
        <v>2190.35</v>
      </c>
      <c r="J17" s="5">
        <f t="shared" si="3"/>
        <v>2190.35</v>
      </c>
      <c r="K17" s="5">
        <f t="shared" si="3"/>
        <v>2190.35</v>
      </c>
      <c r="L17" s="5">
        <f t="shared" si="3"/>
        <v>2190.35</v>
      </c>
    </row>
    <row r="18" spans="2:12" s="53" customFormat="1" ht="17.25" customHeight="1" x14ac:dyDescent="0.25">
      <c r="B18" s="54" t="s">
        <v>15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</row>
    <row r="19" spans="2:12" x14ac:dyDescent="0.25">
      <c r="B19" t="s">
        <v>16</v>
      </c>
      <c r="C19" s="4">
        <f>'BS Source'!C18</f>
        <v>143.63999999999999</v>
      </c>
      <c r="D19" s="4">
        <f>'BS Source'!D18</f>
        <v>214.31</v>
      </c>
      <c r="E19" s="4">
        <f>'BS Source'!E18</f>
        <v>215.59</v>
      </c>
      <c r="F19" s="4">
        <f>'BS Source'!F18</f>
        <v>0.53</v>
      </c>
      <c r="G19" s="4">
        <f>'BS Source'!G18</f>
        <v>352.24</v>
      </c>
      <c r="H19" s="34">
        <f>Schedule!H49</f>
        <v>373.19814993393339</v>
      </c>
      <c r="I19" s="34">
        <f>Schedule!I49</f>
        <v>425.44589092468414</v>
      </c>
      <c r="J19" s="34">
        <f>Schedule!J49</f>
        <v>485.00831565413995</v>
      </c>
      <c r="K19" s="34">
        <f>Schedule!K49</f>
        <v>557.75956300226096</v>
      </c>
      <c r="L19" s="34">
        <f>Schedule!L49</f>
        <v>641.42349745260003</v>
      </c>
    </row>
    <row r="20" spans="2:12" x14ac:dyDescent="0.25">
      <c r="B20" t="s">
        <v>0</v>
      </c>
      <c r="C20" s="4">
        <f>'BS Source'!C19</f>
        <v>848.54</v>
      </c>
      <c r="D20" s="4">
        <f>'BS Source'!D19</f>
        <v>1033.93</v>
      </c>
      <c r="E20" s="4">
        <f>'BS Source'!E19</f>
        <v>1191.1199999999999</v>
      </c>
      <c r="F20" s="4">
        <f>'BS Source'!F19</f>
        <v>1943.6</v>
      </c>
      <c r="G20" s="4">
        <f>'BS Source'!G19</f>
        <v>2206.62</v>
      </c>
      <c r="H20" s="34">
        <f>Schedule!H40</f>
        <v>2337.9130751965026</v>
      </c>
      <c r="I20" s="34">
        <f>Schedule!I40</f>
        <v>2665.2209057240134</v>
      </c>
      <c r="J20" s="34">
        <f>Schedule!J40</f>
        <v>3038.3518325253758</v>
      </c>
      <c r="K20" s="34">
        <f>Schedule!K40</f>
        <v>3494.1046074041824</v>
      </c>
      <c r="L20" s="34">
        <f>Schedule!L40</f>
        <v>4018.2202985148092</v>
      </c>
    </row>
    <row r="21" spans="2:12" x14ac:dyDescent="0.25">
      <c r="B21" t="s">
        <v>17</v>
      </c>
      <c r="C21" s="4">
        <f>'BS Source'!C20</f>
        <v>694.19</v>
      </c>
      <c r="D21" s="4">
        <f>'BS Source'!D20</f>
        <v>710.86</v>
      </c>
      <c r="E21" s="4">
        <f>'BS Source'!E20</f>
        <v>736.77</v>
      </c>
      <c r="F21" s="4">
        <f>'BS Source'!F20</f>
        <v>957.42</v>
      </c>
      <c r="G21" s="4">
        <f>'BS Source'!G20</f>
        <v>936.63</v>
      </c>
      <c r="H21" s="34">
        <f>Schedule!H51</f>
        <v>992.35913914552589</v>
      </c>
      <c r="I21" s="34">
        <f>Schedule!I51</f>
        <v>1131.2894186258995</v>
      </c>
      <c r="J21" s="34">
        <f>Schedule!J51</f>
        <v>1289.6699372335256</v>
      </c>
      <c r="K21" s="34">
        <f>Schedule!K51</f>
        <v>1483.1204278185546</v>
      </c>
      <c r="L21" s="34">
        <f>Schedule!L51</f>
        <v>1705.5884919913376</v>
      </c>
    </row>
    <row r="22" spans="2:12" x14ac:dyDescent="0.25">
      <c r="B22" t="s">
        <v>18</v>
      </c>
      <c r="C22" s="4">
        <f>'BS Source'!C21</f>
        <v>50.14</v>
      </c>
      <c r="D22" s="4">
        <f>'BS Source'!D21</f>
        <v>99.85</v>
      </c>
      <c r="E22" s="4">
        <f>'BS Source'!E21</f>
        <v>122.02</v>
      </c>
      <c r="F22" s="4">
        <f>'BS Source'!F21</f>
        <v>107.58</v>
      </c>
      <c r="G22" s="4">
        <f>'BS Source'!G21</f>
        <v>124.79</v>
      </c>
      <c r="H22">
        <f>G22</f>
        <v>124.79</v>
      </c>
      <c r="I22">
        <f>H22</f>
        <v>124.79</v>
      </c>
      <c r="J22">
        <f>I22</f>
        <v>124.79</v>
      </c>
      <c r="K22">
        <f>J22</f>
        <v>124.79</v>
      </c>
      <c r="L22">
        <f>K22</f>
        <v>124.79</v>
      </c>
    </row>
    <row r="23" spans="2:12" x14ac:dyDescent="0.25">
      <c r="B23" s="5" t="s">
        <v>19</v>
      </c>
      <c r="C23" s="30">
        <f>SUM(C19:C22)</f>
        <v>1736.51</v>
      </c>
      <c r="D23" s="30">
        <f t="shared" ref="D23:L23" si="4">SUM(D19:D22)</f>
        <v>2058.9499999999998</v>
      </c>
      <c r="E23" s="5">
        <f t="shared" si="4"/>
        <v>2265.4999999999995</v>
      </c>
      <c r="F23" s="5">
        <f t="shared" si="4"/>
        <v>3009.1299999999997</v>
      </c>
      <c r="G23" s="43">
        <f t="shared" si="4"/>
        <v>3620.2799999999997</v>
      </c>
      <c r="H23" s="43">
        <f t="shared" si="4"/>
        <v>3828.2603642759623</v>
      </c>
      <c r="I23" s="43">
        <f t="shared" si="4"/>
        <v>4346.7462152745966</v>
      </c>
      <c r="J23" s="43">
        <f t="shared" si="4"/>
        <v>4937.8200854130419</v>
      </c>
      <c r="K23" s="43">
        <f t="shared" si="4"/>
        <v>5659.774598224998</v>
      </c>
      <c r="L23" s="43">
        <f t="shared" si="4"/>
        <v>6490.0222879587473</v>
      </c>
    </row>
    <row r="24" spans="2:12" ht="15.75" thickBot="1" x14ac:dyDescent="0.3">
      <c r="B24" s="6" t="s">
        <v>20</v>
      </c>
      <c r="C24" s="6">
        <f>C23+C17+C11</f>
        <v>4780.49</v>
      </c>
      <c r="D24" s="6">
        <f t="shared" ref="D24:L24" si="5">D23+D17+D11</f>
        <v>6061.86</v>
      </c>
      <c r="E24" s="37">
        <f t="shared" si="5"/>
        <v>7132.5399999999991</v>
      </c>
      <c r="F24" s="37">
        <f t="shared" si="5"/>
        <v>7905.0199999999995</v>
      </c>
      <c r="G24" s="44">
        <f t="shared" si="5"/>
        <v>8960.9</v>
      </c>
      <c r="H24" s="44">
        <f t="shared" si="5"/>
        <v>9168.8803642759631</v>
      </c>
      <c r="I24" s="44">
        <f t="shared" si="5"/>
        <v>9687.3662152745965</v>
      </c>
      <c r="J24" s="44">
        <f t="shared" si="5"/>
        <v>10278.440085413042</v>
      </c>
      <c r="K24" s="44">
        <f t="shared" si="5"/>
        <v>11000.394598224999</v>
      </c>
      <c r="L24" s="44">
        <f t="shared" si="5"/>
        <v>11830.642287958748</v>
      </c>
    </row>
    <row r="25" spans="2:12" ht="15.75" thickTop="1" x14ac:dyDescent="0.25">
      <c r="B25" s="1" t="s">
        <v>21</v>
      </c>
    </row>
    <row r="26" spans="2:12" x14ac:dyDescent="0.25">
      <c r="B26" s="54" t="s">
        <v>22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</row>
    <row r="27" spans="2:12" x14ac:dyDescent="0.25">
      <c r="B27" t="s">
        <v>23</v>
      </c>
      <c r="C27" s="4">
        <f>'BS Source'!C26</f>
        <v>2409.81</v>
      </c>
      <c r="D27" s="4">
        <f>'BS Source'!D26</f>
        <v>2785.74</v>
      </c>
      <c r="E27" s="4">
        <f>'BS Source'!E26</f>
        <v>4059.35</v>
      </c>
      <c r="F27" s="4">
        <f>'BS Source'!F26</f>
        <v>4664.6400000000003</v>
      </c>
      <c r="G27" s="4">
        <f>'BS Source'!G26</f>
        <v>6137.14</v>
      </c>
      <c r="H27" s="34">
        <f>Schedule!H8</f>
        <v>6137.14</v>
      </c>
      <c r="I27" s="34">
        <f>Schedule!I8</f>
        <v>7489.2993265278237</v>
      </c>
      <c r="J27" s="34">
        <f>Schedule!J8</f>
        <v>8943.3360400493002</v>
      </c>
      <c r="K27" s="34">
        <f>Schedule!K8</f>
        <v>10506.926012613701</v>
      </c>
      <c r="L27" s="34">
        <f>Schedule!L8</f>
        <v>12188.323448846892</v>
      </c>
    </row>
    <row r="28" spans="2:12" x14ac:dyDescent="0.25">
      <c r="B28" t="s">
        <v>1</v>
      </c>
      <c r="C28" s="4">
        <f>'BS Source'!C27</f>
        <v>65.44</v>
      </c>
      <c r="D28" s="4">
        <f>'BS Source'!D27</f>
        <v>60.57</v>
      </c>
      <c r="E28" s="4">
        <f>'BS Source'!E27</f>
        <v>100.17</v>
      </c>
      <c r="F28" s="4">
        <f>'BS Source'!F27</f>
        <v>98.54</v>
      </c>
      <c r="G28" s="4">
        <f>'BS Source'!G27</f>
        <v>0</v>
      </c>
      <c r="H28">
        <f ca="1">Schedule!H22</f>
        <v>103.67999999999999</v>
      </c>
      <c r="I28">
        <f ca="1">Schedule!I22</f>
        <v>109.87837325539596</v>
      </c>
      <c r="J28">
        <f ca="1">Schedule!J22</f>
        <v>117.28015178069904</v>
      </c>
      <c r="K28">
        <f ca="1">Schedule!K22</f>
        <v>125.97600520484073</v>
      </c>
      <c r="L28">
        <f ca="1">Schedule!L22</f>
        <v>136.06343458903567</v>
      </c>
    </row>
    <row r="29" spans="2:12" x14ac:dyDescent="0.25">
      <c r="B29" t="s">
        <v>24</v>
      </c>
      <c r="C29" s="4">
        <f>'BS Source'!C28</f>
        <v>161.86000000000001</v>
      </c>
      <c r="D29" s="4">
        <f>'BS Source'!D28</f>
        <v>718.89</v>
      </c>
      <c r="E29" s="4">
        <f>'BS Source'!E28</f>
        <v>983.94</v>
      </c>
      <c r="F29" s="4">
        <f>'BS Source'!F28</f>
        <v>702.88</v>
      </c>
      <c r="G29" s="4">
        <f>'BS Source'!G28</f>
        <v>0</v>
      </c>
      <c r="H29">
        <v>0</v>
      </c>
      <c r="I29">
        <f t="shared" ref="I29:L30" si="6">H29</f>
        <v>0</v>
      </c>
      <c r="J29">
        <f t="shared" si="6"/>
        <v>0</v>
      </c>
      <c r="K29">
        <f t="shared" si="6"/>
        <v>0</v>
      </c>
      <c r="L29">
        <f t="shared" si="6"/>
        <v>0</v>
      </c>
    </row>
    <row r="30" spans="2:12" x14ac:dyDescent="0.25">
      <c r="B30" t="s">
        <v>25</v>
      </c>
      <c r="C30" s="4">
        <f>'BS Source'!C29</f>
        <v>0</v>
      </c>
      <c r="D30" s="4">
        <f>'BS Source'!D29</f>
        <v>30.55</v>
      </c>
      <c r="E30" s="4">
        <f>'BS Source'!E29</f>
        <v>17.809999999999999</v>
      </c>
      <c r="F30" s="4">
        <f>'BS Source'!F29</f>
        <v>25</v>
      </c>
      <c r="G30" s="4">
        <f>'BS Source'!G29</f>
        <v>0</v>
      </c>
      <c r="H30" s="34">
        <f>G30</f>
        <v>0</v>
      </c>
      <c r="I30" s="34">
        <f t="shared" si="6"/>
        <v>0</v>
      </c>
      <c r="J30" s="34">
        <f t="shared" si="6"/>
        <v>0</v>
      </c>
      <c r="K30" s="34">
        <f t="shared" si="6"/>
        <v>0</v>
      </c>
      <c r="L30" s="34">
        <f t="shared" si="6"/>
        <v>0</v>
      </c>
    </row>
    <row r="31" spans="2:12" x14ac:dyDescent="0.25">
      <c r="B31" s="1" t="s">
        <v>26</v>
      </c>
      <c r="C31" s="1">
        <f>SUM(C27:C30)</f>
        <v>2637.11</v>
      </c>
      <c r="D31" s="1">
        <f t="shared" ref="D31:L31" si="7">SUM(D27:D30)</f>
        <v>3595.75</v>
      </c>
      <c r="E31" s="1">
        <f t="shared" si="7"/>
        <v>5161.2699999999995</v>
      </c>
      <c r="F31" s="1">
        <f t="shared" si="7"/>
        <v>5491.06</v>
      </c>
      <c r="G31" s="24">
        <f t="shared" si="7"/>
        <v>6137.14</v>
      </c>
      <c r="H31" s="24">
        <f t="shared" ca="1" si="7"/>
        <v>6240.8200000000006</v>
      </c>
      <c r="I31" s="24">
        <f t="shared" ca="1" si="7"/>
        <v>7599.1776997832194</v>
      </c>
      <c r="J31" s="24">
        <f t="shared" ca="1" si="7"/>
        <v>9060.6161918299986</v>
      </c>
      <c r="K31" s="24">
        <f t="shared" ca="1" si="7"/>
        <v>10632.902017818542</v>
      </c>
      <c r="L31" s="24">
        <f t="shared" ca="1" si="7"/>
        <v>12324.386883435927</v>
      </c>
    </row>
    <row r="32" spans="2:12" x14ac:dyDescent="0.25">
      <c r="B32" t="s">
        <v>27</v>
      </c>
      <c r="C32" s="4">
        <f>'BS Source'!C31</f>
        <v>279.99</v>
      </c>
      <c r="D32" s="4">
        <f>'BS Source'!D31</f>
        <v>313.01</v>
      </c>
      <c r="E32" s="4">
        <f>'BS Source'!E31</f>
        <v>110.83</v>
      </c>
      <c r="F32" s="4">
        <f>'BS Source'!F31</f>
        <v>118.11</v>
      </c>
      <c r="G32" s="4">
        <f>'BS Source'!G31</f>
        <v>126.02</v>
      </c>
      <c r="H32">
        <f t="shared" ref="H32:L35" si="8">G32</f>
        <v>126.02</v>
      </c>
      <c r="I32">
        <f t="shared" si="8"/>
        <v>126.02</v>
      </c>
      <c r="J32">
        <f t="shared" si="8"/>
        <v>126.02</v>
      </c>
      <c r="K32">
        <f t="shared" si="8"/>
        <v>126.02</v>
      </c>
      <c r="L32">
        <f t="shared" si="8"/>
        <v>126.02</v>
      </c>
    </row>
    <row r="33" spans="2:12" x14ac:dyDescent="0.25">
      <c r="B33" t="s">
        <v>28</v>
      </c>
      <c r="C33" s="4">
        <f>'BS Source'!C32</f>
        <v>0</v>
      </c>
      <c r="D33" s="4">
        <f>'BS Source'!D32</f>
        <v>0</v>
      </c>
      <c r="E33" s="4">
        <f>'BS Source'!E32</f>
        <v>0</v>
      </c>
      <c r="F33" s="4">
        <f>'BS Source'!F32</f>
        <v>0</v>
      </c>
      <c r="G33" s="4">
        <f>'BS Source'!G32</f>
        <v>58.55</v>
      </c>
      <c r="H33">
        <f t="shared" si="8"/>
        <v>58.55</v>
      </c>
      <c r="I33">
        <f t="shared" si="8"/>
        <v>58.55</v>
      </c>
      <c r="J33">
        <f t="shared" si="8"/>
        <v>58.55</v>
      </c>
      <c r="K33">
        <f t="shared" si="8"/>
        <v>58.55</v>
      </c>
      <c r="L33">
        <f t="shared" si="8"/>
        <v>58.55</v>
      </c>
    </row>
    <row r="34" spans="2:12" x14ac:dyDescent="0.25">
      <c r="B34" t="s">
        <v>29</v>
      </c>
      <c r="C34" s="4">
        <f>'BS Source'!C33</f>
        <v>3.04</v>
      </c>
      <c r="D34" s="4">
        <f>'BS Source'!D33</f>
        <v>4.08</v>
      </c>
      <c r="E34" s="4">
        <f>'BS Source'!E33</f>
        <v>4.7300000000000004</v>
      </c>
      <c r="F34" s="4">
        <f>'BS Source'!F33</f>
        <v>7.57</v>
      </c>
      <c r="G34" s="4">
        <f>'BS Source'!G33</f>
        <v>0</v>
      </c>
      <c r="H34">
        <f t="shared" si="8"/>
        <v>0</v>
      </c>
      <c r="I34">
        <f t="shared" si="8"/>
        <v>0</v>
      </c>
      <c r="J34">
        <f t="shared" si="8"/>
        <v>0</v>
      </c>
      <c r="K34">
        <f t="shared" si="8"/>
        <v>0</v>
      </c>
      <c r="L34">
        <f t="shared" si="8"/>
        <v>0</v>
      </c>
    </row>
    <row r="35" spans="2:12" x14ac:dyDescent="0.25">
      <c r="B35" t="s">
        <v>30</v>
      </c>
      <c r="C35" s="4">
        <f>'BS Source'!C34</f>
        <v>112.27</v>
      </c>
      <c r="D35" s="4">
        <f>'BS Source'!D34</f>
        <v>184.34</v>
      </c>
      <c r="E35" s="4">
        <f>'BS Source'!E34</f>
        <v>93.52</v>
      </c>
      <c r="F35" s="4">
        <f>'BS Source'!F34</f>
        <v>104.2</v>
      </c>
      <c r="G35" s="4">
        <f>'BS Source'!G34</f>
        <v>65.47</v>
      </c>
      <c r="H35">
        <f t="shared" si="8"/>
        <v>65.47</v>
      </c>
      <c r="I35">
        <f t="shared" si="8"/>
        <v>65.47</v>
      </c>
      <c r="J35">
        <f t="shared" si="8"/>
        <v>65.47</v>
      </c>
      <c r="K35">
        <f t="shared" si="8"/>
        <v>65.47</v>
      </c>
      <c r="L35">
        <f t="shared" si="8"/>
        <v>65.47</v>
      </c>
    </row>
    <row r="36" spans="2:12" x14ac:dyDescent="0.25">
      <c r="B36" s="5" t="s">
        <v>31</v>
      </c>
      <c r="C36" s="5">
        <f>SUM(C31:C35)</f>
        <v>3032.4100000000003</v>
      </c>
      <c r="D36" s="5">
        <f t="shared" ref="D36:L36" si="9">SUM(D31:D35)</f>
        <v>4097.18</v>
      </c>
      <c r="E36" s="5">
        <f t="shared" si="9"/>
        <v>5370.3499999999995</v>
      </c>
      <c r="F36" s="5">
        <f t="shared" si="9"/>
        <v>5720.94</v>
      </c>
      <c r="G36" s="43">
        <f t="shared" si="9"/>
        <v>6387.1800000000012</v>
      </c>
      <c r="H36" s="43">
        <f t="shared" ca="1" si="9"/>
        <v>6490.8600000000015</v>
      </c>
      <c r="I36" s="43">
        <f t="shared" ca="1" si="9"/>
        <v>7849.2176997832203</v>
      </c>
      <c r="J36" s="43">
        <f t="shared" ca="1" si="9"/>
        <v>9310.6561918299976</v>
      </c>
      <c r="K36" s="43">
        <f t="shared" ca="1" si="9"/>
        <v>10882.942017818541</v>
      </c>
      <c r="L36" s="43">
        <f t="shared" ca="1" si="9"/>
        <v>12574.426883435926</v>
      </c>
    </row>
    <row r="37" spans="2:12" x14ac:dyDescent="0.25">
      <c r="B37" s="54" t="s">
        <v>32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</row>
    <row r="38" spans="2:12" x14ac:dyDescent="0.25">
      <c r="B38" t="s">
        <v>33</v>
      </c>
      <c r="C38" s="4">
        <f>'BS Source'!C37</f>
        <v>40.06</v>
      </c>
      <c r="D38" s="4">
        <f>'BS Source'!D37</f>
        <v>0</v>
      </c>
      <c r="E38" s="4">
        <f>'BS Source'!E37</f>
        <v>0</v>
      </c>
      <c r="F38" s="4">
        <f>'BS Source'!F37</f>
        <v>0</v>
      </c>
      <c r="G38" s="4">
        <f>'BS Source'!G37</f>
        <v>0</v>
      </c>
      <c r="H38" s="4">
        <f>'BS Source'!H37</f>
        <v>0</v>
      </c>
      <c r="I38" s="4">
        <f>'BS Source'!I37</f>
        <v>0</v>
      </c>
      <c r="J38" s="4">
        <f>'BS Source'!J37</f>
        <v>0</v>
      </c>
      <c r="K38" s="4">
        <f>'BS Source'!K37</f>
        <v>0</v>
      </c>
      <c r="L38" s="4">
        <f>'BS Source'!L37</f>
        <v>0</v>
      </c>
    </row>
    <row r="39" spans="2:12" x14ac:dyDescent="0.25">
      <c r="B39" t="s">
        <v>2</v>
      </c>
      <c r="C39" s="4">
        <f>'BS Source'!C38</f>
        <v>754.96</v>
      </c>
      <c r="D39" s="4">
        <f>'BS Source'!D38</f>
        <v>965.15</v>
      </c>
      <c r="E39" s="4">
        <f>'BS Source'!E38</f>
        <v>911.35</v>
      </c>
      <c r="F39" s="4">
        <f>'BS Source'!F38</f>
        <v>1112.5</v>
      </c>
      <c r="G39" s="4">
        <f>'BS Source'!G38</f>
        <v>1286.51</v>
      </c>
      <c r="H39" s="34">
        <f>Schedule!H30</f>
        <v>1363.0568699508992</v>
      </c>
      <c r="I39" s="34">
        <f>Schedule!I30</f>
        <v>1553.8848317440252</v>
      </c>
      <c r="J39" s="34">
        <f>Schedule!J30</f>
        <v>1771.4287081881889</v>
      </c>
      <c r="K39" s="34">
        <f>Schedule!K30</f>
        <v>2037.1430144164171</v>
      </c>
      <c r="L39" s="34">
        <f>Schedule!L30</f>
        <v>2342.7144665788796</v>
      </c>
    </row>
    <row r="40" spans="2:12" x14ac:dyDescent="0.25">
      <c r="B40" t="s">
        <v>34</v>
      </c>
      <c r="C40" s="4">
        <f>'BS Source'!C39</f>
        <v>712.15</v>
      </c>
      <c r="D40" s="4">
        <f>'BS Source'!D39</f>
        <v>726.46</v>
      </c>
      <c r="E40" s="4">
        <f>'BS Source'!E39</f>
        <v>664.3</v>
      </c>
      <c r="F40" s="4">
        <f>'BS Source'!F39</f>
        <v>922.26</v>
      </c>
      <c r="G40" s="4">
        <f>'BS Source'!G39</f>
        <v>1152.8699999999999</v>
      </c>
      <c r="H40" s="34">
        <f>Schedule!H35</f>
        <v>1314.2718</v>
      </c>
      <c r="I40" s="34">
        <f>Schedule!I35</f>
        <v>1498.2698520000001</v>
      </c>
      <c r="J40" s="34">
        <f>Schedule!J35</f>
        <v>1708.0276312800004</v>
      </c>
      <c r="K40" s="34">
        <f>Schedule!K35</f>
        <v>1964.2317759720002</v>
      </c>
      <c r="L40" s="34">
        <f>Schedule!L35</f>
        <v>2258.8665423678003</v>
      </c>
    </row>
    <row r="41" spans="2:12" x14ac:dyDescent="0.25">
      <c r="B41" t="s">
        <v>35</v>
      </c>
      <c r="C41" s="4">
        <f>'BS Source'!C40</f>
        <v>73.010000000000005</v>
      </c>
      <c r="D41" s="4">
        <f>'BS Source'!D40</f>
        <v>59.74</v>
      </c>
      <c r="E41" s="4">
        <f>'BS Source'!E40</f>
        <v>28.92</v>
      </c>
      <c r="F41" s="4">
        <f>'BS Source'!F40</f>
        <v>25.51</v>
      </c>
      <c r="G41" s="4">
        <f>'BS Source'!G40</f>
        <v>16.670000000000002</v>
      </c>
      <c r="H41" s="34">
        <v>-1245</v>
      </c>
      <c r="I41" s="223">
        <v>-1245</v>
      </c>
      <c r="J41" s="223">
        <v>-1245</v>
      </c>
      <c r="K41" s="223">
        <v>-1245</v>
      </c>
      <c r="L41" s="223">
        <v>-1245</v>
      </c>
    </row>
    <row r="42" spans="2:12" x14ac:dyDescent="0.25">
      <c r="B42" t="s">
        <v>36</v>
      </c>
      <c r="C42" s="4">
        <f>'BS Source'!C41</f>
        <v>49.02</v>
      </c>
      <c r="D42" s="4">
        <f>'BS Source'!D41</f>
        <v>58</v>
      </c>
      <c r="E42" s="4">
        <f>'BS Source'!E41</f>
        <v>0</v>
      </c>
      <c r="F42" s="4">
        <f>'BS Source'!F41</f>
        <v>0</v>
      </c>
      <c r="G42" s="4">
        <f>'BS Source'!G41</f>
        <v>0</v>
      </c>
      <c r="H42">
        <v>133.44999999999999</v>
      </c>
      <c r="I42" s="222">
        <v>133.44999999999999</v>
      </c>
      <c r="J42" s="222">
        <v>133.44999999999999</v>
      </c>
      <c r="K42" s="222">
        <v>133.44999999999999</v>
      </c>
      <c r="L42" s="222">
        <v>133.44999999999999</v>
      </c>
    </row>
    <row r="43" spans="2:12" x14ac:dyDescent="0.25">
      <c r="B43" t="s">
        <v>37</v>
      </c>
      <c r="C43" s="4">
        <f>'BS Source'!C42</f>
        <v>118.88</v>
      </c>
      <c r="D43" s="4">
        <f>'BS Source'!D42</f>
        <v>155.33000000000001</v>
      </c>
      <c r="E43" s="4">
        <f>'BS Source'!E42</f>
        <v>157.62</v>
      </c>
      <c r="F43" s="4">
        <f>'BS Source'!F42</f>
        <v>123.81</v>
      </c>
      <c r="G43" s="4">
        <f>'BS Source'!G42</f>
        <v>117.67</v>
      </c>
      <c r="H43" s="34">
        <f>Schedule!H47</f>
        <v>134.14380000000003</v>
      </c>
      <c r="I43" s="34">
        <f>Schedule!I47</f>
        <v>152.92393200000004</v>
      </c>
      <c r="J43" s="34">
        <f>Schedule!J47</f>
        <v>174.33328248000007</v>
      </c>
      <c r="K43" s="34">
        <f>Schedule!K47</f>
        <v>200.48327485200005</v>
      </c>
      <c r="L43" s="34">
        <f>Schedule!L47</f>
        <v>230.55576607980004</v>
      </c>
    </row>
    <row r="44" spans="2:12" x14ac:dyDescent="0.25">
      <c r="B44" s="5" t="s">
        <v>38</v>
      </c>
      <c r="C44" s="5">
        <f>SUM(C38:C43)</f>
        <v>1748.08</v>
      </c>
      <c r="D44" s="5">
        <f t="shared" ref="D44:L44" si="10">SUM(D38:D43)</f>
        <v>1964.68</v>
      </c>
      <c r="E44" s="5">
        <f t="shared" si="10"/>
        <v>1762.19</v>
      </c>
      <c r="F44" s="5">
        <f t="shared" si="10"/>
        <v>2184.08</v>
      </c>
      <c r="G44" s="43">
        <f t="shared" si="10"/>
        <v>2573.7200000000003</v>
      </c>
      <c r="H44" s="43">
        <f t="shared" si="10"/>
        <v>1699.9224699508991</v>
      </c>
      <c r="I44" s="43">
        <f t="shared" si="10"/>
        <v>2093.5286157440255</v>
      </c>
      <c r="J44" s="43">
        <f t="shared" si="10"/>
        <v>2542.2396219481889</v>
      </c>
      <c r="K44" s="43">
        <f t="shared" si="10"/>
        <v>3090.3080652404174</v>
      </c>
      <c r="L44" s="43">
        <f t="shared" si="10"/>
        <v>3720.5867750264792</v>
      </c>
    </row>
    <row r="45" spans="2:12" ht="15.75" thickBot="1" x14ac:dyDescent="0.3">
      <c r="B45" s="6" t="s">
        <v>39</v>
      </c>
      <c r="C45" s="6">
        <f>C44+C36</f>
        <v>4780.49</v>
      </c>
      <c r="D45" s="6">
        <f t="shared" ref="D45:L45" si="11">D44+D36</f>
        <v>6061.8600000000006</v>
      </c>
      <c r="E45" s="6">
        <f t="shared" si="11"/>
        <v>7132.5399999999991</v>
      </c>
      <c r="F45" s="6">
        <f t="shared" si="11"/>
        <v>7905.0199999999995</v>
      </c>
      <c r="G45" s="47">
        <f t="shared" si="11"/>
        <v>8960.9000000000015</v>
      </c>
      <c r="H45" s="47">
        <f t="shared" ca="1" si="11"/>
        <v>9302.3324699508994</v>
      </c>
      <c r="I45" s="47">
        <f t="shared" ca="1" si="11"/>
        <v>11054.296315527246</v>
      </c>
      <c r="J45" s="47">
        <f t="shared" ca="1" si="11"/>
        <v>12964.445813778188</v>
      </c>
      <c r="K45" s="47">
        <f t="shared" ca="1" si="11"/>
        <v>15084.800083058959</v>
      </c>
      <c r="L45" s="47">
        <f t="shared" ca="1" si="11"/>
        <v>17406.563658462408</v>
      </c>
    </row>
    <row r="46" spans="2:12" ht="15.75" thickTop="1" x14ac:dyDescent="0.25"/>
    <row r="47" spans="2:12" x14ac:dyDescent="0.25">
      <c r="B47" t="s">
        <v>213</v>
      </c>
      <c r="C47">
        <f>C45-C24</f>
        <v>0</v>
      </c>
      <c r="D47">
        <f t="shared" ref="D47:G47" si="12">D45-D24</f>
        <v>0</v>
      </c>
      <c r="E47">
        <f t="shared" si="12"/>
        <v>0</v>
      </c>
      <c r="F47">
        <f t="shared" si="12"/>
        <v>0</v>
      </c>
      <c r="G47">
        <f t="shared" si="12"/>
        <v>0</v>
      </c>
      <c r="H47" s="223">
        <f ca="1">H45-H24</f>
        <v>0</v>
      </c>
      <c r="I47" s="223">
        <f ca="1">I45-H24</f>
        <v>0</v>
      </c>
      <c r="J47" s="223">
        <f t="shared" ref="J47:L47" ca="1" si="13">J45-I24</f>
        <v>0</v>
      </c>
      <c r="K47" s="223">
        <f t="shared" ca="1" si="13"/>
        <v>0</v>
      </c>
      <c r="L47" s="223">
        <f t="shared" ca="1" si="13"/>
        <v>0</v>
      </c>
    </row>
  </sheetData>
  <mergeCells count="1">
    <mergeCell ref="B2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EC9FA-5A65-4891-B132-65BBF4890642}">
  <sheetPr>
    <tabColor theme="4" tint="-0.499984740745262"/>
  </sheetPr>
  <dimension ref="A2:L40"/>
  <sheetViews>
    <sheetView showGridLines="0" workbookViewId="0">
      <pane ySplit="3" topLeftCell="A18" activePane="bottomLeft" state="frozen"/>
      <selection pane="bottomLeft" activeCell="Q24" sqref="Q24"/>
    </sheetView>
  </sheetViews>
  <sheetFormatPr defaultRowHeight="15" x14ac:dyDescent="0.25"/>
  <cols>
    <col min="1" max="1" width="6.42578125" customWidth="1"/>
    <col min="2" max="2" width="38.28515625" customWidth="1"/>
    <col min="3" max="12" width="11.28515625" customWidth="1"/>
  </cols>
  <sheetData>
    <row r="2" spans="1:12" ht="16.5" x14ac:dyDescent="0.3">
      <c r="B2" s="234" t="s">
        <v>41</v>
      </c>
      <c r="C2" s="13" t="s">
        <v>109</v>
      </c>
      <c r="D2" s="13" t="s">
        <v>110</v>
      </c>
      <c r="E2" s="13" t="s">
        <v>111</v>
      </c>
      <c r="F2" s="13" t="s">
        <v>112</v>
      </c>
      <c r="G2" s="13" t="s">
        <v>113</v>
      </c>
      <c r="H2" s="13" t="s">
        <v>114</v>
      </c>
      <c r="I2" s="13" t="s">
        <v>115</v>
      </c>
      <c r="J2" s="13" t="s">
        <v>116</v>
      </c>
      <c r="K2" s="13" t="s">
        <v>119</v>
      </c>
      <c r="L2" s="13" t="s">
        <v>120</v>
      </c>
    </row>
    <row r="3" spans="1:12" ht="16.5" x14ac:dyDescent="0.3">
      <c r="B3" s="234"/>
      <c r="C3" s="13" t="s">
        <v>117</v>
      </c>
      <c r="D3" s="13" t="s">
        <v>117</v>
      </c>
      <c r="E3" s="13" t="s">
        <v>117</v>
      </c>
      <c r="F3" s="13" t="s">
        <v>117</v>
      </c>
      <c r="G3" s="13" t="s">
        <v>117</v>
      </c>
      <c r="H3" s="13" t="s">
        <v>118</v>
      </c>
      <c r="I3" s="13" t="s">
        <v>118</v>
      </c>
      <c r="J3" s="13" t="s">
        <v>118</v>
      </c>
      <c r="K3" s="13" t="s">
        <v>118</v>
      </c>
      <c r="L3" s="13" t="s">
        <v>118</v>
      </c>
    </row>
    <row r="4" spans="1:12" ht="15.75" thickBot="1" x14ac:dyDescent="0.3">
      <c r="A4" s="17"/>
    </row>
    <row r="5" spans="1:12" ht="15.75" x14ac:dyDescent="0.25">
      <c r="A5" s="60"/>
      <c r="B5" s="156" t="s">
        <v>42</v>
      </c>
      <c r="C5" s="148">
        <f>'P&amp;L source'!C3</f>
        <v>6244.28</v>
      </c>
      <c r="D5" s="148">
        <f>'P&amp;L source'!D3</f>
        <v>6800.06</v>
      </c>
      <c r="E5" s="148">
        <f>'P&amp;L source'!E3</f>
        <v>6680.37</v>
      </c>
      <c r="F5" s="148">
        <f>'P&amp;L source'!F3</f>
        <v>7541.69</v>
      </c>
      <c r="G5" s="148">
        <f>'P&amp;L source'!G3</f>
        <v>9312.6299999999992</v>
      </c>
      <c r="H5" s="115">
        <f>Drivers!H7</f>
        <v>10616.3982</v>
      </c>
      <c r="I5" s="115">
        <f>Drivers!I7</f>
        <v>12102.693948</v>
      </c>
      <c r="J5" s="115">
        <f>Drivers!J7</f>
        <v>13797.071100720003</v>
      </c>
      <c r="K5" s="115">
        <f>Drivers!K7</f>
        <v>15866.631765828002</v>
      </c>
      <c r="L5" s="116">
        <f>Drivers!L7</f>
        <v>18246.6265307022</v>
      </c>
    </row>
    <row r="6" spans="1:12" x14ac:dyDescent="0.25">
      <c r="A6" s="60"/>
      <c r="B6" s="157" t="s">
        <v>43</v>
      </c>
      <c r="C6" s="17">
        <f>'P&amp;L source'!C4</f>
        <v>168.91</v>
      </c>
      <c r="D6" s="17">
        <f>'P&amp;L source'!D4</f>
        <v>0</v>
      </c>
      <c r="E6" s="17">
        <f>'P&amp;L source'!E4</f>
        <v>0</v>
      </c>
      <c r="F6" s="17">
        <f>'P&amp;L source'!F4</f>
        <v>0</v>
      </c>
      <c r="G6" s="17">
        <f>'P&amp;L source'!G4</f>
        <v>0</v>
      </c>
      <c r="H6" s="17">
        <v>0</v>
      </c>
      <c r="I6" s="17">
        <v>0</v>
      </c>
      <c r="J6" s="17">
        <v>0</v>
      </c>
      <c r="K6" s="17">
        <v>0</v>
      </c>
      <c r="L6" s="70">
        <v>0</v>
      </c>
    </row>
    <row r="7" spans="1:12" x14ac:dyDescent="0.25">
      <c r="A7" s="60"/>
      <c r="B7" s="158" t="s">
        <v>44</v>
      </c>
      <c r="C7" s="19">
        <f>SUM(C5:C6)</f>
        <v>6413.19</v>
      </c>
      <c r="D7" s="19">
        <f t="shared" ref="D7:L7" si="0">SUM(D5:D6)</f>
        <v>6800.06</v>
      </c>
      <c r="E7" s="19">
        <f t="shared" si="0"/>
        <v>6680.37</v>
      </c>
      <c r="F7" s="19">
        <f t="shared" si="0"/>
        <v>7541.69</v>
      </c>
      <c r="G7" s="19">
        <f t="shared" si="0"/>
        <v>9312.6299999999992</v>
      </c>
      <c r="H7" s="57">
        <f t="shared" si="0"/>
        <v>10616.3982</v>
      </c>
      <c r="I7" s="57">
        <f t="shared" si="0"/>
        <v>12102.693948</v>
      </c>
      <c r="J7" s="57">
        <f t="shared" si="0"/>
        <v>13797.071100720003</v>
      </c>
      <c r="K7" s="57">
        <f t="shared" si="0"/>
        <v>15866.631765828002</v>
      </c>
      <c r="L7" s="71">
        <f t="shared" si="0"/>
        <v>18246.6265307022</v>
      </c>
    </row>
    <row r="8" spans="1:12" x14ac:dyDescent="0.25">
      <c r="A8" s="60"/>
      <c r="B8" s="159" t="s">
        <v>45</v>
      </c>
      <c r="C8" s="17">
        <f>'P&amp;L source'!C6</f>
        <v>6161.34</v>
      </c>
      <c r="D8" s="17">
        <f>'P&amp;L source'!D6</f>
        <v>6831.3</v>
      </c>
      <c r="E8" s="17">
        <f>'P&amp;L source'!E6</f>
        <v>6747.86</v>
      </c>
      <c r="F8" s="17">
        <f>'P&amp;L source'!F6</f>
        <v>7572.79</v>
      </c>
      <c r="G8" s="17">
        <f>'P&amp;L source'!G6</f>
        <v>9312.6299999999992</v>
      </c>
      <c r="H8" s="17">
        <f t="shared" ref="H8:L9" si="1">G8</f>
        <v>9312.6299999999992</v>
      </c>
      <c r="I8" s="17">
        <f t="shared" si="1"/>
        <v>9312.6299999999992</v>
      </c>
      <c r="J8" s="17">
        <f t="shared" si="1"/>
        <v>9312.6299999999992</v>
      </c>
      <c r="K8" s="17">
        <f t="shared" si="1"/>
        <v>9312.6299999999992</v>
      </c>
      <c r="L8" s="70">
        <f t="shared" si="1"/>
        <v>9312.6299999999992</v>
      </c>
    </row>
    <row r="9" spans="1:12" x14ac:dyDescent="0.25">
      <c r="A9" s="60"/>
      <c r="B9" s="159" t="s">
        <v>46</v>
      </c>
      <c r="C9" s="17">
        <f>'P&amp;L source'!C7</f>
        <v>56.81</v>
      </c>
      <c r="D9" s="17">
        <f>'P&amp;L source'!D7</f>
        <v>55.3</v>
      </c>
      <c r="E9" s="17">
        <f>'P&amp;L source'!E7</f>
        <v>30.72</v>
      </c>
      <c r="F9" s="17">
        <f>'P&amp;L source'!F7</f>
        <v>31.8</v>
      </c>
      <c r="G9" s="17">
        <f>'P&amp;L source'!G7</f>
        <v>28.19</v>
      </c>
      <c r="H9" s="17">
        <f t="shared" si="1"/>
        <v>28.19</v>
      </c>
      <c r="I9" s="17">
        <f t="shared" si="1"/>
        <v>28.19</v>
      </c>
      <c r="J9" s="17">
        <f t="shared" si="1"/>
        <v>28.19</v>
      </c>
      <c r="K9" s="17">
        <f t="shared" si="1"/>
        <v>28.19</v>
      </c>
      <c r="L9" s="70">
        <f t="shared" si="1"/>
        <v>28.19</v>
      </c>
    </row>
    <row r="10" spans="1:12" ht="15.75" thickBot="1" x14ac:dyDescent="0.3">
      <c r="A10" s="60"/>
      <c r="B10" s="160" t="s">
        <v>47</v>
      </c>
      <c r="C10" s="6">
        <f>C9+C8</f>
        <v>6218.1500000000005</v>
      </c>
      <c r="D10" s="6">
        <f t="shared" ref="D10:L10" si="2">D9+D8</f>
        <v>6886.6</v>
      </c>
      <c r="E10" s="6">
        <f t="shared" si="2"/>
        <v>6778.58</v>
      </c>
      <c r="F10" s="6">
        <f t="shared" si="2"/>
        <v>7604.59</v>
      </c>
      <c r="G10" s="6">
        <f t="shared" si="2"/>
        <v>9340.82</v>
      </c>
      <c r="H10" s="6">
        <f t="shared" si="2"/>
        <v>9340.82</v>
      </c>
      <c r="I10" s="6">
        <f t="shared" si="2"/>
        <v>9340.82</v>
      </c>
      <c r="J10" s="6">
        <f t="shared" si="2"/>
        <v>9340.82</v>
      </c>
      <c r="K10" s="6">
        <f t="shared" si="2"/>
        <v>9340.82</v>
      </c>
      <c r="L10" s="89">
        <f t="shared" si="2"/>
        <v>9340.82</v>
      </c>
    </row>
    <row r="11" spans="1:12" ht="15.75" thickTop="1" x14ac:dyDescent="0.25">
      <c r="A11" s="60"/>
      <c r="B11" s="158" t="s">
        <v>48</v>
      </c>
      <c r="C11" s="17"/>
      <c r="D11" s="17"/>
      <c r="E11" s="17"/>
      <c r="F11" s="17"/>
      <c r="G11" s="17"/>
      <c r="H11" s="17"/>
      <c r="I11" s="17"/>
      <c r="J11" s="17"/>
      <c r="K11" s="17"/>
      <c r="L11" s="70"/>
    </row>
    <row r="12" spans="1:12" x14ac:dyDescent="0.25">
      <c r="A12" s="60"/>
      <c r="B12" s="159" t="s">
        <v>49</v>
      </c>
      <c r="C12" s="17">
        <f>'P&amp;L source'!C10</f>
        <v>3650.33</v>
      </c>
      <c r="D12" s="17">
        <f>'P&amp;L source'!D10</f>
        <v>4273.6400000000003</v>
      </c>
      <c r="E12" s="17">
        <f>'P&amp;L source'!E10</f>
        <v>3872.96</v>
      </c>
      <c r="F12" s="17">
        <f>'P&amp;L source'!F10</f>
        <v>4173.76</v>
      </c>
      <c r="G12" s="17">
        <f>'P&amp;L source'!G10</f>
        <v>6186.9</v>
      </c>
      <c r="H12" s="150"/>
      <c r="I12" s="150"/>
      <c r="J12" s="150"/>
      <c r="K12" s="150"/>
      <c r="L12" s="151"/>
    </row>
    <row r="13" spans="1:12" x14ac:dyDescent="0.25">
      <c r="A13" s="60"/>
      <c r="B13" s="159" t="s">
        <v>50</v>
      </c>
      <c r="C13" s="17">
        <f>'P&amp;L source'!C11</f>
        <v>59.88</v>
      </c>
      <c r="D13" s="17">
        <f>'P&amp;L source'!D11</f>
        <v>60.92</v>
      </c>
      <c r="E13" s="17">
        <f>'P&amp;L source'!E11</f>
        <v>19.57</v>
      </c>
      <c r="F13" s="17">
        <f>'P&amp;L source'!F11</f>
        <v>10.09</v>
      </c>
      <c r="G13" s="17">
        <f>'P&amp;L source'!G11</f>
        <v>7.56</v>
      </c>
      <c r="H13" s="150"/>
      <c r="I13" s="150"/>
      <c r="J13" s="150"/>
      <c r="K13" s="150"/>
      <c r="L13" s="151"/>
    </row>
    <row r="14" spans="1:12" ht="30" x14ac:dyDescent="0.25">
      <c r="A14" s="60"/>
      <c r="B14" s="157" t="s">
        <v>52</v>
      </c>
      <c r="C14" s="17">
        <f>'P&amp;L source'!C12</f>
        <v>93.32</v>
      </c>
      <c r="D14" s="17">
        <f>'P&amp;L source'!D12</f>
        <v>-194.25</v>
      </c>
      <c r="E14" s="17">
        <f>'P&amp;L source'!E12</f>
        <v>12.77</v>
      </c>
      <c r="F14" s="17">
        <f>'P&amp;L source'!F12</f>
        <v>67.430000000000007</v>
      </c>
      <c r="G14" s="17">
        <f>'P&amp;L source'!G12</f>
        <v>-182.34</v>
      </c>
      <c r="H14" s="150"/>
      <c r="I14" s="150"/>
      <c r="J14" s="150"/>
      <c r="K14" s="150"/>
      <c r="L14" s="151"/>
    </row>
    <row r="15" spans="1:12" x14ac:dyDescent="0.25">
      <c r="A15" s="60"/>
      <c r="B15" s="161" t="s">
        <v>127</v>
      </c>
      <c r="C15" s="19">
        <f>SUM(C12:C14)</f>
        <v>3803.53</v>
      </c>
      <c r="D15" s="19">
        <f>SUM(D12:D14)</f>
        <v>4140.3100000000004</v>
      </c>
      <c r="E15" s="19">
        <f>SUM(E12:E14)</f>
        <v>3905.3</v>
      </c>
      <c r="F15" s="19">
        <f>SUM(F12:F14)</f>
        <v>4251.2800000000007</v>
      </c>
      <c r="G15" s="19">
        <f>SUM(G12:G14)</f>
        <v>6012.12</v>
      </c>
      <c r="H15" s="57">
        <f>Drivers!H13</f>
        <v>6369.8389199999992</v>
      </c>
      <c r="I15" s="57">
        <f>Drivers!I13</f>
        <v>7261.6163687999997</v>
      </c>
      <c r="J15" s="57">
        <f>Drivers!J13</f>
        <v>8278.2426604320008</v>
      </c>
      <c r="K15" s="57">
        <f>Drivers!K13</f>
        <v>9519.9790594968017</v>
      </c>
      <c r="L15" s="71">
        <f>Drivers!L13</f>
        <v>10947.97591842132</v>
      </c>
    </row>
    <row r="16" spans="1:12" x14ac:dyDescent="0.25">
      <c r="A16" s="60"/>
      <c r="B16" s="161" t="s">
        <v>199</v>
      </c>
      <c r="C16" s="19">
        <f>C8-C15</f>
        <v>2357.81</v>
      </c>
      <c r="D16" s="19">
        <f t="shared" ref="D16:L16" si="3">D8-D15</f>
        <v>2690.99</v>
      </c>
      <c r="E16" s="19">
        <f t="shared" si="3"/>
        <v>2842.5599999999995</v>
      </c>
      <c r="F16" s="19">
        <f t="shared" si="3"/>
        <v>3321.5099999999993</v>
      </c>
      <c r="G16" s="19">
        <f t="shared" si="3"/>
        <v>3300.5099999999993</v>
      </c>
      <c r="H16" s="57">
        <f t="shared" si="3"/>
        <v>2942.79108</v>
      </c>
      <c r="I16" s="57">
        <f t="shared" si="3"/>
        <v>2051.0136311999995</v>
      </c>
      <c r="J16" s="57">
        <f t="shared" si="3"/>
        <v>1034.3873395679984</v>
      </c>
      <c r="K16" s="57">
        <f t="shared" si="3"/>
        <v>-207.34905949680251</v>
      </c>
      <c r="L16" s="71">
        <f t="shared" si="3"/>
        <v>-1635.3459184213207</v>
      </c>
    </row>
    <row r="17" spans="1:12" x14ac:dyDescent="0.25">
      <c r="A17" s="60"/>
      <c r="B17" s="159" t="s">
        <v>51</v>
      </c>
      <c r="C17" s="17"/>
      <c r="D17" s="17"/>
      <c r="E17" s="17"/>
      <c r="F17" s="17"/>
      <c r="G17" s="17"/>
      <c r="H17" s="17"/>
      <c r="I17" s="17"/>
      <c r="J17" s="17"/>
      <c r="K17" s="17"/>
      <c r="L17" s="70"/>
    </row>
    <row r="18" spans="1:12" x14ac:dyDescent="0.25">
      <c r="A18" s="60"/>
      <c r="B18" s="159" t="s">
        <v>53</v>
      </c>
      <c r="C18" s="17">
        <f>'P&amp;L source'!C16</f>
        <v>413.11</v>
      </c>
      <c r="D18" s="17">
        <f>'P&amp;L source'!D16</f>
        <v>491.95</v>
      </c>
      <c r="E18" s="17">
        <f>'P&amp;L source'!E16</f>
        <v>534.09</v>
      </c>
      <c r="F18" s="17">
        <f>'P&amp;L source'!F16</f>
        <v>667.13</v>
      </c>
      <c r="G18" s="17">
        <f>'P&amp;L source'!G16</f>
        <v>684.26</v>
      </c>
      <c r="H18" s="67">
        <f>Drivers!H19</f>
        <v>636.98389199999997</v>
      </c>
      <c r="I18" s="67">
        <f>Drivers!I19</f>
        <v>726.16163687999995</v>
      </c>
      <c r="J18" s="67">
        <f>Drivers!J19</f>
        <v>827.82426604320017</v>
      </c>
      <c r="K18" s="67">
        <f>Drivers!K19</f>
        <v>951.9979059496801</v>
      </c>
      <c r="L18" s="69">
        <f>Drivers!L19</f>
        <v>1094.7975918421321</v>
      </c>
    </row>
    <row r="19" spans="1:12" x14ac:dyDescent="0.25">
      <c r="A19" s="60"/>
      <c r="B19" s="159" t="s">
        <v>54</v>
      </c>
      <c r="C19" s="17">
        <f>'P&amp;L source'!C17</f>
        <v>86.45</v>
      </c>
      <c r="D19" s="17">
        <f>'P&amp;L source'!D17</f>
        <v>64.52</v>
      </c>
      <c r="E19" s="17">
        <f>'P&amp;L source'!E17</f>
        <v>149.05000000000001</v>
      </c>
      <c r="F19" s="17">
        <f>'P&amp;L source'!F17</f>
        <v>173.05</v>
      </c>
      <c r="G19" s="17">
        <f>'P&amp;L source'!G17</f>
        <v>203.97</v>
      </c>
      <c r="H19" s="67">
        <f>Drivers!H40</f>
        <v>1026.0573444295437</v>
      </c>
      <c r="I19" s="67">
        <f>Drivers!I40</f>
        <v>1051.6787603305952</v>
      </c>
      <c r="J19" s="67">
        <f>Drivers!J40</f>
        <v>1080.8871744577941</v>
      </c>
      <c r="K19" s="67">
        <f>Drivers!K40</f>
        <v>1116.5631659988728</v>
      </c>
      <c r="L19" s="69">
        <f>Drivers!L40</f>
        <v>1157.5905562711132</v>
      </c>
    </row>
    <row r="20" spans="1:12" x14ac:dyDescent="0.25">
      <c r="A20" s="60"/>
      <c r="B20" s="159" t="s">
        <v>55</v>
      </c>
      <c r="C20" s="17">
        <f>'P&amp;L source'!C18</f>
        <v>161.68</v>
      </c>
      <c r="D20" s="17">
        <f>'P&amp;L source'!D18</f>
        <v>174.3</v>
      </c>
      <c r="E20" s="17">
        <f>'P&amp;L source'!E18</f>
        <v>277.11</v>
      </c>
      <c r="F20" s="17">
        <f>'P&amp;L source'!F18</f>
        <v>339.58</v>
      </c>
      <c r="G20" s="17">
        <f>'P&amp;L source'!G18</f>
        <v>435.14</v>
      </c>
      <c r="H20" s="152">
        <f>Schedule!H19</f>
        <v>530.93769978321905</v>
      </c>
      <c r="I20" s="152">
        <f>Schedule!I19</f>
        <v>634.01849204678035</v>
      </c>
      <c r="J20" s="152">
        <f>Schedule!J19</f>
        <v>744.86582598854329</v>
      </c>
      <c r="K20" s="152">
        <f>Schedule!K19</f>
        <v>864.06486561738552</v>
      </c>
      <c r="L20" s="153">
        <f>Schedule!L19</f>
        <v>992.2448636668031</v>
      </c>
    </row>
    <row r="21" spans="1:12" x14ac:dyDescent="0.25">
      <c r="A21" s="60"/>
      <c r="B21" s="159" t="s">
        <v>56</v>
      </c>
      <c r="C21" s="17">
        <f>'P&amp;L source'!C19</f>
        <v>1317.32</v>
      </c>
      <c r="D21" s="17">
        <f>'P&amp;L source'!D19</f>
        <v>1561.51</v>
      </c>
      <c r="E21" s="17">
        <f>'P&amp;L source'!E19</f>
        <v>1590.82</v>
      </c>
      <c r="F21" s="17">
        <f>'P&amp;L source'!F19</f>
        <v>1680.59</v>
      </c>
      <c r="G21" s="17">
        <f>'P&amp;L source'!G19</f>
        <v>1915.18</v>
      </c>
      <c r="H21" s="67">
        <f>Drivers!H25</f>
        <v>2123.2796400000002</v>
      </c>
      <c r="I21" s="67">
        <f>Drivers!I25</f>
        <v>2420.5387896000002</v>
      </c>
      <c r="J21" s="67">
        <f>Drivers!J25</f>
        <v>2759.4142201440009</v>
      </c>
      <c r="K21" s="67">
        <f>Drivers!K25</f>
        <v>3173.3263531656007</v>
      </c>
      <c r="L21" s="69">
        <f>Drivers!L25</f>
        <v>3649.3253061404403</v>
      </c>
    </row>
    <row r="22" spans="1:12" x14ac:dyDescent="0.25">
      <c r="A22" s="60"/>
      <c r="B22" s="162" t="s">
        <v>57</v>
      </c>
      <c r="C22" s="5">
        <f>SUM(C15:C21)</f>
        <v>8139.9</v>
      </c>
      <c r="D22" s="5">
        <f t="shared" ref="D22:L22" si="4">SUM(D15:D21)</f>
        <v>9123.58</v>
      </c>
      <c r="E22" s="5">
        <f t="shared" si="4"/>
        <v>9298.93</v>
      </c>
      <c r="F22" s="5">
        <f t="shared" si="4"/>
        <v>10433.14</v>
      </c>
      <c r="G22" s="5">
        <f t="shared" si="4"/>
        <v>12551.179999999998</v>
      </c>
      <c r="H22" s="43">
        <f t="shared" si="4"/>
        <v>13629.888576212763</v>
      </c>
      <c r="I22" s="43">
        <f t="shared" si="4"/>
        <v>14145.027678857376</v>
      </c>
      <c r="J22" s="43">
        <f t="shared" si="4"/>
        <v>14725.621486633538</v>
      </c>
      <c r="K22" s="43">
        <f t="shared" si="4"/>
        <v>15418.582290731538</v>
      </c>
      <c r="L22" s="149">
        <f t="shared" si="4"/>
        <v>16206.58831792049</v>
      </c>
    </row>
    <row r="23" spans="1:12" x14ac:dyDescent="0.25">
      <c r="A23" s="60"/>
      <c r="B23" s="158" t="s">
        <v>215</v>
      </c>
      <c r="C23" s="19">
        <f>C16-C18-C19-C21</f>
        <v>540.92999999999984</v>
      </c>
      <c r="D23" s="19">
        <f t="shared" ref="D23:L23" si="5">D16-D18-D19-D21</f>
        <v>573.01</v>
      </c>
      <c r="E23" s="19">
        <f t="shared" si="5"/>
        <v>568.59999999999923</v>
      </c>
      <c r="F23" s="19">
        <f t="shared" si="5"/>
        <v>800.7399999999991</v>
      </c>
      <c r="G23" s="19">
        <f t="shared" si="5"/>
        <v>497.09999999999923</v>
      </c>
      <c r="H23" s="57">
        <f t="shared" si="5"/>
        <v>-843.52979642954415</v>
      </c>
      <c r="I23" s="57">
        <f t="shared" si="5"/>
        <v>-2147.3655556105959</v>
      </c>
      <c r="J23" s="57">
        <f t="shared" si="5"/>
        <v>-3633.7383210769967</v>
      </c>
      <c r="K23" s="57">
        <f t="shared" si="5"/>
        <v>-5449.2364846109558</v>
      </c>
      <c r="L23" s="71">
        <f t="shared" si="5"/>
        <v>-7537.0593726750067</v>
      </c>
    </row>
    <row r="24" spans="1:12" x14ac:dyDescent="0.25">
      <c r="A24" s="60"/>
      <c r="B24" s="158" t="s">
        <v>216</v>
      </c>
      <c r="C24" s="19">
        <f>C23-C20</f>
        <v>379.24999999999983</v>
      </c>
      <c r="D24" s="19">
        <f t="shared" ref="D24:L24" si="6">D23-D20</f>
        <v>398.71</v>
      </c>
      <c r="E24" s="19">
        <f t="shared" si="6"/>
        <v>291.48999999999921</v>
      </c>
      <c r="F24" s="19">
        <f t="shared" si="6"/>
        <v>461.15999999999912</v>
      </c>
      <c r="G24" s="19">
        <f t="shared" si="6"/>
        <v>61.959999999999241</v>
      </c>
      <c r="H24" s="57">
        <f t="shared" si="6"/>
        <v>-1374.4674962127633</v>
      </c>
      <c r="I24" s="57">
        <f t="shared" si="6"/>
        <v>-2781.3840476573764</v>
      </c>
      <c r="J24" s="57">
        <f t="shared" si="6"/>
        <v>-4378.60414706554</v>
      </c>
      <c r="K24" s="57">
        <f t="shared" si="6"/>
        <v>-6313.3013502283411</v>
      </c>
      <c r="L24" s="71">
        <f t="shared" si="6"/>
        <v>-8529.3042363418099</v>
      </c>
    </row>
    <row r="25" spans="1:12" ht="30" x14ac:dyDescent="0.25">
      <c r="A25" s="60"/>
      <c r="B25" s="157" t="s">
        <v>58</v>
      </c>
      <c r="C25" s="17">
        <f>'P&amp;L source'!C23</f>
        <v>436.06</v>
      </c>
      <c r="D25" s="17">
        <f>'P&amp;L source'!D23</f>
        <v>454.01</v>
      </c>
      <c r="E25" s="17">
        <f>'P&amp;L source'!E23</f>
        <v>322.20999999999998</v>
      </c>
      <c r="F25" s="17">
        <f>'P&amp;L source'!F23</f>
        <v>492.96</v>
      </c>
      <c r="G25" s="17">
        <f>'P&amp;L source'!G23</f>
        <v>90.15</v>
      </c>
      <c r="H25" s="17">
        <f t="shared" ref="H25:L26" si="7">G25</f>
        <v>90.15</v>
      </c>
      <c r="I25" s="17">
        <f t="shared" si="7"/>
        <v>90.15</v>
      </c>
      <c r="J25" s="17">
        <f t="shared" si="7"/>
        <v>90.15</v>
      </c>
      <c r="K25" s="17">
        <f t="shared" si="7"/>
        <v>90.15</v>
      </c>
      <c r="L25" s="70">
        <f t="shared" si="7"/>
        <v>90.15</v>
      </c>
    </row>
    <row r="26" spans="1:12" x14ac:dyDescent="0.25">
      <c r="A26" s="60"/>
      <c r="B26" s="159" t="s">
        <v>59</v>
      </c>
      <c r="C26" s="17">
        <f>'P&amp;L source'!C24</f>
        <v>-26.4</v>
      </c>
      <c r="D26" s="17">
        <f>'P&amp;L source'!D24</f>
        <v>-44.24</v>
      </c>
      <c r="E26" s="17">
        <f>'P&amp;L source'!E24</f>
        <v>-29.84</v>
      </c>
      <c r="F26" s="17">
        <f>'P&amp;L source'!F24</f>
        <v>-34.06</v>
      </c>
      <c r="G26" s="17">
        <f>'P&amp;L source'!G24</f>
        <v>-12.91</v>
      </c>
      <c r="H26" s="17">
        <f t="shared" si="7"/>
        <v>-12.91</v>
      </c>
      <c r="I26" s="17">
        <f t="shared" si="7"/>
        <v>-12.91</v>
      </c>
      <c r="J26" s="17">
        <f t="shared" si="7"/>
        <v>-12.91</v>
      </c>
      <c r="K26" s="17">
        <f t="shared" si="7"/>
        <v>-12.91</v>
      </c>
      <c r="L26" s="70">
        <f t="shared" si="7"/>
        <v>-12.91</v>
      </c>
    </row>
    <row r="27" spans="1:12" x14ac:dyDescent="0.25">
      <c r="A27" s="60"/>
      <c r="B27" s="162" t="s">
        <v>342</v>
      </c>
      <c r="C27" s="5">
        <f>SUM(C25:C26)</f>
        <v>409.66</v>
      </c>
      <c r="D27" s="5">
        <f t="shared" ref="D27:L27" si="8">SUM(D25:D26)</f>
        <v>409.77</v>
      </c>
      <c r="E27" s="5">
        <f t="shared" si="8"/>
        <v>292.37</v>
      </c>
      <c r="F27" s="5">
        <f t="shared" si="8"/>
        <v>458.9</v>
      </c>
      <c r="G27" s="5">
        <f t="shared" si="8"/>
        <v>77.240000000000009</v>
      </c>
      <c r="H27" s="5">
        <f t="shared" si="8"/>
        <v>77.240000000000009</v>
      </c>
      <c r="I27" s="5">
        <f t="shared" si="8"/>
        <v>77.240000000000009</v>
      </c>
      <c r="J27" s="5">
        <f t="shared" si="8"/>
        <v>77.240000000000009</v>
      </c>
      <c r="K27" s="5">
        <f t="shared" si="8"/>
        <v>77.240000000000009</v>
      </c>
      <c r="L27" s="87">
        <f t="shared" si="8"/>
        <v>77.240000000000009</v>
      </c>
    </row>
    <row r="28" spans="1:12" x14ac:dyDescent="0.25">
      <c r="A28" s="60"/>
      <c r="B28" s="159" t="s">
        <v>61</v>
      </c>
      <c r="C28" s="17"/>
      <c r="D28" s="17"/>
      <c r="E28" s="17"/>
      <c r="F28" s="17"/>
      <c r="G28" s="17"/>
      <c r="H28" s="17"/>
      <c r="I28" s="17"/>
      <c r="J28" s="17"/>
      <c r="K28" s="17"/>
      <c r="L28" s="70"/>
    </row>
    <row r="29" spans="1:12" x14ac:dyDescent="0.25">
      <c r="A29" s="60"/>
      <c r="B29" s="159" t="s">
        <v>62</v>
      </c>
      <c r="C29" s="17">
        <f>'P&amp;L source'!C27</f>
        <v>104.08</v>
      </c>
      <c r="D29" s="17">
        <f>'P&amp;L source'!D27</f>
        <v>90.09</v>
      </c>
      <c r="E29" s="17">
        <f>'P&amp;L source'!E27</f>
        <v>74.010000000000005</v>
      </c>
      <c r="F29" s="17">
        <f>'P&amp;L source'!F27</f>
        <v>36.6</v>
      </c>
      <c r="G29" s="17">
        <f>'P&amp;L source'!G27</f>
        <v>22.91</v>
      </c>
      <c r="H29" s="17">
        <f t="shared" ref="H29:L31" si="9">G29</f>
        <v>22.91</v>
      </c>
      <c r="I29" s="17">
        <f t="shared" si="9"/>
        <v>22.91</v>
      </c>
      <c r="J29" s="17">
        <f t="shared" si="9"/>
        <v>22.91</v>
      </c>
      <c r="K29" s="17">
        <f t="shared" si="9"/>
        <v>22.91</v>
      </c>
      <c r="L29" s="70">
        <f t="shared" si="9"/>
        <v>22.91</v>
      </c>
    </row>
    <row r="30" spans="1:12" x14ac:dyDescent="0.25">
      <c r="A30" s="60"/>
      <c r="B30" s="159" t="s">
        <v>63</v>
      </c>
      <c r="C30" s="17">
        <f>'P&amp;L source'!C28</f>
        <v>0</v>
      </c>
      <c r="D30" s="17">
        <f>'P&amp;L source'!D28</f>
        <v>0</v>
      </c>
      <c r="E30" s="17">
        <f>'P&amp;L source'!E28</f>
        <v>0</v>
      </c>
      <c r="F30" s="17">
        <f>'P&amp;L source'!F28</f>
        <v>0</v>
      </c>
      <c r="G30" s="17">
        <f>'P&amp;L source'!G28</f>
        <v>0</v>
      </c>
      <c r="H30" s="17">
        <f t="shared" si="9"/>
        <v>0</v>
      </c>
      <c r="I30" s="17">
        <f t="shared" si="9"/>
        <v>0</v>
      </c>
      <c r="J30" s="17">
        <f t="shared" si="9"/>
        <v>0</v>
      </c>
      <c r="K30" s="17">
        <f t="shared" si="9"/>
        <v>0</v>
      </c>
      <c r="L30" s="70">
        <f t="shared" si="9"/>
        <v>0</v>
      </c>
    </row>
    <row r="31" spans="1:12" x14ac:dyDescent="0.25">
      <c r="A31" s="60"/>
      <c r="B31" s="159" t="s">
        <v>64</v>
      </c>
      <c r="C31" s="17">
        <f>'P&amp;L source'!C29</f>
        <v>26.86</v>
      </c>
      <c r="D31" s="17">
        <f>'P&amp;L source'!D29</f>
        <v>30.77</v>
      </c>
      <c r="E31" s="17">
        <f>'P&amp;L source'!E29</f>
        <v>-6.25</v>
      </c>
      <c r="F31" s="17">
        <f>'P&amp;L source'!F29</f>
        <v>8.66</v>
      </c>
      <c r="G31" s="17">
        <f>'P&amp;L source'!G29</f>
        <v>0</v>
      </c>
      <c r="H31" s="17">
        <f t="shared" si="9"/>
        <v>0</v>
      </c>
      <c r="I31" s="17">
        <f t="shared" si="9"/>
        <v>0</v>
      </c>
      <c r="J31" s="17">
        <f t="shared" si="9"/>
        <v>0</v>
      </c>
      <c r="K31" s="17">
        <f t="shared" si="9"/>
        <v>0</v>
      </c>
      <c r="L31" s="70">
        <f t="shared" si="9"/>
        <v>0</v>
      </c>
    </row>
    <row r="32" spans="1:12" x14ac:dyDescent="0.25">
      <c r="A32" s="60"/>
      <c r="B32" s="159" t="s">
        <v>65</v>
      </c>
      <c r="C32" s="17">
        <f>'P&amp;L source'!C30</f>
        <v>0</v>
      </c>
      <c r="D32" s="17">
        <f>'P&amp;L source'!D30</f>
        <v>0</v>
      </c>
      <c r="E32" s="17">
        <f>'P&amp;L source'!E30</f>
        <v>0</v>
      </c>
      <c r="F32" s="17">
        <f>'P&amp;L source'!F30</f>
        <v>0</v>
      </c>
      <c r="G32" s="17">
        <f>'P&amp;L source'!G30</f>
        <v>0</v>
      </c>
      <c r="H32" s="17">
        <f>G32</f>
        <v>0</v>
      </c>
      <c r="I32" s="17">
        <f t="shared" ref="I32:L33" si="10">H32</f>
        <v>0</v>
      </c>
      <c r="J32" s="17">
        <f t="shared" si="10"/>
        <v>0</v>
      </c>
      <c r="K32" s="17">
        <f t="shared" si="10"/>
        <v>0</v>
      </c>
      <c r="L32" s="70">
        <f t="shared" si="10"/>
        <v>0</v>
      </c>
    </row>
    <row r="33" spans="1:12" x14ac:dyDescent="0.25">
      <c r="A33" s="60"/>
      <c r="B33" s="158" t="s">
        <v>66</v>
      </c>
      <c r="C33" s="19">
        <f>SUM(C29:C32)</f>
        <v>130.94</v>
      </c>
      <c r="D33" s="19">
        <f>SUM(D29:D32)</f>
        <v>120.86</v>
      </c>
      <c r="E33" s="19">
        <f>SUM(E29:E32)</f>
        <v>67.760000000000005</v>
      </c>
      <c r="F33" s="19">
        <f>SUM(F29:F32)</f>
        <v>45.260000000000005</v>
      </c>
      <c r="G33" s="19">
        <f>SUM(G29:G32)</f>
        <v>22.91</v>
      </c>
      <c r="H33" s="19">
        <f>G33</f>
        <v>22.91</v>
      </c>
      <c r="I33" s="19">
        <f t="shared" si="10"/>
        <v>22.91</v>
      </c>
      <c r="J33" s="19">
        <f t="shared" si="10"/>
        <v>22.91</v>
      </c>
      <c r="K33" s="19">
        <f t="shared" si="10"/>
        <v>22.91</v>
      </c>
      <c r="L33" s="83">
        <f t="shared" si="10"/>
        <v>22.91</v>
      </c>
    </row>
    <row r="34" spans="1:12" ht="15.75" thickBot="1" x14ac:dyDescent="0.3">
      <c r="A34" s="60"/>
      <c r="B34" s="163" t="s">
        <v>341</v>
      </c>
      <c r="C34" s="6">
        <f>C27-C33</f>
        <v>278.72000000000003</v>
      </c>
      <c r="D34" s="6">
        <f t="shared" ref="D34:L34" si="11">D27-D33</f>
        <v>288.90999999999997</v>
      </c>
      <c r="E34" s="6">
        <f t="shared" si="11"/>
        <v>224.61</v>
      </c>
      <c r="F34" s="6">
        <f t="shared" si="11"/>
        <v>413.64</v>
      </c>
      <c r="G34" s="6">
        <f t="shared" si="11"/>
        <v>54.330000000000013</v>
      </c>
      <c r="H34" s="6">
        <f t="shared" si="11"/>
        <v>54.330000000000013</v>
      </c>
      <c r="I34" s="6">
        <f t="shared" si="11"/>
        <v>54.330000000000013</v>
      </c>
      <c r="J34" s="6">
        <f t="shared" si="11"/>
        <v>54.330000000000013</v>
      </c>
      <c r="K34" s="6">
        <f t="shared" si="11"/>
        <v>54.330000000000013</v>
      </c>
      <c r="L34" s="89">
        <f t="shared" si="11"/>
        <v>54.330000000000013</v>
      </c>
    </row>
    <row r="35" spans="1:12" ht="30.75" thickTop="1" x14ac:dyDescent="0.25">
      <c r="A35" s="60"/>
      <c r="B35" s="157" t="s">
        <v>68</v>
      </c>
      <c r="C35" s="17">
        <f>C34</f>
        <v>278.72000000000003</v>
      </c>
      <c r="D35" s="17">
        <f t="shared" ref="D35:G36" si="12">D34</f>
        <v>288.90999999999997</v>
      </c>
      <c r="E35" s="17">
        <f t="shared" si="12"/>
        <v>224.61</v>
      </c>
      <c r="F35" s="17">
        <f t="shared" si="12"/>
        <v>413.64</v>
      </c>
      <c r="G35" s="17">
        <f t="shared" si="12"/>
        <v>54.330000000000013</v>
      </c>
      <c r="H35" s="150"/>
      <c r="I35" s="150"/>
      <c r="J35" s="150"/>
      <c r="K35" s="150"/>
      <c r="L35" s="151"/>
    </row>
    <row r="36" spans="1:12" x14ac:dyDescent="0.25">
      <c r="A36" s="60"/>
      <c r="B36" s="159" t="s">
        <v>69</v>
      </c>
      <c r="C36" s="17">
        <f>C35</f>
        <v>278.72000000000003</v>
      </c>
      <c r="D36" s="17">
        <f t="shared" si="12"/>
        <v>288.90999999999997</v>
      </c>
      <c r="E36" s="17">
        <f t="shared" si="12"/>
        <v>224.61</v>
      </c>
      <c r="F36" s="17">
        <f t="shared" si="12"/>
        <v>413.64</v>
      </c>
      <c r="G36" s="17">
        <f t="shared" si="12"/>
        <v>54.330000000000013</v>
      </c>
      <c r="H36" s="150"/>
      <c r="I36" s="150"/>
      <c r="J36" s="150"/>
      <c r="K36" s="150"/>
      <c r="L36" s="151"/>
    </row>
    <row r="37" spans="1:12" x14ac:dyDescent="0.25">
      <c r="A37" s="60"/>
      <c r="B37" s="158" t="s">
        <v>70</v>
      </c>
      <c r="C37" s="17"/>
      <c r="D37" s="17"/>
      <c r="E37" s="17"/>
      <c r="F37" s="17"/>
      <c r="G37" s="17"/>
      <c r="H37" s="17"/>
      <c r="I37" s="17"/>
      <c r="J37" s="17"/>
      <c r="K37" s="17"/>
      <c r="L37" s="70"/>
    </row>
    <row r="38" spans="1:12" x14ac:dyDescent="0.25">
      <c r="A38" s="60"/>
      <c r="B38" s="159" t="s">
        <v>71</v>
      </c>
      <c r="C38" s="17"/>
      <c r="D38" s="17"/>
      <c r="E38" s="17"/>
      <c r="F38" s="17"/>
      <c r="G38" s="17"/>
      <c r="H38" s="17"/>
      <c r="I38" s="17"/>
      <c r="J38" s="17"/>
      <c r="K38" s="17"/>
      <c r="L38" s="70"/>
    </row>
    <row r="39" spans="1:12" x14ac:dyDescent="0.25">
      <c r="A39" s="60"/>
      <c r="B39" s="159" t="s">
        <v>72</v>
      </c>
      <c r="C39" s="17">
        <f>'P&amp;L source'!C38</f>
        <v>68.900000000000006</v>
      </c>
      <c r="D39" s="17">
        <f>'P&amp;L source'!D38</f>
        <v>71.42</v>
      </c>
      <c r="E39" s="17">
        <f>'P&amp;L source'!E38</f>
        <v>55.53</v>
      </c>
      <c r="F39" s="17">
        <f>'P&amp;L source'!F38</f>
        <v>102.26</v>
      </c>
      <c r="G39" s="17">
        <f>'P&amp;L source'!G38</f>
        <v>13.43</v>
      </c>
      <c r="H39" s="150"/>
      <c r="I39" s="150"/>
      <c r="J39" s="150"/>
      <c r="K39" s="150"/>
      <c r="L39" s="151"/>
    </row>
    <row r="40" spans="1:12" ht="15.75" thickBot="1" x14ac:dyDescent="0.3">
      <c r="A40" s="17"/>
      <c r="B40" s="164" t="s">
        <v>73</v>
      </c>
      <c r="C40" s="114">
        <f>'P&amp;L source'!C39</f>
        <v>68.900000000000006</v>
      </c>
      <c r="D40" s="114">
        <f>'P&amp;L source'!D39</f>
        <v>71.42</v>
      </c>
      <c r="E40" s="114">
        <f>'P&amp;L source'!E39</f>
        <v>55.53</v>
      </c>
      <c r="F40" s="114">
        <f>'P&amp;L source'!F39</f>
        <v>102.26</v>
      </c>
      <c r="G40" s="114">
        <f>'P&amp;L source'!G39</f>
        <v>13.43</v>
      </c>
      <c r="H40" s="154"/>
      <c r="I40" s="154"/>
      <c r="J40" s="154"/>
      <c r="K40" s="154"/>
      <c r="L40" s="155"/>
    </row>
  </sheetData>
  <mergeCells count="1">
    <mergeCell ref="B2:B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ABDD-86E2-4078-B122-28A9B45D5DA8}">
  <sheetPr>
    <tabColor theme="7" tint="-0.499984740745262"/>
  </sheetPr>
  <dimension ref="B3:L61"/>
  <sheetViews>
    <sheetView showGridLines="0" workbookViewId="0">
      <pane ySplit="4" topLeftCell="A5" activePane="bottomLeft" state="frozen"/>
      <selection pane="bottomLeft" activeCell="I54" sqref="I54"/>
    </sheetView>
  </sheetViews>
  <sheetFormatPr defaultRowHeight="15" x14ac:dyDescent="0.25"/>
  <cols>
    <col min="2" max="2" width="67.140625" customWidth="1"/>
    <col min="3" max="3" width="7.140625" customWidth="1"/>
    <col min="4" max="11" width="10.140625" customWidth="1"/>
    <col min="12" max="12" width="11.140625" customWidth="1"/>
  </cols>
  <sheetData>
    <row r="3" spans="2:12" ht="16.5" x14ac:dyDescent="0.3">
      <c r="B3" s="234" t="s">
        <v>41</v>
      </c>
      <c r="C3" s="13" t="s">
        <v>109</v>
      </c>
      <c r="D3" s="13" t="s">
        <v>110</v>
      </c>
      <c r="E3" s="13" t="s">
        <v>111</v>
      </c>
      <c r="F3" s="13" t="s">
        <v>112</v>
      </c>
      <c r="G3" s="13" t="s">
        <v>113</v>
      </c>
      <c r="H3" s="13" t="s">
        <v>114</v>
      </c>
      <c r="I3" s="13" t="s">
        <v>115</v>
      </c>
      <c r="J3" s="13" t="s">
        <v>116</v>
      </c>
      <c r="K3" s="13" t="s">
        <v>119</v>
      </c>
      <c r="L3" s="13" t="s">
        <v>120</v>
      </c>
    </row>
    <row r="4" spans="2:12" ht="16.5" x14ac:dyDescent="0.3">
      <c r="B4" s="234"/>
      <c r="C4" s="13" t="s">
        <v>117</v>
      </c>
      <c r="D4" s="13" t="s">
        <v>117</v>
      </c>
      <c r="E4" s="13" t="s">
        <v>117</v>
      </c>
      <c r="F4" s="13" t="s">
        <v>117</v>
      </c>
      <c r="G4" s="13" t="s">
        <v>117</v>
      </c>
      <c r="H4" s="13" t="s">
        <v>118</v>
      </c>
      <c r="I4" s="13" t="s">
        <v>118</v>
      </c>
      <c r="J4" s="13" t="s">
        <v>118</v>
      </c>
      <c r="K4" s="13" t="s">
        <v>118</v>
      </c>
      <c r="L4" s="13" t="s">
        <v>118</v>
      </c>
    </row>
    <row r="6" spans="2:12" ht="15.75" thickBot="1" x14ac:dyDescent="0.3"/>
    <row r="7" spans="2:12" ht="18.75" x14ac:dyDescent="0.3">
      <c r="B7" s="175" t="s">
        <v>264</v>
      </c>
      <c r="C7" s="148"/>
      <c r="D7" s="148"/>
      <c r="E7" s="148"/>
      <c r="F7" s="148"/>
      <c r="G7" s="148"/>
      <c r="H7" s="148"/>
      <c r="I7" s="148"/>
      <c r="J7" s="148"/>
      <c r="K7" s="148"/>
      <c r="L7" s="176"/>
    </row>
    <row r="8" spans="2:12" x14ac:dyDescent="0.25">
      <c r="B8" s="60" t="s">
        <v>265</v>
      </c>
      <c r="C8" s="17"/>
      <c r="D8" s="17">
        <f>PL!D27</f>
        <v>409.77</v>
      </c>
      <c r="E8" s="17">
        <f>PL!E27</f>
        <v>292.37</v>
      </c>
      <c r="F8" s="17">
        <f>PL!F27</f>
        <v>458.9</v>
      </c>
      <c r="G8" s="17">
        <f>PL!G27</f>
        <v>77.240000000000009</v>
      </c>
      <c r="H8" s="17">
        <f>PL!H27</f>
        <v>77.240000000000009</v>
      </c>
      <c r="I8" s="17">
        <f>PL!I27</f>
        <v>77.240000000000009</v>
      </c>
      <c r="J8" s="17">
        <f>PL!J27</f>
        <v>77.240000000000009</v>
      </c>
      <c r="K8" s="17">
        <f>PL!K27</f>
        <v>77.240000000000009</v>
      </c>
      <c r="L8" s="70">
        <f>PL!L27</f>
        <v>77.240000000000009</v>
      </c>
    </row>
    <row r="9" spans="2:12" x14ac:dyDescent="0.25">
      <c r="B9" s="60" t="s">
        <v>266</v>
      </c>
      <c r="C9" s="17"/>
      <c r="D9" s="17"/>
      <c r="E9" s="17"/>
      <c r="F9" s="17"/>
      <c r="G9" s="17"/>
      <c r="H9" s="17"/>
      <c r="I9" s="17"/>
      <c r="J9" s="17"/>
      <c r="K9" s="17"/>
      <c r="L9" s="70"/>
    </row>
    <row r="10" spans="2:12" x14ac:dyDescent="0.25">
      <c r="B10" s="60" t="s">
        <v>267</v>
      </c>
      <c r="C10" s="67"/>
      <c r="D10" s="67">
        <f>Schedule!D10</f>
        <v>170</v>
      </c>
      <c r="E10" s="67">
        <f>Schedule!E10</f>
        <v>273</v>
      </c>
      <c r="F10" s="67">
        <f>Schedule!F10</f>
        <v>331</v>
      </c>
      <c r="G10" s="67">
        <f>Schedule!G10</f>
        <v>430</v>
      </c>
      <c r="H10" s="67">
        <f>Schedule!H10</f>
        <v>524.7393265278231</v>
      </c>
      <c r="I10" s="67">
        <f>Schedule!I10</f>
        <v>626.61671352147732</v>
      </c>
      <c r="J10" s="67">
        <f>Schedule!J10</f>
        <v>736.16997256440163</v>
      </c>
      <c r="K10" s="67">
        <f>Schedule!K10</f>
        <v>853.97743623319059</v>
      </c>
      <c r="L10" s="69">
        <f>Schedule!L10</f>
        <v>980.66101112013428</v>
      </c>
    </row>
    <row r="11" spans="2:12" x14ac:dyDescent="0.25">
      <c r="B11" s="60" t="s">
        <v>268</v>
      </c>
      <c r="C11" s="177"/>
      <c r="D11" s="177">
        <f>Schedule!D18</f>
        <v>4.3000000000000114</v>
      </c>
      <c r="E11" s="177">
        <f>Schedule!E18</f>
        <v>4.1100000000000136</v>
      </c>
      <c r="F11" s="177">
        <f>Schedule!F18</f>
        <v>8.5799999999999841</v>
      </c>
      <c r="G11" s="177">
        <f>Schedule!G18</f>
        <v>5.1399999999999864</v>
      </c>
      <c r="H11" s="177">
        <f>Schedule!H18</f>
        <v>6.1983732553959676</v>
      </c>
      <c r="I11" s="177">
        <f>Schedule!I18</f>
        <v>7.4017785253030803</v>
      </c>
      <c r="J11" s="177">
        <f>Schedule!J18</f>
        <v>8.6958534241416814</v>
      </c>
      <c r="K11" s="177">
        <f>Schedule!K18</f>
        <v>10.087429384194936</v>
      </c>
      <c r="L11" s="178">
        <f>Schedule!L18</f>
        <v>11.583852546668826</v>
      </c>
    </row>
    <row r="12" spans="2:12" x14ac:dyDescent="0.25">
      <c r="B12" s="60" t="s">
        <v>269</v>
      </c>
      <c r="C12" s="17"/>
      <c r="D12" s="17">
        <f>'BS '!C33-'BS '!D33</f>
        <v>0</v>
      </c>
      <c r="E12" s="17">
        <f>'BS '!D33-'BS '!E33</f>
        <v>0</v>
      </c>
      <c r="F12" s="17">
        <f>'BS '!E33-'BS '!F33</f>
        <v>0</v>
      </c>
      <c r="G12" s="17">
        <f>'BS '!F33-'BS '!G33</f>
        <v>-58.55</v>
      </c>
      <c r="H12" s="17">
        <f>'BS '!G33-'BS '!H33</f>
        <v>0</v>
      </c>
      <c r="I12" s="17">
        <f>'BS '!H33-'BS '!I33</f>
        <v>0</v>
      </c>
      <c r="J12" s="17">
        <f>'BS '!I33-'BS '!J33</f>
        <v>0</v>
      </c>
      <c r="K12" s="17">
        <f>'BS '!J33-'BS '!K33</f>
        <v>0</v>
      </c>
      <c r="L12" s="70">
        <f>'BS '!K33-'BS '!L33</f>
        <v>0</v>
      </c>
    </row>
    <row r="13" spans="2:12" x14ac:dyDescent="0.25">
      <c r="B13" s="60" t="s">
        <v>270</v>
      </c>
      <c r="C13" s="17"/>
      <c r="D13" s="17">
        <f>'BS '!C14-'BS '!D14</f>
        <v>-29.560000000000002</v>
      </c>
      <c r="E13" s="17">
        <f>'BS '!D14-'BS '!E14</f>
        <v>-53.400000000000006</v>
      </c>
      <c r="F13" s="17">
        <f>'BS '!E14-'BS '!F14</f>
        <v>-4.4900000000000091</v>
      </c>
      <c r="G13" s="17">
        <f>'BS '!F14-'BS '!G14</f>
        <v>-42.349999999999966</v>
      </c>
      <c r="H13" s="17">
        <f>'BS '!G14-'BS '!H14</f>
        <v>0</v>
      </c>
      <c r="I13" s="17">
        <f>'BS '!H14-'BS '!I14</f>
        <v>0</v>
      </c>
      <c r="J13" s="17">
        <f>'BS '!I14-'BS '!J14</f>
        <v>0</v>
      </c>
      <c r="K13" s="17">
        <f>'BS '!J14-'BS '!K14</f>
        <v>0</v>
      </c>
      <c r="L13" s="70">
        <f>'BS '!K14-'BS '!L14</f>
        <v>0</v>
      </c>
    </row>
    <row r="14" spans="2:12" x14ac:dyDescent="0.25">
      <c r="B14" s="60" t="s">
        <v>271</v>
      </c>
      <c r="C14" s="17"/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70">
        <v>0</v>
      </c>
    </row>
    <row r="15" spans="2:12" x14ac:dyDescent="0.25">
      <c r="B15" s="60" t="s">
        <v>272</v>
      </c>
      <c r="C15" s="17"/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70">
        <v>0</v>
      </c>
    </row>
    <row r="16" spans="2:12" ht="15.75" x14ac:dyDescent="0.25">
      <c r="B16" s="179" t="s">
        <v>273</v>
      </c>
      <c r="C16" s="17"/>
      <c r="D16" s="180">
        <f>SUM(D8:D15)</f>
        <v>554.51</v>
      </c>
      <c r="E16" s="180">
        <f t="shared" ref="E16:L16" si="0">SUM(E8:E15)</f>
        <v>516.08000000000004</v>
      </c>
      <c r="F16" s="180">
        <f t="shared" si="0"/>
        <v>793.99</v>
      </c>
      <c r="G16" s="180">
        <f t="shared" si="0"/>
        <v>411.48</v>
      </c>
      <c r="H16" s="180">
        <f t="shared" si="0"/>
        <v>608.17769978321905</v>
      </c>
      <c r="I16" s="180">
        <f t="shared" si="0"/>
        <v>711.25849204678036</v>
      </c>
      <c r="J16" s="180">
        <f t="shared" si="0"/>
        <v>822.1058259885433</v>
      </c>
      <c r="K16" s="180">
        <f t="shared" si="0"/>
        <v>941.30486561738553</v>
      </c>
      <c r="L16" s="181">
        <f t="shared" si="0"/>
        <v>1069.484863666803</v>
      </c>
    </row>
    <row r="17" spans="2:12" x14ac:dyDescent="0.25">
      <c r="B17" s="60"/>
      <c r="C17" s="17"/>
      <c r="D17" s="17"/>
      <c r="E17" s="17"/>
      <c r="F17" s="17"/>
      <c r="G17" s="17"/>
      <c r="H17" s="17"/>
      <c r="I17" s="17"/>
      <c r="J17" s="17"/>
      <c r="K17" s="17"/>
      <c r="L17" s="70"/>
    </row>
    <row r="18" spans="2:12" x14ac:dyDescent="0.25">
      <c r="B18" s="182" t="s">
        <v>2</v>
      </c>
      <c r="C18" s="17"/>
      <c r="D18" s="177">
        <f>'BS '!C39-'BS '!D39</f>
        <v>-210.18999999999994</v>
      </c>
      <c r="E18" s="177">
        <f>'BS '!D39-'BS '!E39</f>
        <v>53.799999999999955</v>
      </c>
      <c r="F18" s="177">
        <f>'BS '!E39-'BS '!F39</f>
        <v>-201.14999999999998</v>
      </c>
      <c r="G18" s="177">
        <f>'BS '!F39-'BS '!G39</f>
        <v>-174.01</v>
      </c>
      <c r="H18" s="177">
        <f>'BS '!G39-'BS '!H39</f>
        <v>-76.546869950899236</v>
      </c>
      <c r="I18" s="177">
        <f>'BS '!H39-'BS '!I39</f>
        <v>-190.82796179312595</v>
      </c>
      <c r="J18" s="177">
        <f>'BS '!I39-'BS '!J39</f>
        <v>-217.54387644416374</v>
      </c>
      <c r="K18" s="177">
        <f>'BS '!J39-'BS '!K39</f>
        <v>-265.71430622822822</v>
      </c>
      <c r="L18" s="178">
        <f>'BS '!K39-'BS '!L39</f>
        <v>-305.57145216246249</v>
      </c>
    </row>
    <row r="19" spans="2:12" x14ac:dyDescent="0.25">
      <c r="B19" s="182" t="s">
        <v>274</v>
      </c>
      <c r="C19" s="17"/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70">
        <v>0</v>
      </c>
    </row>
    <row r="20" spans="2:12" x14ac:dyDescent="0.25">
      <c r="B20" s="182" t="s">
        <v>275</v>
      </c>
      <c r="C20" s="17"/>
      <c r="D20" s="17">
        <f>'BS '!C38-'BS '!D38</f>
        <v>40.06</v>
      </c>
      <c r="E20" s="17">
        <f>'BS '!D38-'BS '!E38</f>
        <v>0</v>
      </c>
      <c r="F20" s="17">
        <f>'BS '!E38-'BS '!F38</f>
        <v>0</v>
      </c>
      <c r="G20" s="17">
        <f>'BS '!F38-'BS '!G38</f>
        <v>0</v>
      </c>
      <c r="H20" s="17">
        <f>'BS '!G38-'BS '!H38</f>
        <v>0</v>
      </c>
      <c r="I20" s="17">
        <f>'BS '!H38-'BS '!I38</f>
        <v>0</v>
      </c>
      <c r="J20" s="17">
        <f>'BS '!I38-'BS '!J38</f>
        <v>0</v>
      </c>
      <c r="K20" s="17">
        <f>'BS '!J38-'BS '!K38</f>
        <v>0</v>
      </c>
      <c r="L20" s="70">
        <f>'BS '!K38-'BS '!L38</f>
        <v>0</v>
      </c>
    </row>
    <row r="21" spans="2:12" x14ac:dyDescent="0.25">
      <c r="B21" s="182" t="s">
        <v>34</v>
      </c>
      <c r="C21" s="17"/>
      <c r="D21" s="67">
        <f>'BS '!C40-'BS '!D40</f>
        <v>-14.310000000000059</v>
      </c>
      <c r="E21" s="67">
        <f>'BS '!D40-'BS '!E40</f>
        <v>62.160000000000082</v>
      </c>
      <c r="F21" s="67">
        <f>'BS '!E40-'BS '!F40</f>
        <v>-257.96000000000004</v>
      </c>
      <c r="G21" s="67">
        <f>'BS '!F40-'BS '!G40</f>
        <v>-230.6099999999999</v>
      </c>
      <c r="H21" s="67">
        <f>'BS '!G40-'BS '!H40</f>
        <v>-161.40180000000009</v>
      </c>
      <c r="I21" s="67">
        <f>'BS '!H40-'BS '!I40</f>
        <v>-183.99805200000014</v>
      </c>
      <c r="J21" s="67">
        <f>'BS '!I40-'BS '!J40</f>
        <v>-209.75777928000025</v>
      </c>
      <c r="K21" s="67">
        <f>'BS '!J40-'BS '!K40</f>
        <v>-256.20414469199977</v>
      </c>
      <c r="L21" s="69">
        <f>'BS '!K40-'BS '!L40</f>
        <v>-294.63476639580017</v>
      </c>
    </row>
    <row r="22" spans="2:12" x14ac:dyDescent="0.25">
      <c r="B22" s="182" t="s">
        <v>276</v>
      </c>
      <c r="C22" s="17"/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70">
        <v>0</v>
      </c>
    </row>
    <row r="23" spans="2:12" x14ac:dyDescent="0.25">
      <c r="B23" s="182" t="s">
        <v>277</v>
      </c>
      <c r="C23" s="17"/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70">
        <v>0</v>
      </c>
    </row>
    <row r="24" spans="2:12" x14ac:dyDescent="0.25">
      <c r="B24" s="60" t="s">
        <v>179</v>
      </c>
      <c r="C24" s="17"/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70">
        <v>0</v>
      </c>
    </row>
    <row r="25" spans="2:12" x14ac:dyDescent="0.25">
      <c r="B25" s="60" t="s">
        <v>178</v>
      </c>
      <c r="C25" s="17"/>
      <c r="D25" s="67">
        <f>'BS '!C43-'BS '!D43</f>
        <v>-36.450000000000017</v>
      </c>
      <c r="E25" s="67">
        <f>'BS '!D43-'BS '!E43</f>
        <v>-2.289999999999992</v>
      </c>
      <c r="F25" s="67">
        <f>'BS '!E43-'BS '!F43</f>
        <v>33.81</v>
      </c>
      <c r="G25" s="67">
        <f>'BS '!F43-'BS '!G43</f>
        <v>6.1400000000000006</v>
      </c>
      <c r="H25" s="67">
        <f>'BS '!G43-'BS '!H43</f>
        <v>-16.473800000000026</v>
      </c>
      <c r="I25" s="67">
        <f>'BS '!H43-'BS '!I43</f>
        <v>-18.780132000000009</v>
      </c>
      <c r="J25" s="67">
        <f>'BS '!I43-'BS '!J43</f>
        <v>-21.409350480000029</v>
      </c>
      <c r="K25" s="67">
        <f>'BS '!J43-'BS '!K43</f>
        <v>-26.149992371999986</v>
      </c>
      <c r="L25" s="69">
        <f>'BS '!K43-'BS '!L43</f>
        <v>-30.072491227799986</v>
      </c>
    </row>
    <row r="26" spans="2:12" x14ac:dyDescent="0.25">
      <c r="B26" s="60" t="s">
        <v>180</v>
      </c>
      <c r="C26" s="17"/>
      <c r="D26" s="67">
        <f>'BS '!C19-'BS '!D19</f>
        <v>-70.670000000000016</v>
      </c>
      <c r="E26" s="67">
        <f>'BS '!D19-'BS '!E19</f>
        <v>-1.2800000000000011</v>
      </c>
      <c r="F26" s="67">
        <f>'BS '!E19-'BS '!F19</f>
        <v>215.06</v>
      </c>
      <c r="G26" s="67">
        <f>'BS '!F19-'BS '!G19</f>
        <v>-351.71000000000004</v>
      </c>
      <c r="H26" s="67">
        <f>'BS '!G19-'BS '!H19</f>
        <v>-20.958149933933385</v>
      </c>
      <c r="I26" s="67">
        <f>'BS '!H19-'BS '!I19</f>
        <v>-52.247740990750742</v>
      </c>
      <c r="J26" s="67">
        <f>'BS '!I19-'BS '!J19</f>
        <v>-59.562424729455813</v>
      </c>
      <c r="K26" s="67">
        <f>'BS '!J19-'BS '!K19</f>
        <v>-72.751247348121012</v>
      </c>
      <c r="L26" s="69">
        <f>'BS '!K19-'BS '!L19</f>
        <v>-83.66393445033907</v>
      </c>
    </row>
    <row r="27" spans="2:12" x14ac:dyDescent="0.25">
      <c r="B27" s="60" t="s">
        <v>278</v>
      </c>
      <c r="C27" s="17"/>
      <c r="D27" s="67">
        <f>'BS '!C20-'BS '!D20</f>
        <v>-185.3900000000001</v>
      </c>
      <c r="E27" s="67">
        <f>'BS '!D20-'BS '!E20</f>
        <v>-157.18999999999983</v>
      </c>
      <c r="F27" s="67">
        <f>'BS '!E20-'BS '!F20</f>
        <v>-752.48</v>
      </c>
      <c r="G27" s="67">
        <f>'BS '!F20-'BS '!G20</f>
        <v>-263.02</v>
      </c>
      <c r="H27" s="67">
        <f>'BS '!G20-'BS '!H20</f>
        <v>-131.29307519650274</v>
      </c>
      <c r="I27" s="67">
        <f>'BS '!H20-'BS '!I20</f>
        <v>-327.30783052751076</v>
      </c>
      <c r="J27" s="67">
        <f>'BS '!I20-'BS '!J20</f>
        <v>-373.13092680136242</v>
      </c>
      <c r="K27" s="67">
        <f>'BS '!J20-'BS '!K20</f>
        <v>-455.75277487880658</v>
      </c>
      <c r="L27" s="69">
        <f>'BS '!K20-'BS '!L20</f>
        <v>-524.11569111062681</v>
      </c>
    </row>
    <row r="28" spans="2:12" x14ac:dyDescent="0.25">
      <c r="B28" s="60" t="s">
        <v>181</v>
      </c>
      <c r="C28" s="17"/>
      <c r="D28" s="67">
        <v>0</v>
      </c>
      <c r="E28" s="67">
        <v>0</v>
      </c>
      <c r="F28" s="67">
        <v>0</v>
      </c>
      <c r="G28" s="67">
        <v>0</v>
      </c>
      <c r="H28" s="67">
        <v>0</v>
      </c>
      <c r="I28" s="67">
        <v>0</v>
      </c>
      <c r="J28" s="67">
        <v>0</v>
      </c>
      <c r="K28" s="67">
        <v>0</v>
      </c>
      <c r="L28" s="69">
        <v>0</v>
      </c>
    </row>
    <row r="29" spans="2:12" x14ac:dyDescent="0.25">
      <c r="B29" s="60" t="s">
        <v>182</v>
      </c>
      <c r="C29" s="17"/>
      <c r="D29" s="67">
        <f>'BS '!C21-'BS '!D21</f>
        <v>-16.669999999999959</v>
      </c>
      <c r="E29" s="67">
        <f>'BS '!D21-'BS '!E21</f>
        <v>-25.909999999999968</v>
      </c>
      <c r="F29" s="67">
        <f>'BS '!E21-'BS '!F21</f>
        <v>-220.64999999999998</v>
      </c>
      <c r="G29" s="67">
        <f>'BS '!F21-'BS '!G21</f>
        <v>20.789999999999964</v>
      </c>
      <c r="H29" s="67">
        <f>'BS '!G21-'BS '!H21</f>
        <v>-55.729139145525892</v>
      </c>
      <c r="I29" s="67">
        <f>'BS '!H21-'BS '!I21</f>
        <v>-138.93027948037366</v>
      </c>
      <c r="J29" s="67">
        <f>'BS '!I21-'BS '!J21</f>
        <v>-158.38051860762607</v>
      </c>
      <c r="K29" s="67">
        <f>'BS '!J21-'BS '!K21</f>
        <v>-193.450490585029</v>
      </c>
      <c r="L29" s="69">
        <f>'BS '!K21-'BS '!L21</f>
        <v>-222.46806417278299</v>
      </c>
    </row>
    <row r="30" spans="2:12" x14ac:dyDescent="0.25">
      <c r="B30" s="62" t="s">
        <v>225</v>
      </c>
      <c r="C30" s="15"/>
      <c r="D30" s="52">
        <f>PL!D33</f>
        <v>120.86</v>
      </c>
      <c r="E30" s="52">
        <f>PL!E33</f>
        <v>67.760000000000005</v>
      </c>
      <c r="F30" s="52">
        <f>PL!F33</f>
        <v>45.260000000000005</v>
      </c>
      <c r="G30" s="52">
        <f>PL!G33</f>
        <v>22.91</v>
      </c>
      <c r="H30" s="52">
        <f>PL!H33</f>
        <v>22.91</v>
      </c>
      <c r="I30" s="52">
        <f>PL!I33</f>
        <v>22.91</v>
      </c>
      <c r="J30" s="52">
        <f>PL!J33</f>
        <v>22.91</v>
      </c>
      <c r="K30" s="52">
        <f>PL!K33</f>
        <v>22.91</v>
      </c>
      <c r="L30" s="188">
        <f>PL!L33</f>
        <v>22.91</v>
      </c>
    </row>
    <row r="31" spans="2:12" ht="15.75" x14ac:dyDescent="0.25">
      <c r="B31" s="183" t="s">
        <v>279</v>
      </c>
      <c r="C31" s="17"/>
      <c r="D31" s="180">
        <f>SUM(D16:D29)</f>
        <v>60.88999999999993</v>
      </c>
      <c r="E31" s="180">
        <f t="shared" ref="E31:L31" si="1">SUM(E18:E29)</f>
        <v>-70.709999999999752</v>
      </c>
      <c r="F31" s="180">
        <f t="shared" si="1"/>
        <v>-1183.3699999999999</v>
      </c>
      <c r="G31" s="180">
        <f t="shared" si="1"/>
        <v>-992.42</v>
      </c>
      <c r="H31" s="180">
        <f t="shared" si="1"/>
        <v>-462.40283422686139</v>
      </c>
      <c r="I31" s="180">
        <f t="shared" si="1"/>
        <v>-912.09199679176118</v>
      </c>
      <c r="J31" s="180">
        <f t="shared" si="1"/>
        <v>-1039.7848763426084</v>
      </c>
      <c r="K31" s="180">
        <f t="shared" si="1"/>
        <v>-1270.0229561041847</v>
      </c>
      <c r="L31" s="181">
        <f t="shared" si="1"/>
        <v>-1460.5263995198115</v>
      </c>
    </row>
    <row r="32" spans="2:12" ht="15.75" x14ac:dyDescent="0.25">
      <c r="B32" s="179"/>
      <c r="C32" s="17"/>
      <c r="D32" s="17"/>
      <c r="E32" s="17"/>
      <c r="F32" s="17"/>
      <c r="G32" s="17"/>
      <c r="H32" s="17"/>
      <c r="I32" s="17"/>
      <c r="J32" s="17"/>
      <c r="K32" s="17"/>
      <c r="L32" s="70"/>
    </row>
    <row r="33" spans="2:12" x14ac:dyDescent="0.25">
      <c r="B33" s="62" t="s">
        <v>280</v>
      </c>
      <c r="C33" s="17"/>
      <c r="D33" s="17"/>
      <c r="E33" s="17"/>
      <c r="F33" s="17"/>
      <c r="G33" s="17"/>
      <c r="H33" s="17"/>
      <c r="I33" s="17"/>
      <c r="J33" s="17"/>
      <c r="K33" s="17"/>
      <c r="L33" s="70"/>
    </row>
    <row r="34" spans="2:12" x14ac:dyDescent="0.25">
      <c r="B34" s="60" t="s">
        <v>159</v>
      </c>
      <c r="C34" s="17"/>
      <c r="D34" s="17">
        <f>-Schedule!D9</f>
        <v>-205.92999999999984</v>
      </c>
      <c r="E34" s="17">
        <f>-Schedule!E9</f>
        <v>-1000.6100000000001</v>
      </c>
      <c r="F34" s="17">
        <f>-Schedule!F9</f>
        <v>-274.29000000000042</v>
      </c>
      <c r="G34" s="17">
        <f>-Schedule!G9</f>
        <v>-1042.5</v>
      </c>
      <c r="H34" s="17">
        <f>-Schedule!H9</f>
        <v>-827.42</v>
      </c>
      <c r="I34" s="17">
        <f>-Schedule!I9</f>
        <v>-827.42</v>
      </c>
      <c r="J34" s="17">
        <f>-Schedule!J9</f>
        <v>-827.42</v>
      </c>
      <c r="K34" s="17">
        <f>-Schedule!K9</f>
        <v>-827.42</v>
      </c>
      <c r="L34" s="70">
        <f>-Schedule!L9</f>
        <v>-827.42</v>
      </c>
    </row>
    <row r="35" spans="2:12" x14ac:dyDescent="0.25">
      <c r="B35" s="60" t="s">
        <v>281</v>
      </c>
      <c r="C35" s="17"/>
      <c r="D35" s="17">
        <f>'BS '!C29-'BS '!D29</f>
        <v>-557.03</v>
      </c>
      <c r="E35" s="17">
        <f>'BS '!D29-'BS '!E29</f>
        <v>-265.05000000000007</v>
      </c>
      <c r="F35" s="17">
        <f>'BS '!E29-'BS '!F29</f>
        <v>281.06000000000006</v>
      </c>
      <c r="G35" s="17">
        <f>'BS '!F29-'BS '!G29</f>
        <v>702.88</v>
      </c>
      <c r="H35" s="17">
        <f>'BS '!G29-'BS '!H29</f>
        <v>0</v>
      </c>
      <c r="I35" s="17">
        <f>'BS '!H29-'BS '!I29</f>
        <v>0</v>
      </c>
      <c r="J35" s="17">
        <f>'BS '!I29-'BS '!J29</f>
        <v>0</v>
      </c>
      <c r="K35" s="17">
        <f>'BS '!J29-'BS '!K29</f>
        <v>0</v>
      </c>
      <c r="L35" s="70">
        <f>'BS '!K29-'BS '!L29</f>
        <v>0</v>
      </c>
    </row>
    <row r="36" spans="2:12" x14ac:dyDescent="0.25">
      <c r="B36" s="60" t="s">
        <v>168</v>
      </c>
      <c r="C36" s="17"/>
      <c r="D36" s="17">
        <f>-Schedule!D23</f>
        <v>-56.269999999999989</v>
      </c>
      <c r="E36" s="17">
        <f>-Schedule!E23</f>
        <v>-96.059999999999988</v>
      </c>
      <c r="F36" s="17">
        <f>-Schedule!F23</f>
        <v>-89.960000000000022</v>
      </c>
      <c r="G36" s="17">
        <f ca="1">-Schedule!G23</f>
        <v>-56.269999999999989</v>
      </c>
      <c r="H36" s="17">
        <f ca="1">-Schedule!H23</f>
        <v>-56.269999999999989</v>
      </c>
      <c r="I36" s="17">
        <f ca="1">-Schedule!I23</f>
        <v>-56.269999999999989</v>
      </c>
      <c r="J36" s="17">
        <f ca="1">-Schedule!J23</f>
        <v>-56.269999999999989</v>
      </c>
      <c r="K36" s="17">
        <f ca="1">-Schedule!K23</f>
        <v>-56.269999999999989</v>
      </c>
      <c r="L36" s="70">
        <f ca="1">-Schedule!L23</f>
        <v>-56.269999999999989</v>
      </c>
    </row>
    <row r="37" spans="2:12" x14ac:dyDescent="0.25">
      <c r="B37" s="60" t="s">
        <v>175</v>
      </c>
      <c r="C37" s="17"/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70">
        <v>0</v>
      </c>
    </row>
    <row r="38" spans="2:12" x14ac:dyDescent="0.25">
      <c r="B38" s="60" t="s">
        <v>282</v>
      </c>
      <c r="C38" s="17"/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70">
        <v>0</v>
      </c>
    </row>
    <row r="39" spans="2:12" x14ac:dyDescent="0.25">
      <c r="B39" s="60" t="s">
        <v>283</v>
      </c>
      <c r="C39" s="17"/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70">
        <v>0</v>
      </c>
    </row>
    <row r="40" spans="2:12" x14ac:dyDescent="0.25">
      <c r="B40" s="60" t="s">
        <v>284</v>
      </c>
      <c r="C40" s="15"/>
      <c r="D40" s="15">
        <f>'BS '!C36-'BS '!D36</f>
        <v>-1064.77</v>
      </c>
      <c r="E40" s="15">
        <f>'BS '!D36-'BS '!E36</f>
        <v>-1273.1699999999992</v>
      </c>
      <c r="F40" s="15">
        <f>'BS '!E36-'BS '!F36</f>
        <v>-350.59000000000015</v>
      </c>
      <c r="G40" s="15">
        <f>'BS '!F36-'BS '!G36</f>
        <v>-666.2400000000016</v>
      </c>
      <c r="H40" s="15">
        <f ca="1">'BS '!G36-'BS '!H36</f>
        <v>-1064.77</v>
      </c>
      <c r="I40" s="15">
        <f ca="1">'BS '!H36-'BS '!I36</f>
        <v>-1064.77</v>
      </c>
      <c r="J40" s="15">
        <f ca="1">'BS '!I36-'BS '!J36</f>
        <v>-1064.77</v>
      </c>
      <c r="K40" s="15">
        <f ca="1">'BS '!J36-'BS '!K36</f>
        <v>-1064.77</v>
      </c>
      <c r="L40" s="74">
        <f ca="1">'BS '!K36-'BS '!L36</f>
        <v>-1064.77</v>
      </c>
    </row>
    <row r="41" spans="2:12" x14ac:dyDescent="0.25">
      <c r="B41" s="61" t="s">
        <v>285</v>
      </c>
      <c r="C41" s="17"/>
      <c r="D41" s="19">
        <f>SUM(D34:D40)</f>
        <v>-1883.9999999999998</v>
      </c>
      <c r="E41" s="19">
        <f t="shared" ref="E41:K41" si="2">SUM(E34:E40)</f>
        <v>-2634.8899999999994</v>
      </c>
      <c r="F41" s="19">
        <f t="shared" si="2"/>
        <v>-433.78000000000054</v>
      </c>
      <c r="G41" s="19">
        <f t="shared" ca="1" si="2"/>
        <v>-1326.9699999999998</v>
      </c>
      <c r="H41" s="19">
        <f t="shared" ca="1" si="2"/>
        <v>-1326.9699999999998</v>
      </c>
      <c r="I41" s="19">
        <f t="shared" ca="1" si="2"/>
        <v>-1326.9699999999998</v>
      </c>
      <c r="J41" s="19">
        <f t="shared" ca="1" si="2"/>
        <v>-1326.9699999999998</v>
      </c>
      <c r="K41" s="19">
        <f t="shared" ca="1" si="2"/>
        <v>-1326.9699999999998</v>
      </c>
      <c r="L41" s="83">
        <f ca="1">SUM(L34:L40)</f>
        <v>-1326.9699999999998</v>
      </c>
    </row>
    <row r="42" spans="2:12" x14ac:dyDescent="0.25">
      <c r="B42" s="60"/>
      <c r="C42" s="17"/>
      <c r="D42" s="17"/>
      <c r="E42" s="17"/>
      <c r="F42" s="17"/>
      <c r="G42" s="17"/>
      <c r="H42" s="17"/>
      <c r="I42" s="17"/>
      <c r="J42" s="17"/>
      <c r="K42" s="17"/>
      <c r="L42" s="70"/>
    </row>
    <row r="43" spans="2:12" x14ac:dyDescent="0.25">
      <c r="B43" s="62" t="s">
        <v>286</v>
      </c>
      <c r="C43" s="17"/>
      <c r="D43" s="17"/>
      <c r="E43" s="17"/>
      <c r="F43" s="17"/>
      <c r="G43" s="17"/>
      <c r="H43" s="17"/>
      <c r="I43" s="17"/>
      <c r="J43" s="17"/>
      <c r="K43" s="17"/>
      <c r="L43" s="70"/>
    </row>
    <row r="44" spans="2:12" x14ac:dyDescent="0.25">
      <c r="B44" s="60" t="s">
        <v>5</v>
      </c>
      <c r="C44" s="17"/>
      <c r="D44" s="17">
        <f>'BS '!D8-'BS '!C8</f>
        <v>0</v>
      </c>
      <c r="E44" s="17">
        <f>'BS '!E8-'BS '!D8</f>
        <v>0</v>
      </c>
      <c r="F44" s="17">
        <f>'BS '!F8-'BS '!E8</f>
        <v>0</v>
      </c>
      <c r="G44" s="17">
        <f>'BS '!G8-'BS '!F8</f>
        <v>0</v>
      </c>
      <c r="H44" s="17">
        <f>'BS '!H8-'BS '!G8</f>
        <v>0</v>
      </c>
      <c r="I44" s="17">
        <f>'BS '!I8-'BS '!H8</f>
        <v>0</v>
      </c>
      <c r="J44" s="17">
        <f>'BS '!J8-'BS '!I8</f>
        <v>0</v>
      </c>
      <c r="K44" s="17">
        <f>'BS '!K8-'BS '!J8</f>
        <v>0</v>
      </c>
      <c r="L44" s="70">
        <f>'BS '!L8-'BS '!K8</f>
        <v>0</v>
      </c>
    </row>
    <row r="45" spans="2:12" x14ac:dyDescent="0.25">
      <c r="B45" s="182" t="s">
        <v>156</v>
      </c>
      <c r="C45" s="17"/>
      <c r="D45" s="17">
        <f>Drivers!D54</f>
        <v>-47</v>
      </c>
      <c r="E45" s="17">
        <f>Drivers!E54</f>
        <v>-44</v>
      </c>
      <c r="F45" s="17">
        <f>Drivers!F54</f>
        <v>-96</v>
      </c>
      <c r="G45" s="17">
        <f>Drivers!G54</f>
        <v>0</v>
      </c>
      <c r="H45" s="17">
        <f ca="1">Drivers!H54</f>
        <v>-54.330000000000013</v>
      </c>
      <c r="I45" s="17">
        <f ca="1">Drivers!I54</f>
        <v>-54.330000000000013</v>
      </c>
      <c r="J45" s="17">
        <f ca="1">Drivers!J54</f>
        <v>-54.330000000000013</v>
      </c>
      <c r="K45" s="17">
        <f ca="1">Drivers!K54</f>
        <v>-54.330000000000013</v>
      </c>
      <c r="L45" s="70">
        <f ca="1">Drivers!L54</f>
        <v>-54.330000000000013</v>
      </c>
    </row>
    <row r="46" spans="2:12" x14ac:dyDescent="0.25">
      <c r="B46" s="182" t="s">
        <v>287</v>
      </c>
      <c r="C46" s="17"/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70">
        <v>0</v>
      </c>
    </row>
    <row r="47" spans="2:12" x14ac:dyDescent="0.25">
      <c r="B47" s="182" t="s">
        <v>157</v>
      </c>
      <c r="C47" s="17"/>
      <c r="D47" s="17">
        <f>Drivers!D55</f>
        <v>-231.72000000000003</v>
      </c>
      <c r="E47" s="17">
        <f>Drivers!E55</f>
        <v>-244.90999999999997</v>
      </c>
      <c r="F47" s="17">
        <f>Drivers!F55</f>
        <v>-128.61000000000001</v>
      </c>
      <c r="G47" s="17">
        <f>Drivers!G55</f>
        <v>-413.64</v>
      </c>
      <c r="H47" s="17">
        <f>Drivers!H55</f>
        <v>0</v>
      </c>
      <c r="I47" s="17">
        <f>Drivers!I55</f>
        <v>0</v>
      </c>
      <c r="J47" s="17">
        <f>Drivers!J55</f>
        <v>0</v>
      </c>
      <c r="K47" s="17">
        <f>Drivers!K55</f>
        <v>0</v>
      </c>
      <c r="L47" s="70">
        <f>Drivers!L55</f>
        <v>0</v>
      </c>
    </row>
    <row r="48" spans="2:12" x14ac:dyDescent="0.25">
      <c r="B48" s="182" t="s">
        <v>288</v>
      </c>
      <c r="C48" s="17"/>
      <c r="D48" s="17">
        <f>'BS '!D13-'BS '!C13</f>
        <v>730.42000000000007</v>
      </c>
      <c r="E48" s="17">
        <f>'BS '!E13-'BS '!D13</f>
        <v>638.05999999999995</v>
      </c>
      <c r="F48" s="17">
        <f>'BS '!F13-'BS '!E13</f>
        <v>-299.74</v>
      </c>
      <c r="G48" s="17">
        <f>'BS '!G13-'BS '!F13</f>
        <v>378.12000000000012</v>
      </c>
      <c r="H48" s="17">
        <f>'BS '!H13-'BS '!G13</f>
        <v>0</v>
      </c>
      <c r="I48" s="17">
        <f>'BS '!I13-'BS '!H13</f>
        <v>0</v>
      </c>
      <c r="J48" s="17">
        <f>'BS '!J13-'BS '!I13</f>
        <v>0</v>
      </c>
      <c r="K48" s="17">
        <f>'BS '!K13-'BS '!J13</f>
        <v>0</v>
      </c>
      <c r="L48" s="70">
        <f>'BS '!L13-'BS '!K13</f>
        <v>0</v>
      </c>
    </row>
    <row r="49" spans="2:12" x14ac:dyDescent="0.25">
      <c r="B49" s="182" t="s">
        <v>289</v>
      </c>
      <c r="C49" s="17"/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70">
        <v>0</v>
      </c>
    </row>
    <row r="50" spans="2:12" x14ac:dyDescent="0.25">
      <c r="B50" s="182" t="s">
        <v>290</v>
      </c>
      <c r="C50" s="17"/>
      <c r="D50" s="17">
        <f>'BS '!D16-'BS '!C16</f>
        <v>3.0300000000000011</v>
      </c>
      <c r="E50" s="17">
        <f>'BS '!E16-'BS '!D16</f>
        <v>3.25</v>
      </c>
      <c r="F50" s="17">
        <f>'BS '!F16-'BS '!E16</f>
        <v>4.8599999999999994</v>
      </c>
      <c r="G50" s="17">
        <f>'BS '!G16-'BS '!F16</f>
        <v>-3.7999999999999972</v>
      </c>
      <c r="H50" s="17">
        <f>'BS '!H16-'BS '!G16</f>
        <v>0</v>
      </c>
      <c r="I50" s="17">
        <f>'BS '!I16-'BS '!H16</f>
        <v>0</v>
      </c>
      <c r="J50" s="17">
        <f>'BS '!J16-'BS '!I16</f>
        <v>0</v>
      </c>
      <c r="K50" s="17">
        <f>'BS '!K16-'BS '!J16</f>
        <v>0</v>
      </c>
      <c r="L50" s="70">
        <f>'BS '!L16-'BS '!K16</f>
        <v>0</v>
      </c>
    </row>
    <row r="51" spans="2:12" x14ac:dyDescent="0.25">
      <c r="B51" s="182" t="s">
        <v>291</v>
      </c>
      <c r="C51" s="17"/>
      <c r="D51" s="17">
        <f>'BS '!D22-'BS '!C22</f>
        <v>49.709999999999994</v>
      </c>
      <c r="E51" s="17">
        <f>'BS '!E22-'BS '!D22</f>
        <v>22.17</v>
      </c>
      <c r="F51" s="17">
        <f>'BS '!F22-'BS '!E22</f>
        <v>-14.439999999999998</v>
      </c>
      <c r="G51" s="17">
        <f>'BS '!G22-'BS '!F22</f>
        <v>17.210000000000008</v>
      </c>
      <c r="H51" s="17">
        <f>'BS '!H22-'BS '!G22</f>
        <v>0</v>
      </c>
      <c r="I51" s="17">
        <f>'BS '!I22-'BS '!H22</f>
        <v>0</v>
      </c>
      <c r="J51" s="17">
        <f>'BS '!J22-'BS '!I22</f>
        <v>0</v>
      </c>
      <c r="K51" s="17">
        <f>'BS '!K22-'BS '!J22</f>
        <v>0</v>
      </c>
      <c r="L51" s="70">
        <f>'BS '!L22-'BS '!K22</f>
        <v>0</v>
      </c>
    </row>
    <row r="52" spans="2:12" x14ac:dyDescent="0.25">
      <c r="B52" s="61" t="s">
        <v>292</v>
      </c>
      <c r="C52" s="186"/>
      <c r="D52" s="174">
        <f>SUM(D44:D51)</f>
        <v>504.44</v>
      </c>
      <c r="E52" s="174">
        <f t="shared" ref="E52:L52" si="3">SUM(E44:E51)</f>
        <v>374.57</v>
      </c>
      <c r="F52" s="174">
        <f t="shared" si="3"/>
        <v>-533.93000000000006</v>
      </c>
      <c r="G52" s="174">
        <f t="shared" si="3"/>
        <v>-22.109999999999857</v>
      </c>
      <c r="H52" s="174">
        <f t="shared" ca="1" si="3"/>
        <v>-54.330000000000013</v>
      </c>
      <c r="I52" s="174">
        <f t="shared" ca="1" si="3"/>
        <v>-54.330000000000013</v>
      </c>
      <c r="J52" s="174">
        <f t="shared" ca="1" si="3"/>
        <v>-54.330000000000013</v>
      </c>
      <c r="K52" s="174">
        <f t="shared" ca="1" si="3"/>
        <v>-54.330000000000013</v>
      </c>
      <c r="L52" s="87">
        <f t="shared" ca="1" si="3"/>
        <v>-54.330000000000013</v>
      </c>
    </row>
    <row r="53" spans="2:12" x14ac:dyDescent="0.25">
      <c r="B53" s="86" t="s">
        <v>293</v>
      </c>
      <c r="C53" s="184"/>
      <c r="D53" s="185">
        <f>D52+D41+D31</f>
        <v>-1318.6699999999998</v>
      </c>
      <c r="E53" s="185">
        <f t="shared" ref="E53:L53" si="4">E52+E41+E31</f>
        <v>-2331.0299999999988</v>
      </c>
      <c r="F53" s="185">
        <f t="shared" si="4"/>
        <v>-2151.0800000000004</v>
      </c>
      <c r="G53" s="185">
        <f t="shared" ca="1" si="4"/>
        <v>-1318.6699999999998</v>
      </c>
      <c r="H53" s="185">
        <f t="shared" ca="1" si="4"/>
        <v>-1318.6699999999998</v>
      </c>
      <c r="I53" s="185">
        <f t="shared" ca="1" si="4"/>
        <v>-1318.6699999999998</v>
      </c>
      <c r="J53" s="185">
        <f t="shared" ca="1" si="4"/>
        <v>-1318.6699999999998</v>
      </c>
      <c r="K53" s="185">
        <f t="shared" ca="1" si="4"/>
        <v>-1318.6699999999998</v>
      </c>
      <c r="L53" s="187">
        <f t="shared" ca="1" si="4"/>
        <v>-1318.6699999999998</v>
      </c>
    </row>
    <row r="54" spans="2:12" x14ac:dyDescent="0.25">
      <c r="B54" s="62" t="s">
        <v>294</v>
      </c>
      <c r="C54" s="17"/>
      <c r="D54" s="19">
        <f>'BS '!C41</f>
        <v>73.010000000000005</v>
      </c>
      <c r="E54" s="19">
        <f>'BS '!D41</f>
        <v>59.74</v>
      </c>
      <c r="F54" s="19">
        <f>'BS '!E41</f>
        <v>28.92</v>
      </c>
      <c r="G54" s="19">
        <f>'BS '!F41</f>
        <v>25.51</v>
      </c>
      <c r="H54" s="19">
        <f>'BS '!G41</f>
        <v>16.670000000000002</v>
      </c>
      <c r="I54" s="19">
        <f>'BS '!H41</f>
        <v>-1245</v>
      </c>
      <c r="J54" s="19">
        <f>'BS '!I41</f>
        <v>-1245</v>
      </c>
      <c r="K54" s="19">
        <f>'BS '!J41</f>
        <v>-1245</v>
      </c>
      <c r="L54" s="83">
        <f>'BS '!K41</f>
        <v>-1245</v>
      </c>
    </row>
    <row r="55" spans="2:12" x14ac:dyDescent="0.25">
      <c r="B55" s="62" t="s">
        <v>295</v>
      </c>
      <c r="C55" s="17"/>
      <c r="D55" s="180">
        <f>D53+D54</f>
        <v>-1245.6599999999999</v>
      </c>
      <c r="E55" s="180">
        <f t="shared" ref="E55:L55" si="5">E53+E54</f>
        <v>-2271.2899999999991</v>
      </c>
      <c r="F55" s="180">
        <f t="shared" si="5"/>
        <v>-2122.1600000000003</v>
      </c>
      <c r="G55" s="180">
        <f t="shared" ca="1" si="5"/>
        <v>-1245.6599999999999</v>
      </c>
      <c r="H55" s="180">
        <f t="shared" ca="1" si="5"/>
        <v>-1245.6599999999999</v>
      </c>
      <c r="I55" s="180">
        <f t="shared" ca="1" si="5"/>
        <v>-1245.6599999999999</v>
      </c>
      <c r="J55" s="180">
        <f t="shared" ca="1" si="5"/>
        <v>-1245.6599999999999</v>
      </c>
      <c r="K55" s="180">
        <f t="shared" ca="1" si="5"/>
        <v>-1245.6599999999999</v>
      </c>
      <c r="L55" s="181">
        <f t="shared" ca="1" si="5"/>
        <v>-1245.6599999999999</v>
      </c>
    </row>
    <row r="56" spans="2:12" ht="15.75" thickBot="1" x14ac:dyDescent="0.3">
      <c r="B56" s="113"/>
      <c r="C56" s="114"/>
      <c r="D56" s="114"/>
      <c r="E56" s="114"/>
      <c r="F56" s="114"/>
      <c r="G56" s="114"/>
      <c r="H56" s="114"/>
      <c r="I56" s="114"/>
      <c r="J56" s="114"/>
      <c r="K56" s="114"/>
      <c r="L56" s="73"/>
    </row>
    <row r="57" spans="2:12" x14ac:dyDescent="0.25">
      <c r="B57" s="172"/>
    </row>
    <row r="58" spans="2:12" x14ac:dyDescent="0.25">
      <c r="B58" s="172"/>
    </row>
    <row r="59" spans="2:12" x14ac:dyDescent="0.25">
      <c r="B59" s="172"/>
    </row>
    <row r="60" spans="2:12" x14ac:dyDescent="0.25">
      <c r="B60" s="172"/>
    </row>
    <row r="61" spans="2:12" x14ac:dyDescent="0.25">
      <c r="B61" s="172"/>
    </row>
  </sheetData>
  <mergeCells count="1">
    <mergeCell ref="B3:B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4868-E899-47D4-B022-D049737E737A}">
  <sheetPr>
    <tabColor theme="2" tint="-0.89999084444715716"/>
  </sheetPr>
  <dimension ref="B1:L21"/>
  <sheetViews>
    <sheetView showGridLines="0" topLeftCell="A3" workbookViewId="0">
      <selection activeCell="C18" sqref="C17:L18"/>
    </sheetView>
  </sheetViews>
  <sheetFormatPr defaultRowHeight="15" x14ac:dyDescent="0.25"/>
  <cols>
    <col min="2" max="2" width="29.28515625" customWidth="1"/>
    <col min="3" max="3" width="15.7109375" customWidth="1"/>
    <col min="4" max="12" width="13.85546875" customWidth="1"/>
  </cols>
  <sheetData>
    <row r="1" spans="2:12" ht="18.75" x14ac:dyDescent="0.3">
      <c r="B1" s="147"/>
      <c r="C1" s="235" t="s">
        <v>261</v>
      </c>
      <c r="D1" s="236"/>
      <c r="E1" s="236"/>
      <c r="F1" s="236"/>
      <c r="G1" s="236"/>
      <c r="H1" s="236"/>
      <c r="I1" s="236"/>
      <c r="J1" s="147"/>
      <c r="K1" s="147"/>
      <c r="L1" s="147"/>
    </row>
    <row r="3" spans="2:12" ht="16.5" x14ac:dyDescent="0.3">
      <c r="B3" s="234" t="s">
        <v>41</v>
      </c>
      <c r="C3" s="13" t="s">
        <v>109</v>
      </c>
      <c r="D3" s="13" t="s">
        <v>110</v>
      </c>
      <c r="E3" s="13" t="s">
        <v>111</v>
      </c>
      <c r="F3" s="13" t="s">
        <v>112</v>
      </c>
      <c r="G3" s="13" t="s">
        <v>113</v>
      </c>
      <c r="H3" s="13" t="s">
        <v>114</v>
      </c>
      <c r="I3" s="13" t="s">
        <v>115</v>
      </c>
      <c r="J3" s="13" t="s">
        <v>116</v>
      </c>
      <c r="K3" s="13" t="s">
        <v>119</v>
      </c>
      <c r="L3" s="13" t="s">
        <v>120</v>
      </c>
    </row>
    <row r="4" spans="2:12" ht="16.5" x14ac:dyDescent="0.3">
      <c r="B4" s="234"/>
      <c r="C4" s="13" t="s">
        <v>117</v>
      </c>
      <c r="D4" s="13" t="s">
        <v>117</v>
      </c>
      <c r="E4" s="13" t="s">
        <v>117</v>
      </c>
      <c r="F4" s="13" t="s">
        <v>117</v>
      </c>
      <c r="G4" s="13" t="s">
        <v>117</v>
      </c>
      <c r="H4" s="13" t="s">
        <v>118</v>
      </c>
      <c r="I4" s="13" t="s">
        <v>118</v>
      </c>
      <c r="J4" s="13" t="s">
        <v>118</v>
      </c>
      <c r="K4" s="13" t="s">
        <v>118</v>
      </c>
      <c r="L4" s="13" t="s">
        <v>118</v>
      </c>
    </row>
    <row r="5" spans="2:12" ht="15.75" thickBot="1" x14ac:dyDescent="0.3"/>
    <row r="6" spans="2:12" ht="15.75" x14ac:dyDescent="0.25">
      <c r="B6" s="237" t="s">
        <v>188</v>
      </c>
      <c r="C6" s="238"/>
      <c r="D6" s="238"/>
      <c r="E6" s="238"/>
      <c r="F6" s="238"/>
      <c r="G6" s="238"/>
      <c r="H6" s="238"/>
      <c r="I6" s="238"/>
      <c r="J6" s="238"/>
      <c r="K6" s="238"/>
      <c r="L6" s="239"/>
    </row>
    <row r="7" spans="2:12" x14ac:dyDescent="0.25">
      <c r="B7" s="127" t="s">
        <v>189</v>
      </c>
      <c r="C7" s="56">
        <f>'BS '!C44/'BS '!C23</f>
        <v>1.006662789157563</v>
      </c>
      <c r="D7" s="56">
        <f>'BS '!D44/'BS '!D23</f>
        <v>0.95421452682192387</v>
      </c>
      <c r="E7" s="56">
        <f>'BS '!E44/'BS '!E23</f>
        <v>0.77783712204811317</v>
      </c>
      <c r="F7" s="56">
        <f>'BS '!F44/'BS '!F23</f>
        <v>0.72581776127983844</v>
      </c>
      <c r="G7" s="56">
        <f>'BS '!G44/'BS '!G23</f>
        <v>0.7109173876053787</v>
      </c>
      <c r="H7" s="56">
        <f>'BS '!H44/'BS '!H23</f>
        <v>0.44404567824435442</v>
      </c>
      <c r="I7" s="56">
        <f>'BS '!I44/'BS '!I23</f>
        <v>0.48163120459789049</v>
      </c>
      <c r="J7" s="56">
        <f>'BS '!J44/'BS '!J23</f>
        <v>0.51485059762673269</v>
      </c>
      <c r="K7" s="56">
        <f>'BS '!K44/'BS '!K23</f>
        <v>0.54601256845274204</v>
      </c>
      <c r="L7" s="143">
        <f>'BS '!L44/'BS '!L23</f>
        <v>0.57327796576746182</v>
      </c>
    </row>
    <row r="8" spans="2:12" x14ac:dyDescent="0.25">
      <c r="B8" s="127" t="s">
        <v>190</v>
      </c>
      <c r="C8" s="45">
        <f>('BS '!C44-'BS '!C39)/'BS '!C23</f>
        <v>0.57190571894201581</v>
      </c>
      <c r="D8" s="45">
        <f>('BS '!D44-'BS '!D39)/'BS '!D23</f>
        <v>0.48545617912042555</v>
      </c>
      <c r="E8" s="45">
        <f>('BS '!E44-'BS '!E39)/'BS '!E23</f>
        <v>0.37556389318031347</v>
      </c>
      <c r="F8" s="45">
        <f>('BS '!F44-'BS '!F39)/'BS '!F23</f>
        <v>0.35610957319889802</v>
      </c>
      <c r="G8" s="45">
        <f>('BS '!G44-'BS '!G39)/'BS '!G23</f>
        <v>0.35555537140773652</v>
      </c>
      <c r="H8" s="45">
        <f>('BS '!H44-'BS '!H39)/'BS '!H23</f>
        <v>8.7994432965823405E-2</v>
      </c>
      <c r="I8" s="45">
        <f>('BS '!I44-'BS '!I39)/'BS '!I23</f>
        <v>0.12414890524403653</v>
      </c>
      <c r="J8" s="45">
        <f>('BS '!J44-'BS '!J39)/'BS '!J23</f>
        <v>0.15610348299993249</v>
      </c>
      <c r="K8" s="45">
        <f>('BS '!K44-'BS '!K39)/'BS '!K23</f>
        <v>0.18607897409099838</v>
      </c>
      <c r="L8" s="144">
        <f>('BS '!L44-'BS '!L39)/'BS '!L23</f>
        <v>0.21230625216866095</v>
      </c>
    </row>
    <row r="9" spans="2:12" ht="15.75" thickBot="1" x14ac:dyDescent="0.3">
      <c r="B9" s="129" t="s">
        <v>191</v>
      </c>
      <c r="C9" s="145">
        <f>'BS '!C41/'BS '!C23</f>
        <v>4.2044099947596045E-2</v>
      </c>
      <c r="D9" s="145">
        <f>'BS '!D41/'BS '!D23</f>
        <v>2.901478909152724E-2</v>
      </c>
      <c r="E9" s="145">
        <f>'BS '!E41/'BS '!E23</f>
        <v>1.2765393952769811E-2</v>
      </c>
      <c r="F9" s="145">
        <f>'BS '!F41/'BS '!F23</f>
        <v>8.4775333734335191E-3</v>
      </c>
      <c r="G9" s="145">
        <f>'BS '!G41/'BS '!G23</f>
        <v>4.6046162175301369E-3</v>
      </c>
      <c r="H9" s="145">
        <f>'BS '!H41/'BS '!H23</f>
        <v>-0.32521299011371357</v>
      </c>
      <c r="I9" s="145">
        <f>'BS '!I41/'BS '!I23</f>
        <v>-0.28642113855762563</v>
      </c>
      <c r="J9" s="145">
        <f>'BS '!J41/'BS '!J23</f>
        <v>-0.25213555343538957</v>
      </c>
      <c r="K9" s="145">
        <f>'BS '!K41/'BS '!K23</f>
        <v>-0.21997342445235421</v>
      </c>
      <c r="L9" s="146">
        <f>'BS '!L41/'BS '!L23</f>
        <v>-0.19183293134599996</v>
      </c>
    </row>
    <row r="10" spans="2:12" ht="15.75" thickBot="1" x14ac:dyDescent="0.3"/>
    <row r="11" spans="2:12" ht="15.75" x14ac:dyDescent="0.25">
      <c r="B11" s="237" t="s">
        <v>192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9"/>
    </row>
    <row r="12" spans="2:12" x14ac:dyDescent="0.25">
      <c r="B12" s="127" t="s">
        <v>193</v>
      </c>
      <c r="C12" s="45">
        <f>('BS '!C19+'BS '!C13)/'BS '!C11</f>
        <v>0.16331739188478184</v>
      </c>
      <c r="D12" s="45">
        <f>('BS '!D19+'BS '!D13)/'BS '!D11</f>
        <v>0.44238906013725721</v>
      </c>
      <c r="E12" s="45">
        <f>('BS '!E19+'BS '!E13)/'BS '!E11</f>
        <v>0.67245164094762011</v>
      </c>
      <c r="F12" s="45">
        <f>('BS '!F19+'BS '!F13)/'BS '!F11</f>
        <v>0.4239116009530009</v>
      </c>
      <c r="G12" s="45">
        <f>('BS '!G19+'BS '!G13)/'BS '!G11</f>
        <v>0.65753094179229088</v>
      </c>
      <c r="H12" s="45">
        <f>('BS '!H19+'BS '!H13)/'BS '!H11</f>
        <v>0.66418375248278194</v>
      </c>
      <c r="I12" s="45">
        <f>('BS '!I19+'BS '!I13)/'BS '!I11</f>
        <v>0.68076891533890238</v>
      </c>
      <c r="J12" s="45">
        <f>('BS '!J19+'BS '!J13)/'BS '!J11</f>
        <v>0.69967600099487981</v>
      </c>
      <c r="K12" s="45">
        <f>('BS '!K19+'BS '!K13)/'BS '!K11</f>
        <v>0.72276965561753781</v>
      </c>
      <c r="L12" s="144">
        <f>('BS '!L19+'BS '!L13)/'BS '!L11</f>
        <v>0.74932735843359466</v>
      </c>
    </row>
    <row r="13" spans="2:12" x14ac:dyDescent="0.25">
      <c r="B13" s="127" t="s">
        <v>194</v>
      </c>
      <c r="C13" s="45">
        <f>PL!C27/PL!C19</f>
        <v>4.7386928860613073</v>
      </c>
      <c r="D13" s="45">
        <f>PL!D27/PL!D19</f>
        <v>6.3510539367637939</v>
      </c>
      <c r="E13" s="45">
        <f>PL!E27/PL!E19</f>
        <v>1.9615565246561555</v>
      </c>
      <c r="F13" s="45">
        <f>PL!F27/PL!F19</f>
        <v>2.6518347298468647</v>
      </c>
      <c r="G13" s="45">
        <f>PL!G27/PL!G19</f>
        <v>0.37868313967740358</v>
      </c>
      <c r="H13" s="45">
        <f>PL!H27/PL!H19</f>
        <v>7.527844366529346E-2</v>
      </c>
      <c r="I13" s="45">
        <f>PL!I27/PL!I19</f>
        <v>7.3444480304726903E-2</v>
      </c>
      <c r="J13" s="45">
        <f>PL!J27/PL!J19</f>
        <v>7.145981729198142E-2</v>
      </c>
      <c r="K13" s="45">
        <f>PL!K27/PL!K19</f>
        <v>6.9176561033071002E-2</v>
      </c>
      <c r="L13" s="144">
        <f>PL!L27/PL!L19</f>
        <v>6.6724801426170266E-2</v>
      </c>
    </row>
    <row r="14" spans="2:12" ht="15.75" thickBot="1" x14ac:dyDescent="0.3">
      <c r="B14" s="129" t="s">
        <v>195</v>
      </c>
      <c r="C14" s="145">
        <f>('BS '!C13+'BS '!C19)/'BS '!C45</f>
        <v>8.7007817190288023E-2</v>
      </c>
      <c r="D14" s="145">
        <f>('BS '!D13+'BS '!D19)/'BS '!D45</f>
        <v>0.20076841101576082</v>
      </c>
      <c r="E14" s="145">
        <f>('BS '!E13+'BS '!E19)/'BS '!E45</f>
        <v>0.2602677307102379</v>
      </c>
      <c r="F14" s="145">
        <f>('BS '!F13+'BS '!F19)/'BS '!F45</f>
        <v>0.16971114557584926</v>
      </c>
      <c r="G14" s="145">
        <f>('BS '!G13+'BS '!G19)/'BS '!G45</f>
        <v>0.2311598165362854</v>
      </c>
      <c r="H14" s="145">
        <f ca="1">('BS '!H13+'BS '!H19)/'BS '!H45</f>
        <v>0.22492833455403013</v>
      </c>
      <c r="I14" s="145">
        <f ca="1">('BS '!I13+'BS '!I19)/'BS '!I45</f>
        <v>0.19400655000647093</v>
      </c>
      <c r="J14" s="145">
        <f ca="1">('BS '!J13+'BS '!J19)/'BS '!J45</f>
        <v>0.17001639308882929</v>
      </c>
      <c r="K14" s="145">
        <f ca="1">('BS '!K13+'BS '!K19)/'BS '!K45</f>
        <v>0.15094131512948347</v>
      </c>
      <c r="L14" s="146">
        <f ca="1">('BS '!L13+'BS '!L19)/'BS '!L45</f>
        <v>0.13561456148209783</v>
      </c>
    </row>
    <row r="15" spans="2:12" ht="15.75" thickBot="1" x14ac:dyDescent="0.3"/>
    <row r="16" spans="2:12" ht="15.75" x14ac:dyDescent="0.25">
      <c r="B16" s="237" t="s">
        <v>196</v>
      </c>
      <c r="C16" s="238"/>
      <c r="D16" s="238"/>
      <c r="E16" s="238"/>
      <c r="F16" s="238"/>
      <c r="G16" s="238"/>
      <c r="H16" s="238"/>
      <c r="I16" s="238"/>
      <c r="J16" s="238"/>
      <c r="K16" s="238"/>
      <c r="L16" s="239"/>
    </row>
    <row r="17" spans="2:12" x14ac:dyDescent="0.25">
      <c r="B17" s="127" t="s">
        <v>197</v>
      </c>
      <c r="C17" s="263">
        <f>PL!C16/PL!C7</f>
        <v>0.36765010860429836</v>
      </c>
      <c r="D17" s="263">
        <f>PL!D16/PL!D7</f>
        <v>0.39573033179119005</v>
      </c>
      <c r="E17" s="263">
        <f>PL!E16/PL!E7</f>
        <v>0.42550936549921631</v>
      </c>
      <c r="F17" s="263">
        <f>PL!F16/PL!F7</f>
        <v>0.44041985284465412</v>
      </c>
      <c r="G17" s="263">
        <f>PL!G16/PL!G7</f>
        <v>0.35441223370841529</v>
      </c>
      <c r="H17" s="263">
        <f>PL!H16/PL!H7</f>
        <v>0.27719298245614038</v>
      </c>
      <c r="I17" s="263">
        <f>PL!I16/PL!I7</f>
        <v>0.1694675284702985</v>
      </c>
      <c r="J17" s="263">
        <f>PL!J16/PL!J7</f>
        <v>7.4971516202016142E-2</v>
      </c>
      <c r="K17" s="263">
        <f>PL!K16/PL!K7</f>
        <v>-1.306824678085557E-2</v>
      </c>
      <c r="L17" s="264">
        <f>PL!L16/PL!L7</f>
        <v>-8.962456241813517E-2</v>
      </c>
    </row>
    <row r="18" spans="2:12" x14ac:dyDescent="0.25">
      <c r="B18" s="127" t="s">
        <v>198</v>
      </c>
      <c r="C18" s="263">
        <f>PL!C27/PL!C7</f>
        <v>6.387772699701709E-2</v>
      </c>
      <c r="D18" s="263">
        <f>PL!D27/PL!D7</f>
        <v>6.0259762413861051E-2</v>
      </c>
      <c r="E18" s="263">
        <f>PL!E27/PL!E7</f>
        <v>4.37655399326684E-2</v>
      </c>
      <c r="F18" s="263">
        <f>PL!F27/PL!F7</f>
        <v>6.0848430524192851E-2</v>
      </c>
      <c r="G18" s="263">
        <f>PL!G27/PL!G7</f>
        <v>8.294112404336907E-3</v>
      </c>
      <c r="H18" s="263">
        <f>PL!H27/PL!H7</f>
        <v>7.2755371967867608E-3</v>
      </c>
      <c r="I18" s="263">
        <f>PL!I27/PL!I7</f>
        <v>6.3820501726199654E-3</v>
      </c>
      <c r="J18" s="263">
        <f>PL!J27/PL!J7</f>
        <v>5.5982896251052317E-3</v>
      </c>
      <c r="K18" s="263">
        <f>PL!K27/PL!K7</f>
        <v>4.8680779348741149E-3</v>
      </c>
      <c r="L18" s="264">
        <f>PL!L27/PL!L7</f>
        <v>4.2331112477166219E-3</v>
      </c>
    </row>
    <row r="19" spans="2:12" x14ac:dyDescent="0.25">
      <c r="B19" s="127" t="s">
        <v>217</v>
      </c>
      <c r="C19" s="225">
        <f>PL!C34/PL!C10</f>
        <v>4.482362117350016E-2</v>
      </c>
      <c r="D19" s="225">
        <f>PL!D34/PL!D10</f>
        <v>4.1952487439375012E-2</v>
      </c>
      <c r="E19" s="225">
        <f>PL!E34/PL!E10</f>
        <v>3.3135258416954583E-2</v>
      </c>
      <c r="F19" s="225">
        <f>PL!F34/PL!F10</f>
        <v>5.4393464999427973E-2</v>
      </c>
      <c r="G19" s="225">
        <f>PL!G34/PL!G10</f>
        <v>5.8164058401724917E-3</v>
      </c>
      <c r="H19" s="225">
        <f>PL!H34/PL!H10</f>
        <v>5.8164058401724917E-3</v>
      </c>
      <c r="I19" s="225">
        <f>PL!I34/PL!I10</f>
        <v>5.8164058401724917E-3</v>
      </c>
      <c r="J19" s="225">
        <f>PL!J34/PL!J10</f>
        <v>5.8164058401724917E-3</v>
      </c>
      <c r="K19" s="225">
        <f>PL!K34/PL!K10</f>
        <v>5.8164058401724917E-3</v>
      </c>
      <c r="L19" s="200">
        <f>PL!L34/PL!L10</f>
        <v>5.8164058401724917E-3</v>
      </c>
    </row>
    <row r="20" spans="2:12" x14ac:dyDescent="0.25">
      <c r="B20" s="127" t="s">
        <v>340</v>
      </c>
      <c r="C20" s="224">
        <f>'BS '!C17/'BS '!C45</f>
        <v>0.10399770734799155</v>
      </c>
      <c r="D20" s="224">
        <f>'BS '!D17/'BS '!D45</f>
        <v>0.20651582187645373</v>
      </c>
      <c r="E20" s="224">
        <f>'BS '!E17/'BS '!E45</f>
        <v>0.29532817201165362</v>
      </c>
      <c r="F20" s="224">
        <f>'BS '!F17/'BS '!F45</f>
        <v>0.21899375333648743</v>
      </c>
      <c r="G20" s="224">
        <f>'BS '!G17/'BS '!G45</f>
        <v>0.2444341528194712</v>
      </c>
      <c r="H20" s="224">
        <f ca="1">'BS '!H17/'BS '!H45</f>
        <v>0.10399770734799155</v>
      </c>
      <c r="I20" s="224">
        <f ca="1">'BS '!I17/'BS '!I45</f>
        <v>0.10399770734799155</v>
      </c>
      <c r="J20" s="224">
        <f ca="1">'BS '!J17/'BS '!J45</f>
        <v>0.10399770734799155</v>
      </c>
      <c r="K20" s="224">
        <f ca="1">'BS '!K17/'BS '!K45</f>
        <v>0.10399770734799155</v>
      </c>
      <c r="L20" s="220">
        <f ca="1">'BS '!L17/'BS '!L45</f>
        <v>0.10399770734799155</v>
      </c>
    </row>
    <row r="21" spans="2:12" ht="15.75" thickBot="1" x14ac:dyDescent="0.3">
      <c r="B21" s="113" t="s">
        <v>339</v>
      </c>
      <c r="C21" s="219">
        <f>PL!C24/('BS '!C45-'BS '!C23)</f>
        <v>0.12459017470548422</v>
      </c>
      <c r="D21" s="219">
        <f>PL!D24/('BS '!D45-'BS '!D23)</f>
        <v>9.9605037335338514E-2</v>
      </c>
      <c r="E21" s="219">
        <f>PL!E24/('BS '!E45-'BS '!E23)</f>
        <v>5.9890611131200741E-2</v>
      </c>
      <c r="F21" s="219">
        <f>PL!F24/('BS '!F45-'BS '!F23)</f>
        <v>9.419329274146257E-2</v>
      </c>
      <c r="G21" s="219">
        <f>PL!G24/('BS '!G45-'BS '!G23)</f>
        <v>1.1601649246716528E-2</v>
      </c>
      <c r="H21" s="219">
        <f ca="1">PL!H24/('BS '!H45-'BS '!H23)</f>
        <v>0.12459017470548422</v>
      </c>
      <c r="I21" s="219">
        <f ca="1">PL!I24/('BS '!I45-'BS '!I23)</f>
        <v>0.12459017470548422</v>
      </c>
      <c r="J21" s="219">
        <f ca="1">PL!J24/('BS '!J45-'BS '!J23)</f>
        <v>0.12459017470548422</v>
      </c>
      <c r="K21" s="219">
        <f ca="1">PL!K24/('BS '!K45-'BS '!K23)</f>
        <v>0.12459017470548422</v>
      </c>
      <c r="L21" s="221">
        <f ca="1">PL!L24/('BS '!L45-'BS '!L23)</f>
        <v>0.12459017470548422</v>
      </c>
    </row>
  </sheetData>
  <mergeCells count="5">
    <mergeCell ref="B3:B4"/>
    <mergeCell ref="C1:I1"/>
    <mergeCell ref="B6:L6"/>
    <mergeCell ref="B11:L11"/>
    <mergeCell ref="B16:L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Dashbord</vt:lpstr>
      <vt:lpstr>drivers sheet</vt:lpstr>
      <vt:lpstr>Drivers</vt:lpstr>
      <vt:lpstr>Schedule</vt:lpstr>
      <vt:lpstr>BS </vt:lpstr>
      <vt:lpstr>PL</vt:lpstr>
      <vt:lpstr>Cash flow</vt:lpstr>
      <vt:lpstr>ratios</vt:lpstr>
      <vt:lpstr>WACC</vt:lpstr>
      <vt:lpstr>DCF</vt:lpstr>
      <vt:lpstr>Share price</vt:lpstr>
      <vt:lpstr>BS Source</vt:lpstr>
      <vt:lpstr>P&amp;L source</vt:lpstr>
      <vt:lpstr> cash flow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2022-05-21T17:43:18Z</cp:lastPrinted>
  <dcterms:created xsi:type="dcterms:W3CDTF">2022-05-19T06:53:58Z</dcterms:created>
  <dcterms:modified xsi:type="dcterms:W3CDTF">2022-06-04T10:08:17Z</dcterms:modified>
</cp:coreProperties>
</file>