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01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1" name="ID_4FAD3B05EE684F1C83E788D8E5C69D4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7945" y="8692515"/>
          <a:ext cx="4762500" cy="476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26" name="ID_FB81A603B4264A33A8C21E3E4FDA8B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3185" y="5259705"/>
          <a:ext cx="1115060" cy="11258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8" name="ID_BD0C5D9014AE46989763485E34088DF9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0" y="12651740"/>
          <a:ext cx="4762500" cy="476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0" name="ID_2E2FF91457644FE6BF83061A21DB44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320" y="422275"/>
          <a:ext cx="1558925" cy="15354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5" name="ID_C0DA714AD6E54DA1AD759BDFA37FB6EC"/>
        <xdr:cNvPicPr/>
      </xdr:nvPicPr>
      <xdr:blipFill>
        <a:blip r:embed="rId6"/>
        <a:stretch>
          <a:fillRect/>
        </a:stretch>
      </xdr:blipFill>
      <xdr:spPr>
        <a:xfrm>
          <a:off x="86360" y="5791200"/>
          <a:ext cx="1568450" cy="1544955"/>
        </a:xfrm>
        <a:prstGeom prst="rect">
          <a:avLst/>
        </a:prstGeom>
      </xdr:spPr>
    </xdr:pic>
  </etc:cellImage>
  <etc:cellImage>
    <xdr:pic>
      <xdr:nvPicPr>
        <xdr:cNvPr id="105" name="ID_FF2662ADB0FD4171A2B9972B6E1BCB52" descr="51ShMMJn5-L._AC_SL1000_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2647315"/>
          <a:ext cx="914400" cy="1042670"/>
        </a:xfrm>
        <a:prstGeom prst="rect">
          <a:avLst/>
        </a:prstGeom>
      </xdr:spPr>
    </xdr:pic>
  </etc:cellImage>
  <etc:cellImage>
    <xdr:pic>
      <xdr:nvPicPr>
        <xdr:cNvPr id="82" name="ID_0B048A6FD2544E2583549FBE20F9752F"/>
        <xdr:cNvPicPr/>
      </xdr:nvPicPr>
      <xdr:blipFill>
        <a:blip r:embed="rId8"/>
        <a:stretch>
          <a:fillRect/>
        </a:stretch>
      </xdr:blipFill>
      <xdr:spPr>
        <a:xfrm>
          <a:off x="200660" y="2085975"/>
          <a:ext cx="1440180" cy="1676400"/>
        </a:xfrm>
        <a:prstGeom prst="rect">
          <a:avLst/>
        </a:prstGeom>
      </xdr:spPr>
    </xdr:pic>
  </etc:cellImage>
  <etc:cellImage>
    <xdr:pic>
      <xdr:nvPicPr>
        <xdr:cNvPr id="87" name="ID_F6C54E5D36A84CFFB9597F2CA221CFDF" descr="UNKnife13SCUT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5" y="7440295"/>
          <a:ext cx="1463675" cy="1591945"/>
        </a:xfrm>
        <a:prstGeom prst="rect">
          <a:avLst/>
        </a:prstGeom>
      </xdr:spPr>
    </xdr:pic>
  </etc:cellImage>
  <etc:cellImage>
    <xdr:pic>
      <xdr:nvPicPr>
        <xdr:cNvPr id="109" name="ID_FF2260C9B91E4385A75FA89B17A2B39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18300700"/>
          <a:ext cx="6353175" cy="6343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9" name="ID_1BD1A664CC2646ED889D0F3DF7F754B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9055100"/>
          <a:ext cx="1581150" cy="1433830"/>
        </a:xfrm>
        <a:prstGeom prst="rect">
          <a:avLst/>
        </a:prstGeom>
      </xdr:spPr>
    </xdr:pic>
  </etc:cellImage>
  <etc:cellImage>
    <xdr:pic>
      <xdr:nvPicPr>
        <xdr:cNvPr id="92" name="ID_DCB7CC3BF42A4372A6230C257D3EC360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0" y="10003790"/>
          <a:ext cx="4762500" cy="476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27" name="ID_A0C17248A8CA43EEAFA4EAA5419A6488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83185" y="5038090"/>
          <a:ext cx="1107440" cy="11182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9" name="ID_510AEDEEB61C4A48AC4382E6676F06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85800" y="15751810"/>
          <a:ext cx="8667750" cy="866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6" name="ID_0CD4285257264AF19ADF3C9EF0315B9B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13195300"/>
          <a:ext cx="6153150" cy="604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" name="ID_828CE3BC1A0A484E94F1961D7D1604E2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0" y="11327765"/>
          <a:ext cx="4762500" cy="476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5" name="ID_BE46158A6845407ABB18E0F0202136E2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0" y="13975715"/>
          <a:ext cx="4762500" cy="476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7" name="ID_1CF864C4453D495EB743BBF541A0C522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0" y="15299690"/>
          <a:ext cx="4762500" cy="476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3" name="ID_A33571324AEB4088B5D0F1A289C2BF4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85800" y="3729355"/>
          <a:ext cx="1073785" cy="10845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9" name="ID_7FA4E8A58F5948C187CFCA8C5EDFE39A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0" y="16623665"/>
          <a:ext cx="4762500" cy="476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2" name="ID_3985244EB688469C99D0AD448D363F62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0" y="17947640"/>
          <a:ext cx="4762500" cy="47625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29" name="ID_72486C7FC6184DD5B1F38810F306F9BA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83185" y="5419090"/>
          <a:ext cx="1092200" cy="1120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4" name="ID_4E3121A469FE4A14900F42282227801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10172700"/>
          <a:ext cx="8191500" cy="831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3" name="ID_C29771D52F9D4D59BB19E49497CB6BA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0" y="9055100"/>
          <a:ext cx="6629400" cy="6619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6" name="ID_A702BA96B85A4A0E9A61BB1476CC118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85800" y="8103235"/>
          <a:ext cx="1038225" cy="1076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4" name="ID_02DBCA5909E74844872301F0DBF21F5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11925300"/>
          <a:ext cx="6210300" cy="6115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7" name="ID_6C17959365F349E69EFCA08CBF05ADCF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0" y="14465300"/>
          <a:ext cx="7972425" cy="7800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8" name="ID_EC1FDB0A78034FBA8E26400FB32111F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0" y="15735300"/>
          <a:ext cx="6410325" cy="6276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8" name="ID_0376AD3BB43E4DFC80501D0DAFC2AD4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0" y="17030700"/>
          <a:ext cx="5238750" cy="5248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5" name="ID_AFB08ED365BE44E89531EB8C74C5202B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0" y="39881810"/>
          <a:ext cx="1670050" cy="1005205"/>
        </a:xfrm>
        <a:prstGeom prst="rect">
          <a:avLst/>
        </a:prstGeom>
      </xdr:spPr>
    </xdr:pic>
  </etc:cellImage>
  <etc:cellImage>
    <xdr:pic>
      <xdr:nvPicPr>
        <xdr:cNvPr id="83" name="ID_02A3DDF4B0A34FC1A27AB3578CC27B2C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0" y="19570700"/>
          <a:ext cx="6267450" cy="6248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4" name="ID_D26A130B52A4479781D45AA2030FBB2D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0" y="38677850"/>
          <a:ext cx="1134110" cy="976630"/>
        </a:xfrm>
        <a:prstGeom prst="rect">
          <a:avLst/>
        </a:prstGeom>
      </xdr:spPr>
    </xdr:pic>
  </etc:cellImage>
  <etc:cellImage>
    <xdr:pic>
      <xdr:nvPicPr>
        <xdr:cNvPr id="101" name="ID_674E7162E77141A2A18F00F7193A8CA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96595" y="29641800"/>
          <a:ext cx="8505825" cy="8467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0" name="ID_9BEDF70787994E10BB80487D75A09CE5" descr="71lXz3mEU+L._SL1500_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85800" y="742950"/>
          <a:ext cx="1047750" cy="1060450"/>
        </a:xfrm>
        <a:prstGeom prst="rect">
          <a:avLst/>
        </a:prstGeom>
      </xdr:spPr>
    </xdr:pic>
  </etc:cellImage>
  <etc:cellImage>
    <xdr:pic>
      <xdr:nvPicPr>
        <xdr:cNvPr id="93" name="ID_E890DC57C0BF4A9D86C5C8A2401D41F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85800" y="9089390"/>
          <a:ext cx="962025" cy="1000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1" name="ID_3074FD55C61C4CB9A903D4A23E68CC63" descr="51dmfAXCu6L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85800" y="1694815"/>
          <a:ext cx="1397635" cy="1381125"/>
        </a:xfrm>
        <a:prstGeom prst="rect">
          <a:avLst/>
        </a:prstGeom>
      </xdr:spPr>
    </xdr:pic>
  </etc:cellImage>
  <etc:cellImage>
    <xdr:pic>
      <xdr:nvPicPr>
        <xdr:cNvPr id="86" name="ID_1F14CAC71CD14F1C92BB11907610B69A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 rot="10800000" flipV="1">
          <a:off x="685800" y="4679950"/>
          <a:ext cx="1574800" cy="9232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1" name="ID_4F9FAED4E4624B8AB09638203CEE546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85800" y="5250180"/>
          <a:ext cx="845820" cy="854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6" name="ID_170CA7F920CA4B709300EB90E4AAEE49"/>
        <xdr:cNvPicPr>
          <a:picLocks noChangeAspect="1" noChangeArrowheads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6182300"/>
          <a:ext cx="1289050" cy="956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114" name="ID_916F8608497E496F861C46FA0AC3BCB8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85800" y="6211570"/>
          <a:ext cx="876300" cy="9213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8" name="ID_D94968E40AA249D8BF90EECC6EA90F9A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96595" y="26492200"/>
          <a:ext cx="8467725" cy="8524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5" name="ID_B7B38C56FC40497BB4F434A77DDAF027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85800" y="7132320"/>
          <a:ext cx="965200" cy="1036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7" name="ID_EB901C8991EA4F7A9F0B7DF1EB03A3D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85800" y="10078720"/>
          <a:ext cx="867410" cy="970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2" name="ID_DCC955420EEF496EBD3EC8B0C459DD6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96595" y="28054300"/>
          <a:ext cx="8286750" cy="815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0" name="ID_6EFC98FA71D04E0B9919EBB4BBDE20FF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96595" y="25107900"/>
          <a:ext cx="8677275" cy="7810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0" name="ID_5322088105804396A1C1BC5613F158B5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685800" y="14876145"/>
          <a:ext cx="8486775" cy="6667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9" name="ID_3CB1934A82FB42A191EC00AFEBC0CF1A"/>
        <xdr:cNvPicPr>
          <a:picLocks noChangeAspect="1" noChangeArrowheads="1"/>
        </xdr:cNvPicPr>
      </xdr:nvPicPr>
      <xdr:blipFill>
        <a:blip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7612955"/>
          <a:ext cx="1313815" cy="1030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</etc:cellImages>
</file>

<file path=xl/sharedStrings.xml><?xml version="1.0" encoding="utf-8"?>
<sst xmlns="http://schemas.openxmlformats.org/spreadsheetml/2006/main" count="375" uniqueCount="206">
  <si>
    <t>图片</t>
  </si>
  <si>
    <t>SKU</t>
  </si>
  <si>
    <t>尺寸</t>
  </si>
  <si>
    <t>ASIN</t>
  </si>
  <si>
    <t>FNSKU</t>
  </si>
  <si>
    <t>刀成本</t>
  </si>
  <si>
    <t>盒子尺寸</t>
  </si>
  <si>
    <t>盒子成本</t>
  </si>
  <si>
    <t>配件内容</t>
  </si>
  <si>
    <t>配件成本</t>
  </si>
  <si>
    <t>总成本</t>
  </si>
  <si>
    <t>人工</t>
  </si>
  <si>
    <t>链接状态</t>
  </si>
  <si>
    <t>做货周期</t>
  </si>
  <si>
    <t>重量/G</t>
  </si>
  <si>
    <t>头程</t>
  </si>
  <si>
    <t>备注</t>
  </si>
  <si>
    <t>欧洲刀具22/KG，斧头烧烤剪刀15.5/KG；美国10/KG</t>
  </si>
  <si>
    <t>KF01-BBJ</t>
  </si>
  <si>
    <t>6.2寸</t>
  </si>
  <si>
    <t>B0D9JVPB5K</t>
  </si>
  <si>
    <t>X004BM7OMV</t>
  </si>
  <si>
    <t>30.5*11.5</t>
  </si>
  <si>
    <t>/</t>
  </si>
  <si>
    <t>在售</t>
  </si>
  <si>
    <t>10-20</t>
  </si>
  <si>
    <t>KF02-BBJ</t>
  </si>
  <si>
    <t>5.9寸</t>
  </si>
  <si>
    <t>B0D9JTS4WV</t>
  </si>
  <si>
    <t>X004BLU6L3</t>
  </si>
  <si>
    <t>30.5*9.5</t>
  </si>
  <si>
    <t>30</t>
  </si>
  <si>
    <t>KF04-BBJ</t>
  </si>
  <si>
    <t>无</t>
  </si>
  <si>
    <t>B0D9JW6XGZ</t>
  </si>
  <si>
    <t>X004BKYZ3T</t>
  </si>
  <si>
    <t>32.5*14.5</t>
  </si>
  <si>
    <t>KF05-BBJ</t>
  </si>
  <si>
    <t>B0D9JTR7R2</t>
  </si>
  <si>
    <t>X004BLWESB</t>
  </si>
  <si>
    <t>KF06-BBJ</t>
  </si>
  <si>
    <t>5.7寸</t>
  </si>
  <si>
    <t>B08L4PMZ7Q</t>
  </si>
  <si>
    <t>X004HM4L9T</t>
  </si>
  <si>
    <t>30.5*9.5*4</t>
  </si>
  <si>
    <t>不可售</t>
  </si>
  <si>
    <t>9B-5VGN-40SH</t>
  </si>
  <si>
    <t>B0DWN2VVJQ</t>
  </si>
  <si>
    <t>X004KEGF5H</t>
  </si>
  <si>
    <t>24*9.5*3.5</t>
  </si>
  <si>
    <t>20-30</t>
  </si>
  <si>
    <t>KS-POS-GKS-3.54in-YYI</t>
  </si>
  <si>
    <t>B0FHPYT1SL</t>
  </si>
  <si>
    <t>X004RMD5OL</t>
  </si>
  <si>
    <t>24*9.8*1.8</t>
  </si>
  <si>
    <t>KS-POSSET2-GKS-ZZ-YHE</t>
  </si>
  <si>
    <t>B0FHPZS68Y</t>
  </si>
  <si>
    <t>X004RMGFS9</t>
  </si>
  <si>
    <t>29*10*2.8</t>
  </si>
  <si>
    <t>KS-POSSET2-GKS-ZZ-YYI</t>
  </si>
  <si>
    <t>B0FHPXPFWS</t>
  </si>
  <si>
    <t>X004RMD3FH</t>
  </si>
  <si>
    <t>KS-POSSET2-GKS-ZW-YHE</t>
  </si>
  <si>
    <t>B0FHPY28JC</t>
  </si>
  <si>
    <t>X004RMCJKR</t>
  </si>
  <si>
    <t>26.2*9.8*3</t>
  </si>
  <si>
    <t>KS-POSSET2-GKS-ZW-YYI</t>
  </si>
  <si>
    <t>B0FHPN858H</t>
  </si>
  <si>
    <t>X004RMCJS9</t>
  </si>
  <si>
    <t>PS01-HDM</t>
  </si>
  <si>
    <t>B0DK6FC2J7</t>
  </si>
  <si>
    <t>X004FKSKLX</t>
  </si>
  <si>
    <t>26.1*11.5*2.2</t>
  </si>
  <si>
    <t>PS04-HDM</t>
  </si>
  <si>
    <t>B0DK6J43K6</t>
  </si>
  <si>
    <t>X004FL0501</t>
  </si>
  <si>
    <t>PS02-HDM</t>
  </si>
  <si>
    <t>B0DK6HJ3JD</t>
  </si>
  <si>
    <t>X004FKVKAB</t>
  </si>
  <si>
    <t>BBJK06-Set3</t>
  </si>
  <si>
    <t>B0F9PLQNF2</t>
  </si>
  <si>
    <t>X004F96UNJ</t>
  </si>
  <si>
    <t>33.5*12.5*6.5</t>
  </si>
  <si>
    <t>现asin：B0F9PLQNF2
原asin：
B0DJS48ZRG</t>
  </si>
  <si>
    <t>BBJK06-Set6</t>
  </si>
  <si>
    <t>B0F9PKV8MC</t>
  </si>
  <si>
    <t>X004F96UH5</t>
  </si>
  <si>
    <t>38*13*6</t>
  </si>
  <si>
    <t>磨刀棒</t>
  </si>
  <si>
    <t xml:space="preserve">现asin：B0F9PKV8MC
原asin：
B0DJS4F68V
</t>
  </si>
  <si>
    <t xml:space="preserve">
BBJK06-Meat</t>
  </si>
  <si>
    <t>B0DJS3SB8F</t>
  </si>
  <si>
    <t>X004F94YHN</t>
  </si>
  <si>
    <t>33*10</t>
  </si>
  <si>
    <t>新品</t>
  </si>
  <si>
    <t>BBJK06-Serbian</t>
  </si>
  <si>
    <t>B0DJS5S5JT</t>
  </si>
  <si>
    <t>X004F8URDT</t>
  </si>
  <si>
    <t>33*12.5</t>
  </si>
  <si>
    <t xml:space="preserve">
BBJK06-Carving</t>
  </si>
  <si>
    <t>B0DJR6WJ7M</t>
  </si>
  <si>
    <t>X004F94ZOZ</t>
  </si>
  <si>
    <t>34*6</t>
  </si>
  <si>
    <t>BBJK06-Bread</t>
  </si>
  <si>
    <t>B0DJR6K73W</t>
  </si>
  <si>
    <t>X004F9975R</t>
  </si>
  <si>
    <t xml:space="preserve">
BBJK06-Boning A</t>
  </si>
  <si>
    <t>B0DJS3LP4B</t>
  </si>
  <si>
    <t>X004F8VF9T</t>
  </si>
  <si>
    <t xml:space="preserve">
BBJK06-Boning B</t>
  </si>
  <si>
    <t>B0DJS5BF3K</t>
  </si>
  <si>
    <t>X004F8VFDF</t>
  </si>
  <si>
    <t>31*6</t>
  </si>
  <si>
    <t xml:space="preserve">
BBJK06-Chef</t>
  </si>
  <si>
    <t>B0DJS3MPP3</t>
  </si>
  <si>
    <t>X004F8VF5X</t>
  </si>
  <si>
    <t>33.5*7</t>
  </si>
  <si>
    <t>OK-UOT-CG-9.1-PKQTD01</t>
  </si>
  <si>
    <t>23.5cm,37.5cm全长</t>
  </si>
  <si>
    <t>B0FBM5LTQT</t>
  </si>
  <si>
    <t>X004PGUAUV</t>
  </si>
  <si>
    <t>42*8*4</t>
  </si>
  <si>
    <t>OK-UOT-CG-9.2-PKQTD02</t>
  </si>
  <si>
    <t>B0FBM6VV2P</t>
  </si>
  <si>
    <t>X004PGNL39</t>
  </si>
  <si>
    <t>OK-UOT-CG-9.4-PKQTD03</t>
  </si>
  <si>
    <t>24cm刀片,38.3cm全长</t>
  </si>
  <si>
    <t>B0FBM553WQ</t>
  </si>
  <si>
    <t>X004PGVPA5</t>
  </si>
  <si>
    <t>HS1901</t>
  </si>
  <si>
    <t>6in</t>
  </si>
  <si>
    <t>B07YPLVNXS</t>
  </si>
  <si>
    <t>X002C15JWF</t>
  </si>
  <si>
    <t>‎18.9*8.8*2.2</t>
  </si>
  <si>
    <t>布 
调节器</t>
  </si>
  <si>
    <t>UV-VZCJ-GMU9</t>
  </si>
  <si>
    <t>7in</t>
  </si>
  <si>
    <t>B07GJFRLJS</t>
  </si>
  <si>
    <t>22.2*9.5*9.5</t>
  </si>
  <si>
    <t>40</t>
  </si>
  <si>
    <t>37-EQUL-C5MA</t>
  </si>
  <si>
    <t>B07BZFY52J</t>
  </si>
  <si>
    <t>22.4*9.3*9.3</t>
  </si>
  <si>
    <t>WanJian</t>
  </si>
  <si>
    <t>B083MZXRWR</t>
  </si>
  <si>
    <t>X002FKTZ5Z</t>
  </si>
  <si>
    <t>23.9*8.7*2.2</t>
  </si>
  <si>
    <t>布</t>
  </si>
  <si>
    <t>CD-5RZQ-GSIY</t>
  </si>
  <si>
    <t>8in</t>
  </si>
  <si>
    <t>B07BRBN7NK</t>
  </si>
  <si>
    <t>25.15*9.4*9.4</t>
  </si>
  <si>
    <t>XX03</t>
  </si>
  <si>
    <t>B07XQ731FY</t>
  </si>
  <si>
    <t>X002B3J245</t>
  </si>
  <si>
    <t>‎22.35*10.16*2.54</t>
  </si>
  <si>
    <t>Scissors04B6</t>
  </si>
  <si>
    <t>B0DPZDDNT6</t>
  </si>
  <si>
    <t>X004HUAF4B</t>
  </si>
  <si>
    <t>宠物剪小盒子</t>
  </si>
  <si>
    <t>Scissors04B6.5</t>
  </si>
  <si>
    <t>6.5in</t>
  </si>
  <si>
    <t>B0DPZH7JXL</t>
  </si>
  <si>
    <t>X004HUR841</t>
  </si>
  <si>
    <t>宠物剪大盒子</t>
  </si>
  <si>
    <t>Scissors04B7</t>
  </si>
  <si>
    <t>B0DPZCR33G</t>
  </si>
  <si>
    <t>X004HUAT2T</t>
  </si>
  <si>
    <t>Scissors04B8</t>
  </si>
  <si>
    <t>B0DPZC8P17</t>
  </si>
  <si>
    <t>X004HUFV5J</t>
  </si>
  <si>
    <t>WG-F1EH-Y6QO</t>
  </si>
  <si>
    <t>B081PXFNYK</t>
  </si>
  <si>
    <t>X002E2E0SV</t>
  </si>
  <si>
    <t>24*8.7*2.4</t>
  </si>
  <si>
    <t>CWJ02-Pink7Set-BBJ</t>
  </si>
  <si>
    <t>B0DS1ZYQJJ</t>
  </si>
  <si>
    <t>X004IQEFLD</t>
  </si>
  <si>
    <t>CWJ02-Black7Set-BBJ</t>
  </si>
  <si>
    <t>B0DS1ZND1W</t>
  </si>
  <si>
    <t>X004IQ3JER</t>
  </si>
  <si>
    <t>CWJ02-Black7.5Set-BBJ</t>
  </si>
  <si>
    <t>7.5in</t>
  </si>
  <si>
    <t>B0DS2118ST</t>
  </si>
  <si>
    <t>X004IQEHHF</t>
  </si>
  <si>
    <t>CWJ02-Purple7Set-BBJ</t>
  </si>
  <si>
    <t>B0DS217Z1J</t>
  </si>
  <si>
    <t>X004IQ3I2P</t>
  </si>
  <si>
    <t>CWJ03-Gold7Set-BBJ</t>
  </si>
  <si>
    <t>B0F13PL6X3</t>
  </si>
  <si>
    <t>X004LQJXCV</t>
  </si>
  <si>
    <t>布 
调节器，
梳子</t>
  </si>
  <si>
    <r>
      <rPr>
        <sz val="12"/>
        <color rgb="FF000000"/>
        <rFont val="Times New Roman"/>
        <charset val="134"/>
      </rPr>
      <t xml:space="preserve">	</t>
    </r>
    <r>
      <rPr>
        <sz val="12"/>
        <rFont val="Times New Roman"/>
        <charset val="134"/>
      </rPr>
      <t>8FS01-BJ</t>
    </r>
  </si>
  <si>
    <t>B0F3C6WVTT</t>
  </si>
  <si>
    <t>X004MQKWGV</t>
  </si>
  <si>
    <t>24.3*8.7*2.2</t>
  </si>
  <si>
    <t xml:space="preserve">布 </t>
  </si>
  <si>
    <t>8FS02-BJ</t>
  </si>
  <si>
    <t>B0F3C5KPND</t>
  </si>
  <si>
    <t>X004MR0BJD</t>
  </si>
  <si>
    <t>8FS03-BJ</t>
  </si>
  <si>
    <t>B0F3C8PHFB</t>
  </si>
  <si>
    <t>X004MR3HBR</t>
  </si>
  <si>
    <t>8FS04-BJ</t>
  </si>
  <si>
    <t>B0F3CCYC7H</t>
  </si>
  <si>
    <t>X004MR0DUZ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</si>
</sst>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2"/>
      <name val="Times New Roman"/>
      <charset val="134"/>
    </font>
    <font>
      <sz val="12"/>
      <color theme="1"/>
      <name val="等线"/>
      <charset val="134"/>
    </font>
    <font>
      <sz val="12"/>
      <color rgb="FF000000"/>
      <name val="Times New Roman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7" fillId="0" borderId="7">
      <alignment vertical="center"/>
    </xf>
    <xf numFmtId="0" fontId="17" fillId="0" borderId="0">
      <alignment vertical="center"/>
    </xf>
    <xf numFmtId="0" fontId="18" fillId="4" borderId="8">
      <alignment vertical="center"/>
    </xf>
    <xf numFmtId="0" fontId="19" fillId="5" borderId="9">
      <alignment vertical="center"/>
    </xf>
    <xf numFmtId="0" fontId="20" fillId="5" borderId="8">
      <alignment vertical="center"/>
    </xf>
    <xf numFmtId="0" fontId="21" fillId="6" borderId="10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9" fillId="0" borderId="0">
      <alignment vertical="center"/>
    </xf>
    <xf numFmtId="0" fontId="0" fillId="0" borderId="0"/>
  </cellStyleXfs>
  <cellXfs count="3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 applyProtection="1">
      <alignment vertical="center"/>
    </xf>
    <xf numFmtId="0" fontId="5" fillId="0" borderId="1" xfId="0" applyFont="1" applyFill="1" applyBorder="1" applyAlignment="1" applyProtection="1">
      <alignment horizontal="center" vertical="center"/>
    </xf>
    <xf numFmtId="0" fontId="6" fillId="0" borderId="1" xfId="49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5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8" fillId="0" borderId="1" xfId="5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jpeg"/><Relationship Id="rId8" Type="http://schemas.openxmlformats.org/officeDocument/2006/relationships/image" Target="media/image7.jpeg"/><Relationship Id="rId7" Type="http://schemas.openxmlformats.org/officeDocument/2006/relationships/image" Target="media/image6.jpeg"/><Relationship Id="rId6" Type="http://schemas.openxmlformats.org/officeDocument/2006/relationships/image" Target="media/image5.jpeg"/><Relationship Id="rId5" Type="http://schemas.openxmlformats.org/officeDocument/2006/relationships/image" Target="media/image4.png"/><Relationship Id="rId47" Type="http://schemas.openxmlformats.org/officeDocument/2006/relationships/image" Target="media/image46.jpeg"/><Relationship Id="rId46" Type="http://schemas.openxmlformats.org/officeDocument/2006/relationships/image" Target="media/image45.png"/><Relationship Id="rId45" Type="http://schemas.openxmlformats.org/officeDocument/2006/relationships/image" Target="media/image44.png"/><Relationship Id="rId44" Type="http://schemas.openxmlformats.org/officeDocument/2006/relationships/image" Target="media/image43.png"/><Relationship Id="rId43" Type="http://schemas.openxmlformats.org/officeDocument/2006/relationships/image" Target="media/image42.png"/><Relationship Id="rId42" Type="http://schemas.openxmlformats.org/officeDocument/2006/relationships/image" Target="media/image41.png"/><Relationship Id="rId41" Type="http://schemas.openxmlformats.org/officeDocument/2006/relationships/image" Target="media/image40.png"/><Relationship Id="rId40" Type="http://schemas.openxmlformats.org/officeDocument/2006/relationships/image" Target="media/image39.png"/><Relationship Id="rId4" Type="http://schemas.openxmlformats.org/officeDocument/2006/relationships/image" Target="media/image3.jpeg"/><Relationship Id="rId39" Type="http://schemas.openxmlformats.org/officeDocument/2006/relationships/image" Target="media/image38.jpeg"/><Relationship Id="rId38" Type="http://schemas.openxmlformats.org/officeDocument/2006/relationships/image" Target="media/image37.png"/><Relationship Id="rId37" Type="http://schemas.openxmlformats.org/officeDocument/2006/relationships/image" Target="media/image36.png"/><Relationship Id="rId36" Type="http://schemas.openxmlformats.org/officeDocument/2006/relationships/image" Target="media/image35.jpeg"/><Relationship Id="rId35" Type="http://schemas.openxmlformats.org/officeDocument/2006/relationships/image" Target="media/image34.png"/><Relationship Id="rId34" Type="http://schemas.openxmlformats.org/officeDocument/2006/relationships/image" Target="media/image33.jpeg"/><Relationship Id="rId33" Type="http://schemas.openxmlformats.org/officeDocument/2006/relationships/image" Target="media/image32.png"/><Relationship Id="rId32" Type="http://schemas.openxmlformats.org/officeDocument/2006/relationships/image" Target="media/image31.png"/><Relationship Id="rId31" Type="http://schemas.openxmlformats.org/officeDocument/2006/relationships/image" Target="media/image30.png"/><Relationship Id="rId30" Type="http://schemas.openxmlformats.org/officeDocument/2006/relationships/image" Target="media/image29.png"/><Relationship Id="rId3" Type="http://schemas.openxmlformats.org/officeDocument/2006/relationships/image" Target="media/image2.png"/><Relationship Id="rId29" Type="http://schemas.openxmlformats.org/officeDocument/2006/relationships/image" Target="media/image28.png"/><Relationship Id="rId28" Type="http://schemas.openxmlformats.org/officeDocument/2006/relationships/image" Target="media/image27.png"/><Relationship Id="rId27" Type="http://schemas.openxmlformats.org/officeDocument/2006/relationships/image" Target="media/image26.png"/><Relationship Id="rId26" Type="http://schemas.openxmlformats.org/officeDocument/2006/relationships/image" Target="media/image25.png"/><Relationship Id="rId25" Type="http://schemas.openxmlformats.org/officeDocument/2006/relationships/image" Target="media/image24.png"/><Relationship Id="rId24" Type="http://schemas.openxmlformats.org/officeDocument/2006/relationships/image" Target="media/image23.png"/><Relationship Id="rId23" Type="http://schemas.openxmlformats.org/officeDocument/2006/relationships/image" Target="media/image22.png"/><Relationship Id="rId22" Type="http://schemas.openxmlformats.org/officeDocument/2006/relationships/image" Target="media/image21.png"/><Relationship Id="rId21" Type="http://schemas.openxmlformats.org/officeDocument/2006/relationships/image" Target="media/image20.jpeg"/><Relationship Id="rId20" Type="http://schemas.openxmlformats.org/officeDocument/2006/relationships/image" Target="media/image19.jpeg"/><Relationship Id="rId2" Type="http://schemas.openxmlformats.org/officeDocument/2006/relationships/image" Target="NULL" TargetMode="External"/><Relationship Id="rId19" Type="http://schemas.openxmlformats.org/officeDocument/2006/relationships/image" Target="media/image18.png"/><Relationship Id="rId18" Type="http://schemas.openxmlformats.org/officeDocument/2006/relationships/image" Target="media/image17.jpeg"/><Relationship Id="rId17" Type="http://schemas.openxmlformats.org/officeDocument/2006/relationships/image" Target="media/image16.jpeg"/><Relationship Id="rId16" Type="http://schemas.openxmlformats.org/officeDocument/2006/relationships/image" Target="media/image15.jpeg"/><Relationship Id="rId15" Type="http://schemas.openxmlformats.org/officeDocument/2006/relationships/image" Target="media/image14.png"/><Relationship Id="rId14" Type="http://schemas.openxmlformats.org/officeDocument/2006/relationships/image" Target="media/image13.png"/><Relationship Id="rId13" Type="http://schemas.openxmlformats.org/officeDocument/2006/relationships/image" Target="media/image12.png"/><Relationship Id="rId12" Type="http://schemas.openxmlformats.org/officeDocument/2006/relationships/image" Target="media/image11.jpeg"/><Relationship Id="rId11" Type="http://schemas.openxmlformats.org/officeDocument/2006/relationships/image" Target="media/image10.png"/><Relationship Id="rId10" Type="http://schemas.openxmlformats.org/officeDocument/2006/relationships/image" Target="media/image9.pn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llercentral.amazon.com/skucentral?mSku=CWJ02-Black7Set-BBJ&amp;condition=New&amp;ref_=myp_sk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"/>
  <sheetViews>
    <sheetView tabSelected="1" zoomScale="70" zoomScaleNormal="70" topLeftCell="D1" workbookViewId="0">
      <selection activeCell="Q6" sqref="Q6"/>
    </sheetView>
  </sheetViews>
  <sheetFormatPr defaultColWidth="9" defaultRowHeight="15.75" customHeight="1"/>
  <cols>
    <col min="1" max="1" width="22.6666666666667" style="2" customWidth="1"/>
    <col min="2" max="2" width="19" style="2" customWidth="1"/>
    <col min="3" max="3" width="25" style="2" customWidth="1"/>
    <col min="4" max="4" width="14.5" style="2" customWidth="1"/>
    <col min="5" max="5" width="14.3333333333333" style="2" customWidth="1"/>
    <col min="6" max="6" width="15.6666666666667" style="2" customWidth="1"/>
    <col min="7" max="7" width="26.1666666666667" style="2" customWidth="1"/>
    <col min="8" max="12" width="9" style="2"/>
    <col min="13" max="13" width="16" style="2"/>
    <col min="14" max="14" width="9" style="2"/>
    <col min="15" max="15" width="12.6666666666667" style="2"/>
    <col min="16" max="16" width="9" style="2"/>
    <col min="17" max="18" width="12.6666666666667" style="2"/>
    <col min="19" max="22" width="9" style="2"/>
    <col min="23" max="23" width="12.625" style="2"/>
    <col min="24" max="16384" width="9" style="2"/>
  </cols>
  <sheetData>
    <row r="1" s="1" customFormat="1" ht="30" customHeight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/>
    </row>
    <row r="2" s="2" customFormat="1" customHeight="1" spans="1:19">
      <c r="A2" s="6" t="str">
        <f>_xlfn.DISPIMG("ID_2E2FF91457644FE6BF83061A21DB4412",1)</f>
        <v>=DISPIMG("ID_2E2FF91457644FE6BF83061A21DB4412",1)</v>
      </c>
      <c r="B2" s="7" t="s">
        <v>18</v>
      </c>
      <c r="C2" s="7" t="s">
        <v>19</v>
      </c>
      <c r="D2" s="8" t="s">
        <v>20</v>
      </c>
      <c r="E2" s="8" t="s">
        <v>21</v>
      </c>
      <c r="F2" s="6">
        <v>65</v>
      </c>
      <c r="G2" s="7" t="s">
        <v>22</v>
      </c>
      <c r="H2" s="6">
        <v>3</v>
      </c>
      <c r="I2" s="9" t="s">
        <v>23</v>
      </c>
      <c r="J2" s="9" t="s">
        <v>23</v>
      </c>
      <c r="K2" s="9">
        <f t="shared" ref="K2:K7" si="0">F2+H2</f>
        <v>68</v>
      </c>
      <c r="L2" s="6">
        <v>1</v>
      </c>
      <c r="M2" s="9" t="s">
        <v>24</v>
      </c>
      <c r="N2" s="10" t="s">
        <v>25</v>
      </c>
      <c r="O2" s="11">
        <f>(21.7-0.4)/47*1000</f>
        <v>453.191489361702</v>
      </c>
      <c r="P2" s="12">
        <f t="shared" ref="P2:P47" si="1">O2/1000*15</f>
        <v>6.79787234042553</v>
      </c>
      <c r="Q2" s="13"/>
      <c r="R2" s="5"/>
      <c r="S2" s="5"/>
    </row>
    <row r="3" s="2" customFormat="1" customHeight="1" spans="1:19">
      <c r="A3" s="14" t="str">
        <f>_xlfn.DISPIMG("ID_0B048A6FD2544E2583549FBE20F9752F",1)</f>
        <v>=DISPIMG("ID_0B048A6FD2544E2583549FBE20F9752F",1)</v>
      </c>
      <c r="B3" s="7" t="s">
        <v>26</v>
      </c>
      <c r="C3" s="8" t="s">
        <v>27</v>
      </c>
      <c r="D3" s="15" t="s">
        <v>28</v>
      </c>
      <c r="E3" s="15" t="s">
        <v>29</v>
      </c>
      <c r="F3" s="6">
        <v>65</v>
      </c>
      <c r="G3" s="8" t="s">
        <v>30</v>
      </c>
      <c r="H3" s="6">
        <v>2.8</v>
      </c>
      <c r="I3" s="9" t="s">
        <v>23</v>
      </c>
      <c r="J3" s="9" t="s">
        <v>23</v>
      </c>
      <c r="K3" s="9">
        <f t="shared" si="0"/>
        <v>67.8</v>
      </c>
      <c r="L3" s="6">
        <v>1</v>
      </c>
      <c r="M3" s="9" t="s">
        <v>24</v>
      </c>
      <c r="N3" s="10" t="s">
        <v>31</v>
      </c>
      <c r="O3" s="11">
        <f>(21.8-0.4)/57*1000</f>
        <v>375.438596491228</v>
      </c>
      <c r="P3" s="12">
        <f t="shared" si="1"/>
        <v>5.63157894736842</v>
      </c>
      <c r="Q3" s="13"/>
      <c r="R3" s="5"/>
      <c r="S3" s="5"/>
    </row>
    <row r="4" s="2" customFormat="1" customHeight="1" spans="1:19">
      <c r="A4" s="8" t="str">
        <f>_xlfn.DISPIMG("ID_C0DA714AD6E54DA1AD759BDFA37FB6EC",1)</f>
        <v>=DISPIMG("ID_C0DA714AD6E54DA1AD759BDFA37FB6EC",1)</v>
      </c>
      <c r="B4" s="7" t="s">
        <v>32</v>
      </c>
      <c r="C4" s="6" t="s">
        <v>33</v>
      </c>
      <c r="D4" s="8" t="s">
        <v>34</v>
      </c>
      <c r="E4" s="8" t="s">
        <v>35</v>
      </c>
      <c r="F4" s="8">
        <v>38</v>
      </c>
      <c r="G4" s="7" t="s">
        <v>36</v>
      </c>
      <c r="H4" s="7">
        <v>3.35</v>
      </c>
      <c r="I4" s="9" t="s">
        <v>23</v>
      </c>
      <c r="J4" s="9" t="s">
        <v>23</v>
      </c>
      <c r="K4" s="9">
        <f t="shared" si="0"/>
        <v>41.35</v>
      </c>
      <c r="L4" s="8">
        <v>1</v>
      </c>
      <c r="M4" s="9" t="s">
        <v>24</v>
      </c>
      <c r="N4" s="10" t="s">
        <v>31</v>
      </c>
      <c r="O4" s="11">
        <f>(21.7-0.4)/24*1000</f>
        <v>887.5</v>
      </c>
      <c r="P4" s="12">
        <f t="shared" si="1"/>
        <v>13.3125</v>
      </c>
      <c r="Q4" s="13"/>
      <c r="R4" s="5"/>
      <c r="S4" s="5"/>
    </row>
    <row r="5" s="2" customFormat="1" customHeight="1" spans="1:19">
      <c r="A5" s="6" t="str">
        <f>_xlfn.DISPIMG("ID_F6C54E5D36A84CFFB9597F2CA221CFDF",1)</f>
        <v>=DISPIMG("ID_F6C54E5D36A84CFFB9597F2CA221CFDF",1)</v>
      </c>
      <c r="B5" s="7" t="s">
        <v>37</v>
      </c>
      <c r="C5" s="6" t="s">
        <v>33</v>
      </c>
      <c r="D5" s="8" t="s">
        <v>38</v>
      </c>
      <c r="E5" s="8" t="s">
        <v>39</v>
      </c>
      <c r="F5" s="6">
        <v>37</v>
      </c>
      <c r="G5" s="7" t="s">
        <v>36</v>
      </c>
      <c r="H5" s="6">
        <v>3.35</v>
      </c>
      <c r="I5" s="9" t="s">
        <v>23</v>
      </c>
      <c r="J5" s="9" t="s">
        <v>23</v>
      </c>
      <c r="K5" s="9">
        <f t="shared" si="0"/>
        <v>40.35</v>
      </c>
      <c r="L5" s="6">
        <v>1</v>
      </c>
      <c r="M5" s="9" t="s">
        <v>24</v>
      </c>
      <c r="N5" s="10" t="s">
        <v>31</v>
      </c>
      <c r="O5" s="11">
        <f>(21.96-0.4)/17*1000</f>
        <v>1268.23529411765</v>
      </c>
      <c r="P5" s="12">
        <f t="shared" si="1"/>
        <v>19.0235294117647</v>
      </c>
      <c r="Q5" s="13"/>
      <c r="R5" s="5"/>
      <c r="S5" s="5"/>
    </row>
    <row r="6" s="2" customFormat="1" customHeight="1" spans="1:19">
      <c r="A6" s="9" t="str">
        <f>_xlfn.DISPIMG("ID_1BD1A664CC2646ED889D0F3DF7F754B6",1)</f>
        <v>=DISPIMG("ID_1BD1A664CC2646ED889D0F3DF7F754B6",1)</v>
      </c>
      <c r="B6" s="16" t="s">
        <v>40</v>
      </c>
      <c r="C6" s="6" t="s">
        <v>41</v>
      </c>
      <c r="D6" s="16" t="s">
        <v>42</v>
      </c>
      <c r="E6" s="16" t="s">
        <v>43</v>
      </c>
      <c r="F6" s="17">
        <v>31</v>
      </c>
      <c r="G6" s="7" t="s">
        <v>44</v>
      </c>
      <c r="H6" s="16">
        <v>3</v>
      </c>
      <c r="I6" s="9" t="s">
        <v>23</v>
      </c>
      <c r="J6" s="9" t="s">
        <v>23</v>
      </c>
      <c r="K6" s="9">
        <f t="shared" si="0"/>
        <v>34</v>
      </c>
      <c r="L6" s="16">
        <v>1</v>
      </c>
      <c r="M6" s="9" t="s">
        <v>45</v>
      </c>
      <c r="N6" s="10" t="s">
        <v>31</v>
      </c>
      <c r="O6" s="11">
        <f>(21.85-0.4)/45*1000</f>
        <v>476.666666666667</v>
      </c>
      <c r="P6" s="12">
        <f t="shared" si="1"/>
        <v>7.15</v>
      </c>
      <c r="Q6" s="13"/>
      <c r="R6" s="5"/>
      <c r="S6" s="5"/>
    </row>
    <row r="7" s="2" customFormat="1" customHeight="1" spans="1:19">
      <c r="A7" s="9" t="str">
        <f>_xlfn.DISPIMG("ID_510AEDEEB61C4A48AC4382E6676F0619",1)</f>
        <v>=DISPIMG("ID_510AEDEEB61C4A48AC4382E6676F0619",1)</v>
      </c>
      <c r="B7" s="16" t="s">
        <v>46</v>
      </c>
      <c r="C7" s="9"/>
      <c r="D7" s="16" t="s">
        <v>47</v>
      </c>
      <c r="E7" s="16" t="s">
        <v>48</v>
      </c>
      <c r="F7" s="16">
        <v>25</v>
      </c>
      <c r="G7" s="7" t="s">
        <v>49</v>
      </c>
      <c r="H7" s="7">
        <v>1.98</v>
      </c>
      <c r="I7" s="9" t="s">
        <v>23</v>
      </c>
      <c r="J7" s="9" t="s">
        <v>23</v>
      </c>
      <c r="K7" s="9">
        <f t="shared" si="0"/>
        <v>26.98</v>
      </c>
      <c r="L7" s="7">
        <v>2</v>
      </c>
      <c r="M7" s="9" t="s">
        <v>24</v>
      </c>
      <c r="N7" s="10" t="s">
        <v>50</v>
      </c>
      <c r="O7" s="11">
        <f>(21.65-0.4)/44*1000</f>
        <v>482.954545454545</v>
      </c>
      <c r="P7" s="12">
        <f t="shared" si="1"/>
        <v>7.24431818181818</v>
      </c>
      <c r="Q7" s="13"/>
      <c r="R7" s="5"/>
      <c r="S7" s="5"/>
    </row>
    <row r="8" s="2" customFormat="1" customHeight="1" spans="1:19">
      <c r="A8" s="18" t="str">
        <f>_xlfn.DISPIMG("ID_4FAD3B05EE684F1C83E788D8E5C69D4F",1)</f>
        <v>=DISPIMG("ID_4FAD3B05EE684F1C83E788D8E5C69D4F",1)</v>
      </c>
      <c r="B8" s="19" t="s">
        <v>51</v>
      </c>
      <c r="C8" s="6"/>
      <c r="D8" s="19" t="s">
        <v>52</v>
      </c>
      <c r="E8" s="19" t="s">
        <v>53</v>
      </c>
      <c r="F8" s="6">
        <v>10.5</v>
      </c>
      <c r="G8" s="20" t="s">
        <v>54</v>
      </c>
      <c r="H8" s="7"/>
      <c r="I8" s="9" t="s">
        <v>23</v>
      </c>
      <c r="J8" s="9" t="s">
        <v>23</v>
      </c>
      <c r="K8" s="9">
        <v>10.5</v>
      </c>
      <c r="L8" s="7">
        <v>1</v>
      </c>
      <c r="M8" s="9"/>
      <c r="N8" s="10"/>
      <c r="O8" s="9"/>
      <c r="P8" s="12">
        <f t="shared" si="1"/>
        <v>0</v>
      </c>
      <c r="Q8" s="21"/>
      <c r="R8" s="5"/>
      <c r="S8" s="5"/>
    </row>
    <row r="9" s="2" customFormat="1" customHeight="1" spans="1:19">
      <c r="A9" s="18" t="str">
        <f>_xlfn.DISPIMG("ID_DCB7CC3BF42A4372A6230C257D3EC360",1)</f>
        <v>=DISPIMG("ID_DCB7CC3BF42A4372A6230C257D3EC360",1)</v>
      </c>
      <c r="B9" s="19" t="s">
        <v>55</v>
      </c>
      <c r="C9" s="6"/>
      <c r="D9" s="19" t="s">
        <v>56</v>
      </c>
      <c r="E9" s="19" t="s">
        <v>57</v>
      </c>
      <c r="F9" s="6">
        <v>24.5</v>
      </c>
      <c r="G9" s="20" t="s">
        <v>58</v>
      </c>
      <c r="H9" s="7"/>
      <c r="I9" s="9" t="s">
        <v>23</v>
      </c>
      <c r="J9" s="9" t="s">
        <v>23</v>
      </c>
      <c r="K9" s="9">
        <v>24.5</v>
      </c>
      <c r="L9" s="7">
        <v>2</v>
      </c>
      <c r="M9" s="9"/>
      <c r="N9" s="10"/>
      <c r="O9" s="9"/>
      <c r="P9" s="12">
        <f t="shared" si="1"/>
        <v>0</v>
      </c>
      <c r="Q9" s="21"/>
      <c r="R9" s="5"/>
      <c r="S9" s="5"/>
    </row>
    <row r="10" s="2" customFormat="1" customHeight="1" spans="1:19">
      <c r="A10" s="18" t="str">
        <f>_xlfn.DISPIMG("ID_828CE3BC1A0A484E94F1961D7D1604E2",1)</f>
        <v>=DISPIMG("ID_828CE3BC1A0A484E94F1961D7D1604E2",1)</v>
      </c>
      <c r="B10" s="19" t="s">
        <v>59</v>
      </c>
      <c r="C10" s="6"/>
      <c r="D10" s="19" t="s">
        <v>60</v>
      </c>
      <c r="E10" s="19" t="s">
        <v>61</v>
      </c>
      <c r="F10" s="6">
        <v>22.5</v>
      </c>
      <c r="G10" s="20" t="s">
        <v>58</v>
      </c>
      <c r="H10" s="7"/>
      <c r="I10" s="9" t="s">
        <v>23</v>
      </c>
      <c r="J10" s="9" t="s">
        <v>23</v>
      </c>
      <c r="K10" s="9">
        <v>22.5</v>
      </c>
      <c r="L10" s="7">
        <v>2</v>
      </c>
      <c r="M10" s="9"/>
      <c r="N10" s="10"/>
      <c r="O10" s="9"/>
      <c r="P10" s="12">
        <f t="shared" si="1"/>
        <v>0</v>
      </c>
      <c r="Q10" s="21"/>
      <c r="R10" s="5"/>
      <c r="S10" s="5"/>
    </row>
    <row r="11" s="2" customFormat="1" customHeight="1" spans="1:19">
      <c r="A11" s="18" t="str">
        <f>_xlfn.DISPIMG("ID_BD0C5D9014AE46989763485E34088DF9",1)</f>
        <v>=DISPIMG("ID_BD0C5D9014AE46989763485E34088DF9",1)</v>
      </c>
      <c r="B11" s="19" t="s">
        <v>62</v>
      </c>
      <c r="C11" s="6"/>
      <c r="D11" s="19" t="s">
        <v>63</v>
      </c>
      <c r="E11" s="19" t="s">
        <v>64</v>
      </c>
      <c r="F11" s="6">
        <v>26</v>
      </c>
      <c r="G11" s="20" t="s">
        <v>65</v>
      </c>
      <c r="H11" s="7"/>
      <c r="I11" s="9" t="s">
        <v>23</v>
      </c>
      <c r="J11" s="9" t="s">
        <v>23</v>
      </c>
      <c r="K11" s="9">
        <v>26</v>
      </c>
      <c r="L11" s="7">
        <v>2</v>
      </c>
      <c r="M11" s="9"/>
      <c r="N11" s="10"/>
      <c r="O11" s="9"/>
      <c r="P11" s="12">
        <f t="shared" si="1"/>
        <v>0</v>
      </c>
      <c r="Q11" s="21"/>
      <c r="R11" s="5"/>
      <c r="S11" s="5"/>
    </row>
    <row r="12" s="2" customFormat="1" customHeight="1" spans="1:19">
      <c r="A12" s="18" t="str">
        <f>_xlfn.DISPIMG("ID_BE46158A6845407ABB18E0F0202136E2",1)</f>
        <v>=DISPIMG("ID_BE46158A6845407ABB18E0F0202136E2",1)</v>
      </c>
      <c r="B12" s="19" t="s">
        <v>66</v>
      </c>
      <c r="C12" s="6"/>
      <c r="D12" s="19" t="s">
        <v>67</v>
      </c>
      <c r="E12" s="19" t="s">
        <v>68</v>
      </c>
      <c r="F12" s="6">
        <v>24</v>
      </c>
      <c r="G12" s="20" t="s">
        <v>65</v>
      </c>
      <c r="H12" s="7"/>
      <c r="I12" s="9" t="s">
        <v>23</v>
      </c>
      <c r="J12" s="9" t="s">
        <v>23</v>
      </c>
      <c r="K12" s="9">
        <v>24</v>
      </c>
      <c r="L12" s="7">
        <v>2</v>
      </c>
      <c r="M12" s="9"/>
      <c r="N12" s="10"/>
      <c r="O12" s="9"/>
      <c r="P12" s="12">
        <f t="shared" si="1"/>
        <v>0</v>
      </c>
      <c r="Q12" s="21"/>
      <c r="R12" s="5"/>
      <c r="S12" s="5"/>
    </row>
    <row r="13" s="2" customFormat="1" customHeight="1" spans="1:19">
      <c r="A13" s="18" t="str">
        <f>_xlfn.DISPIMG("ID_1CF864C4453D495EB743BBF541A0C522",1)</f>
        <v>=DISPIMG("ID_1CF864C4453D495EB743BBF541A0C522",1)</v>
      </c>
      <c r="B13" s="19" t="s">
        <v>69</v>
      </c>
      <c r="C13" s="6"/>
      <c r="D13" s="19" t="s">
        <v>70</v>
      </c>
      <c r="E13" s="19" t="s">
        <v>71</v>
      </c>
      <c r="F13" s="6">
        <v>18</v>
      </c>
      <c r="G13" s="20" t="s">
        <v>72</v>
      </c>
      <c r="H13" s="7"/>
      <c r="I13" s="9" t="s">
        <v>23</v>
      </c>
      <c r="J13" s="9" t="s">
        <v>23</v>
      </c>
      <c r="K13" s="9">
        <v>18</v>
      </c>
      <c r="L13" s="7">
        <v>1</v>
      </c>
      <c r="M13" s="9"/>
      <c r="N13" s="10"/>
      <c r="O13" s="9"/>
      <c r="P13" s="12">
        <f t="shared" si="1"/>
        <v>0</v>
      </c>
      <c r="Q13" s="21"/>
      <c r="R13" s="5"/>
      <c r="S13" s="5"/>
    </row>
    <row r="14" s="2" customFormat="1" customHeight="1" spans="1:19">
      <c r="A14" s="18" t="str">
        <f>_xlfn.DISPIMG("ID_7FA4E8A58F5948C187CFCA8C5EDFE39A",1)</f>
        <v>=DISPIMG("ID_7FA4E8A58F5948C187CFCA8C5EDFE39A",1)</v>
      </c>
      <c r="B14" s="19" t="s">
        <v>73</v>
      </c>
      <c r="C14" s="6"/>
      <c r="D14" s="19" t="s">
        <v>74</v>
      </c>
      <c r="E14" s="19" t="s">
        <v>75</v>
      </c>
      <c r="F14" s="6">
        <v>18</v>
      </c>
      <c r="G14" s="20" t="s">
        <v>72</v>
      </c>
      <c r="H14" s="7"/>
      <c r="I14" s="9" t="s">
        <v>23</v>
      </c>
      <c r="J14" s="9" t="s">
        <v>23</v>
      </c>
      <c r="K14" s="9">
        <v>18</v>
      </c>
      <c r="L14" s="7">
        <v>1</v>
      </c>
      <c r="M14" s="9"/>
      <c r="N14" s="10"/>
      <c r="O14" s="9"/>
      <c r="P14" s="12">
        <f t="shared" si="1"/>
        <v>0</v>
      </c>
      <c r="Q14" s="21"/>
      <c r="R14" s="5"/>
      <c r="S14" s="5"/>
    </row>
    <row r="15" s="2" customFormat="1" customHeight="1" spans="1:19">
      <c r="A15" s="18" t="str">
        <f>_xlfn.DISPIMG("ID_3985244EB688469C99D0AD448D363F62",1)</f>
        <v>=DISPIMG("ID_3985244EB688469C99D0AD448D363F62",1)</v>
      </c>
      <c r="B15" s="19" t="s">
        <v>76</v>
      </c>
      <c r="C15" s="6"/>
      <c r="D15" s="19" t="s">
        <v>77</v>
      </c>
      <c r="E15" s="19" t="s">
        <v>78</v>
      </c>
      <c r="F15" s="6">
        <v>18</v>
      </c>
      <c r="G15" s="20" t="s">
        <v>72</v>
      </c>
      <c r="H15" s="7"/>
      <c r="I15" s="9" t="s">
        <v>23</v>
      </c>
      <c r="J15" s="9" t="s">
        <v>23</v>
      </c>
      <c r="K15" s="9">
        <v>18</v>
      </c>
      <c r="L15" s="7">
        <v>1</v>
      </c>
      <c r="M15" s="9"/>
      <c r="N15" s="10"/>
      <c r="O15" s="9"/>
      <c r="P15" s="12">
        <f t="shared" si="1"/>
        <v>0</v>
      </c>
      <c r="Q15" s="21"/>
      <c r="R15" s="5"/>
      <c r="S15" s="5"/>
    </row>
    <row r="16" s="2" customFormat="1" customHeight="1" spans="1:19">
      <c r="A16" s="22" t="str">
        <f>_xlfn.DISPIMG("ID_4E3121A469FE4A14900F422822278015",1)</f>
        <v>=DISPIMG("ID_4E3121A469FE4A14900F422822278015",1)</v>
      </c>
      <c r="B16" s="19" t="s">
        <v>79</v>
      </c>
      <c r="C16" s="6"/>
      <c r="D16" s="19" t="s">
        <v>80</v>
      </c>
      <c r="E16" s="19" t="s">
        <v>81</v>
      </c>
      <c r="F16" s="6">
        <v>80</v>
      </c>
      <c r="G16" s="20" t="s">
        <v>82</v>
      </c>
      <c r="H16" s="7">
        <v>5.7</v>
      </c>
      <c r="I16" s="9" t="s">
        <v>23</v>
      </c>
      <c r="J16" s="9" t="s">
        <v>23</v>
      </c>
      <c r="K16" s="9">
        <f t="shared" ref="K16:K24" si="2">F16+H16</f>
        <v>85.7</v>
      </c>
      <c r="L16" s="7">
        <v>3</v>
      </c>
      <c r="M16" s="9" t="s">
        <v>24</v>
      </c>
      <c r="N16" s="10" t="s">
        <v>31</v>
      </c>
      <c r="O16" s="9">
        <f>(21.2-0.4)/16*1000</f>
        <v>1300</v>
      </c>
      <c r="P16" s="12">
        <f t="shared" si="1"/>
        <v>19.5</v>
      </c>
      <c r="Q16" s="21" t="s">
        <v>83</v>
      </c>
      <c r="R16" s="5"/>
      <c r="S16" s="5"/>
    </row>
    <row r="17" s="2" customFormat="1" customHeight="1" spans="1:19">
      <c r="A17" s="6" t="str">
        <f>_xlfn.DISPIMG("ID_C29771D52F9D4D59BB19E49497CB6BA1",1)</f>
        <v>=DISPIMG("ID_C29771D52F9D4D59BB19E49497CB6BA1",1)</v>
      </c>
      <c r="B17" s="19" t="s">
        <v>84</v>
      </c>
      <c r="C17" s="6"/>
      <c r="D17" s="19" t="s">
        <v>85</v>
      </c>
      <c r="E17" s="19" t="s">
        <v>86</v>
      </c>
      <c r="F17" s="6">
        <v>149</v>
      </c>
      <c r="G17" s="20" t="s">
        <v>87</v>
      </c>
      <c r="H17" s="6">
        <v>1.53</v>
      </c>
      <c r="I17" s="6" t="s">
        <v>88</v>
      </c>
      <c r="J17" s="6">
        <v>1.2</v>
      </c>
      <c r="K17" s="9">
        <f t="shared" si="2"/>
        <v>150.53</v>
      </c>
      <c r="L17" s="6">
        <v>6</v>
      </c>
      <c r="M17" s="9" t="s">
        <v>24</v>
      </c>
      <c r="N17" s="10" t="s">
        <v>31</v>
      </c>
      <c r="O17" s="9">
        <f>(20-0.4)/10*1000</f>
        <v>1960</v>
      </c>
      <c r="P17" s="12">
        <f t="shared" si="1"/>
        <v>29.4</v>
      </c>
      <c r="Q17" s="21" t="s">
        <v>89</v>
      </c>
      <c r="R17" s="5"/>
      <c r="S17" s="5"/>
    </row>
    <row r="18" s="2" customFormat="1" customHeight="1" spans="1:19">
      <c r="A18" s="13" t="str">
        <f>_xlfn.DISPIMG("ID_02DBCA5909E74844872301F0DBF21F52",1)</f>
        <v>=DISPIMG("ID_02DBCA5909E74844872301F0DBF21F52",1)</v>
      </c>
      <c r="B18" s="21" t="s">
        <v>90</v>
      </c>
      <c r="C18" s="6"/>
      <c r="D18" s="6" t="s">
        <v>91</v>
      </c>
      <c r="E18" s="6" t="s">
        <v>92</v>
      </c>
      <c r="F18" s="9">
        <v>28</v>
      </c>
      <c r="G18" s="23" t="s">
        <v>93</v>
      </c>
      <c r="H18" s="9">
        <v>2.38</v>
      </c>
      <c r="I18" s="9" t="s">
        <v>23</v>
      </c>
      <c r="J18" s="9" t="s">
        <v>23</v>
      </c>
      <c r="K18" s="9">
        <f t="shared" si="2"/>
        <v>30.38</v>
      </c>
      <c r="L18" s="9">
        <v>1</v>
      </c>
      <c r="M18" s="9" t="s">
        <v>94</v>
      </c>
      <c r="N18" s="10" t="s">
        <v>31</v>
      </c>
      <c r="O18" s="24">
        <v>510</v>
      </c>
      <c r="P18" s="12">
        <f t="shared" si="1"/>
        <v>7.65</v>
      </c>
      <c r="Q18" s="13"/>
      <c r="R18" s="5"/>
      <c r="S18" s="5"/>
    </row>
    <row r="19" s="2" customFormat="1" customHeight="1" spans="1:19">
      <c r="A19" s="9" t="str">
        <f>_xlfn.DISPIMG("ID_0CD4285257264AF19ADF3C9EF0315B9B",1)</f>
        <v>=DISPIMG("ID_0CD4285257264AF19ADF3C9EF0315B9B",1)</v>
      </c>
      <c r="B19" s="6" t="s">
        <v>95</v>
      </c>
      <c r="C19" s="6"/>
      <c r="D19" s="6" t="s">
        <v>96</v>
      </c>
      <c r="E19" s="6" t="s">
        <v>97</v>
      </c>
      <c r="F19" s="9">
        <v>30</v>
      </c>
      <c r="G19" s="23" t="s">
        <v>98</v>
      </c>
      <c r="H19" s="9">
        <v>2.35</v>
      </c>
      <c r="I19" s="9" t="s">
        <v>23</v>
      </c>
      <c r="J19" s="9" t="s">
        <v>23</v>
      </c>
      <c r="K19" s="9">
        <f t="shared" si="2"/>
        <v>32.35</v>
      </c>
      <c r="L19" s="9">
        <v>1</v>
      </c>
      <c r="M19" s="9" t="s">
        <v>94</v>
      </c>
      <c r="N19" s="10" t="s">
        <v>31</v>
      </c>
      <c r="O19" s="25">
        <v>610</v>
      </c>
      <c r="P19" s="12">
        <f t="shared" si="1"/>
        <v>9.15</v>
      </c>
      <c r="Q19" s="13"/>
      <c r="R19" s="5"/>
      <c r="S19" s="5"/>
    </row>
    <row r="20" s="2" customFormat="1" customHeight="1" spans="1:19">
      <c r="A20" s="13" t="str">
        <f>_xlfn.DISPIMG("ID_6C17959365F349E69EFCA08CBF05ADCF",1)</f>
        <v>=DISPIMG("ID_6C17959365F349E69EFCA08CBF05ADCF",1)</v>
      </c>
      <c r="B20" s="21" t="s">
        <v>99</v>
      </c>
      <c r="C20" s="6"/>
      <c r="D20" s="6" t="s">
        <v>100</v>
      </c>
      <c r="E20" s="6" t="s">
        <v>101</v>
      </c>
      <c r="F20" s="9">
        <v>25</v>
      </c>
      <c r="G20" s="23" t="s">
        <v>102</v>
      </c>
      <c r="H20" s="9">
        <v>2.05</v>
      </c>
      <c r="I20" s="9" t="s">
        <v>23</v>
      </c>
      <c r="J20" s="9" t="s">
        <v>23</v>
      </c>
      <c r="K20" s="9">
        <f t="shared" si="2"/>
        <v>27.05</v>
      </c>
      <c r="L20" s="9">
        <v>1</v>
      </c>
      <c r="M20" s="9" t="s">
        <v>94</v>
      </c>
      <c r="N20" s="10" t="s">
        <v>31</v>
      </c>
      <c r="O20" s="24">
        <v>330</v>
      </c>
      <c r="P20" s="12">
        <f t="shared" si="1"/>
        <v>4.95</v>
      </c>
      <c r="Q20" s="13"/>
      <c r="R20" s="5"/>
      <c r="S20" s="5"/>
    </row>
    <row r="21" s="2" customFormat="1" customHeight="1" spans="1:19">
      <c r="A21" s="9" t="str">
        <f>_xlfn.DISPIMG("ID_EC1FDB0A78034FBA8E26400FB32111F8",1)</f>
        <v>=DISPIMG("ID_EC1FDB0A78034FBA8E26400FB32111F8",1)</v>
      </c>
      <c r="B21" s="6" t="s">
        <v>103</v>
      </c>
      <c r="C21" s="6"/>
      <c r="D21" s="6" t="s">
        <v>104</v>
      </c>
      <c r="E21" s="6" t="s">
        <v>105</v>
      </c>
      <c r="F21" s="9">
        <v>25</v>
      </c>
      <c r="G21" s="23" t="s">
        <v>102</v>
      </c>
      <c r="H21" s="9">
        <v>2.05</v>
      </c>
      <c r="I21" s="9" t="s">
        <v>23</v>
      </c>
      <c r="J21" s="9" t="s">
        <v>23</v>
      </c>
      <c r="K21" s="9">
        <f t="shared" si="2"/>
        <v>27.05</v>
      </c>
      <c r="L21" s="9">
        <v>1</v>
      </c>
      <c r="M21" s="9" t="s">
        <v>94</v>
      </c>
      <c r="N21" s="10" t="s">
        <v>31</v>
      </c>
      <c r="O21" s="25">
        <v>300</v>
      </c>
      <c r="P21" s="12">
        <f t="shared" si="1"/>
        <v>4.5</v>
      </c>
      <c r="Q21" s="13"/>
      <c r="R21" s="5"/>
      <c r="S21" s="5"/>
    </row>
    <row r="22" s="2" customFormat="1" customHeight="1" spans="1:19">
      <c r="A22" s="13" t="str">
        <f>_xlfn.DISPIMG("ID_0376AD3BB43E4DFC80501D0DAFC2AD49",1)</f>
        <v>=DISPIMG("ID_0376AD3BB43E4DFC80501D0DAFC2AD49",1)</v>
      </c>
      <c r="B22" s="21" t="s">
        <v>106</v>
      </c>
      <c r="C22" s="6"/>
      <c r="D22" s="6" t="s">
        <v>107</v>
      </c>
      <c r="E22" s="6" t="s">
        <v>108</v>
      </c>
      <c r="F22" s="9"/>
      <c r="G22" s="23"/>
      <c r="H22" s="9"/>
      <c r="I22" s="9" t="s">
        <v>23</v>
      </c>
      <c r="J22" s="9" t="s">
        <v>23</v>
      </c>
      <c r="K22" s="9">
        <f t="shared" si="2"/>
        <v>0</v>
      </c>
      <c r="L22" s="9">
        <v>1</v>
      </c>
      <c r="M22" s="9" t="s">
        <v>94</v>
      </c>
      <c r="N22" s="10" t="s">
        <v>31</v>
      </c>
      <c r="O22" s="13"/>
      <c r="P22" s="12">
        <f t="shared" si="1"/>
        <v>0</v>
      </c>
      <c r="Q22" s="13"/>
      <c r="R22" s="5"/>
      <c r="S22" s="5"/>
    </row>
    <row r="23" s="2" customFormat="1" customHeight="1" spans="1:19">
      <c r="A23" s="13" t="str">
        <f>_xlfn.DISPIMG("ID_FF2260C9B91E4385A75FA89B17A2B39B",1)</f>
        <v>=DISPIMG("ID_FF2260C9B91E4385A75FA89B17A2B39B",1)</v>
      </c>
      <c r="B23" s="21" t="s">
        <v>109</v>
      </c>
      <c r="C23" s="6"/>
      <c r="D23" s="6" t="s">
        <v>110</v>
      </c>
      <c r="E23" s="6" t="s">
        <v>111</v>
      </c>
      <c r="F23" s="9">
        <v>23</v>
      </c>
      <c r="G23" s="23" t="s">
        <v>112</v>
      </c>
      <c r="H23" s="9">
        <v>2.04</v>
      </c>
      <c r="I23" s="9" t="s">
        <v>23</v>
      </c>
      <c r="J23" s="9" t="s">
        <v>23</v>
      </c>
      <c r="K23" s="9">
        <f t="shared" si="2"/>
        <v>25.04</v>
      </c>
      <c r="L23" s="9">
        <v>1</v>
      </c>
      <c r="M23" s="9" t="s">
        <v>94</v>
      </c>
      <c r="N23" s="10" t="s">
        <v>31</v>
      </c>
      <c r="O23" s="25">
        <v>250</v>
      </c>
      <c r="P23" s="12">
        <f t="shared" si="1"/>
        <v>3.75</v>
      </c>
      <c r="Q23" s="13"/>
      <c r="R23" s="5"/>
      <c r="S23" s="5"/>
    </row>
    <row r="24" s="2" customFormat="1" customHeight="1" spans="1:19">
      <c r="A24" s="9" t="str">
        <f>_xlfn.DISPIMG("ID_02A3DDF4B0A34FC1A27AB3578CC27B2C",1)</f>
        <v>=DISPIMG("ID_02A3DDF4B0A34FC1A27AB3578CC27B2C",1)</v>
      </c>
      <c r="B24" s="21" t="s">
        <v>113</v>
      </c>
      <c r="C24" s="6"/>
      <c r="D24" s="6" t="s">
        <v>114</v>
      </c>
      <c r="E24" s="6" t="s">
        <v>115</v>
      </c>
      <c r="F24" s="9">
        <v>25</v>
      </c>
      <c r="G24" s="23" t="s">
        <v>116</v>
      </c>
      <c r="H24" s="9">
        <v>2.04</v>
      </c>
      <c r="I24" s="9" t="s">
        <v>23</v>
      </c>
      <c r="J24" s="9" t="s">
        <v>23</v>
      </c>
      <c r="K24" s="9">
        <f t="shared" si="2"/>
        <v>27.04</v>
      </c>
      <c r="L24" s="9">
        <v>1</v>
      </c>
      <c r="M24" s="9" t="s">
        <v>94</v>
      </c>
      <c r="N24" s="10" t="s">
        <v>31</v>
      </c>
      <c r="O24" s="25">
        <v>310</v>
      </c>
      <c r="P24" s="12">
        <f t="shared" si="1"/>
        <v>4.65</v>
      </c>
      <c r="Q24" s="13"/>
      <c r="R24" s="5"/>
      <c r="S24" s="5"/>
    </row>
    <row r="25" s="2" customFormat="1" customHeight="1" spans="1:19">
      <c r="A25" s="26" t="str">
        <f>_xlfn.DISPIMG("ID_A0C17248A8CA43EEAFA4EAA5419A6488",1)</f>
        <v>=DISPIMG("ID_A0C17248A8CA43EEAFA4EAA5419A6488",1)</v>
      </c>
      <c r="B25" s="27" t="s">
        <v>117</v>
      </c>
      <c r="C25" s="27" t="s">
        <v>118</v>
      </c>
      <c r="D25" s="28" t="s">
        <v>119</v>
      </c>
      <c r="E25" s="29" t="s">
        <v>120</v>
      </c>
      <c r="F25" s="29"/>
      <c r="G25" s="30" t="s">
        <v>121</v>
      </c>
      <c r="H25" s="29"/>
      <c r="I25" s="29"/>
      <c r="J25" s="29"/>
      <c r="K25" s="29">
        <v>80</v>
      </c>
      <c r="L25" s="29"/>
      <c r="M25" s="9" t="s">
        <v>94</v>
      </c>
      <c r="N25" s="29" t="s">
        <v>94</v>
      </c>
      <c r="O25" s="29"/>
      <c r="P25" s="12">
        <f t="shared" si="1"/>
        <v>0</v>
      </c>
      <c r="Q25" s="31">
        <v>0</v>
      </c>
      <c r="R25" s="5"/>
      <c r="S25" s="5"/>
    </row>
    <row r="26" s="2" customFormat="1" customHeight="1" spans="1:19">
      <c r="A26" s="26" t="str">
        <f>_xlfn.DISPIMG("ID_FB81A603B4264A33A8C21E3E4FDA8B10",1)</f>
        <v>=DISPIMG("ID_FB81A603B4264A33A8C21E3E4FDA8B10",1)</v>
      </c>
      <c r="B26" s="27" t="s">
        <v>122</v>
      </c>
      <c r="C26" s="27" t="s">
        <v>118</v>
      </c>
      <c r="D26" s="32" t="s">
        <v>123</v>
      </c>
      <c r="E26" s="29" t="s">
        <v>124</v>
      </c>
      <c r="F26" s="29"/>
      <c r="G26" s="30" t="s">
        <v>121</v>
      </c>
      <c r="H26" s="29"/>
      <c r="I26" s="29"/>
      <c r="J26" s="29"/>
      <c r="K26" s="9" t="s">
        <v>94</v>
      </c>
      <c r="L26" s="9" t="s">
        <v>94</v>
      </c>
      <c r="M26" s="9" t="s">
        <v>94</v>
      </c>
      <c r="N26" s="29" t="s">
        <v>94</v>
      </c>
      <c r="O26" s="29"/>
      <c r="P26" s="12">
        <f t="shared" si="1"/>
        <v>0</v>
      </c>
      <c r="Q26" s="31">
        <v>0</v>
      </c>
      <c r="R26" s="5"/>
      <c r="S26" s="5"/>
    </row>
    <row r="27" s="2" customFormat="1" customHeight="1" spans="1:19">
      <c r="A27" s="26" t="str">
        <f>_xlfn.DISPIMG("ID_72486C7FC6184DD5B1F38810F306F9BA",1)</f>
        <v>=DISPIMG("ID_72486C7FC6184DD5B1F38810F306F9BA",1)</v>
      </c>
      <c r="B27" s="27" t="s">
        <v>125</v>
      </c>
      <c r="C27" s="27" t="s">
        <v>126</v>
      </c>
      <c r="D27" s="28" t="s">
        <v>127</v>
      </c>
      <c r="E27" s="29" t="s">
        <v>128</v>
      </c>
      <c r="F27" s="29"/>
      <c r="G27" s="30" t="s">
        <v>121</v>
      </c>
      <c r="H27" s="29"/>
      <c r="I27" s="29"/>
      <c r="J27" s="29"/>
      <c r="K27" s="9" t="s">
        <v>94</v>
      </c>
      <c r="L27" s="9" t="s">
        <v>94</v>
      </c>
      <c r="M27" s="9" t="s">
        <v>94</v>
      </c>
      <c r="N27" s="29" t="s">
        <v>94</v>
      </c>
      <c r="O27" s="29"/>
      <c r="P27" s="12">
        <f t="shared" si="1"/>
        <v>0</v>
      </c>
      <c r="Q27" s="31">
        <v>0</v>
      </c>
      <c r="R27" s="5"/>
      <c r="S27" s="5"/>
    </row>
    <row r="28" s="2" customFormat="1" customHeight="1" spans="1:19">
      <c r="A28" s="9" t="str">
        <f>_xlfn.DISPIMG("ID_9BEDF70787994E10BB80487D75A09CE5",1)</f>
        <v>=DISPIMG("ID_9BEDF70787994E10BB80487D75A09CE5",1)</v>
      </c>
      <c r="B28" s="9" t="s">
        <v>129</v>
      </c>
      <c r="C28" s="9" t="s">
        <v>130</v>
      </c>
      <c r="D28" s="9" t="s">
        <v>131</v>
      </c>
      <c r="E28" s="9" t="s">
        <v>132</v>
      </c>
      <c r="F28" s="9">
        <v>40</v>
      </c>
      <c r="G28" s="9" t="s">
        <v>133</v>
      </c>
      <c r="H28" s="9">
        <v>2.8</v>
      </c>
      <c r="I28" s="9" t="s">
        <v>134</v>
      </c>
      <c r="J28" s="9">
        <v>0.24</v>
      </c>
      <c r="K28" s="9">
        <f t="shared" ref="K28:K47" si="3">F28+H28+J28</f>
        <v>43.04</v>
      </c>
      <c r="L28" s="9">
        <v>1</v>
      </c>
      <c r="M28" s="9" t="s">
        <v>24</v>
      </c>
      <c r="N28" s="10" t="s">
        <v>31</v>
      </c>
      <c r="O28" s="9">
        <v>140</v>
      </c>
      <c r="P28" s="12">
        <f t="shared" si="1"/>
        <v>2.1</v>
      </c>
      <c r="Q28" s="5"/>
      <c r="R28" s="5"/>
      <c r="S28" s="5"/>
    </row>
    <row r="29" s="2" customFormat="1" customHeight="1" spans="1:19">
      <c r="A29" s="9" t="str">
        <f>_xlfn.DISPIMG("ID_3074FD55C61C4CB9A903D4A23E68CC63",1)</f>
        <v>=DISPIMG("ID_3074FD55C61C4CB9A903D4A23E68CC63",1)</v>
      </c>
      <c r="B29" s="9" t="s">
        <v>135</v>
      </c>
      <c r="C29" s="9" t="s">
        <v>136</v>
      </c>
      <c r="D29" s="9" t="s">
        <v>137</v>
      </c>
      <c r="E29" s="9" t="s">
        <v>137</v>
      </c>
      <c r="F29" s="9">
        <v>60</v>
      </c>
      <c r="G29" s="9" t="s">
        <v>138</v>
      </c>
      <c r="H29" s="9">
        <v>3</v>
      </c>
      <c r="I29" s="9" t="s">
        <v>134</v>
      </c>
      <c r="J29" s="9">
        <v>0.24</v>
      </c>
      <c r="K29" s="9">
        <f t="shared" si="3"/>
        <v>63.24</v>
      </c>
      <c r="L29" s="9">
        <v>1</v>
      </c>
      <c r="M29" s="9" t="s">
        <v>24</v>
      </c>
      <c r="N29" s="10" t="s">
        <v>139</v>
      </c>
      <c r="O29" s="9">
        <v>170</v>
      </c>
      <c r="P29" s="12">
        <f t="shared" si="1"/>
        <v>2.55</v>
      </c>
      <c r="Q29" s="5"/>
      <c r="R29" s="5"/>
      <c r="S29" s="5"/>
    </row>
    <row r="30" s="2" customFormat="1" customHeight="1" spans="1:19">
      <c r="A30" s="9" t="str">
        <f>_xlfn.DISPIMG("ID_FF2662ADB0FD4171A2B9972B6E1BCB52",1)</f>
        <v>=DISPIMG("ID_FF2662ADB0FD4171A2B9972B6E1BCB52",1)</v>
      </c>
      <c r="B30" s="9" t="s">
        <v>140</v>
      </c>
      <c r="C30" s="9" t="s">
        <v>130</v>
      </c>
      <c r="D30" s="9" t="s">
        <v>141</v>
      </c>
      <c r="E30" s="9" t="s">
        <v>141</v>
      </c>
      <c r="F30" s="9">
        <v>67.2</v>
      </c>
      <c r="G30" s="9" t="s">
        <v>142</v>
      </c>
      <c r="H30" s="9">
        <v>2.8</v>
      </c>
      <c r="I30" s="9" t="s">
        <v>134</v>
      </c>
      <c r="J30" s="9">
        <v>0.24</v>
      </c>
      <c r="K30" s="9">
        <f t="shared" si="3"/>
        <v>70.24</v>
      </c>
      <c r="L30" s="9">
        <v>1</v>
      </c>
      <c r="M30" s="9" t="s">
        <v>24</v>
      </c>
      <c r="N30" s="10" t="s">
        <v>31</v>
      </c>
      <c r="O30" s="9">
        <v>140</v>
      </c>
      <c r="P30" s="12">
        <f t="shared" si="1"/>
        <v>2.1</v>
      </c>
      <c r="Q30" s="5"/>
      <c r="R30" s="5"/>
      <c r="S30" s="5"/>
    </row>
    <row r="31" s="2" customFormat="1" customHeight="1" spans="1:19">
      <c r="A31" s="9" t="str">
        <f>_xlfn.DISPIMG("ID_A33571324AEB4088B5D0F1A289C2BF47",1)</f>
        <v>=DISPIMG("ID_A33571324AEB4088B5D0F1A289C2BF47",1)</v>
      </c>
      <c r="B31" s="9" t="s">
        <v>143</v>
      </c>
      <c r="C31" s="9" t="s">
        <v>136</v>
      </c>
      <c r="D31" s="9" t="s">
        <v>144</v>
      </c>
      <c r="E31" s="9" t="s">
        <v>145</v>
      </c>
      <c r="F31" s="9">
        <v>26</v>
      </c>
      <c r="G31" s="9" t="s">
        <v>146</v>
      </c>
      <c r="H31" s="9">
        <v>3</v>
      </c>
      <c r="I31" s="9" t="s">
        <v>147</v>
      </c>
      <c r="J31" s="9">
        <v>0.14</v>
      </c>
      <c r="K31" s="9">
        <f t="shared" si="3"/>
        <v>29.14</v>
      </c>
      <c r="L31" s="9">
        <v>1</v>
      </c>
      <c r="M31" s="9" t="s">
        <v>24</v>
      </c>
      <c r="N31" s="10" t="s">
        <v>139</v>
      </c>
      <c r="O31" s="9">
        <v>170</v>
      </c>
      <c r="P31" s="12">
        <f t="shared" si="1"/>
        <v>2.55</v>
      </c>
      <c r="Q31" s="5"/>
      <c r="R31" s="5"/>
      <c r="S31" s="5"/>
    </row>
    <row r="32" s="2" customFormat="1" customHeight="1" spans="1:19">
      <c r="A32" s="9" t="str">
        <f>_xlfn.DISPIMG("ID_1F14CAC71CD14F1C92BB11907610B69A",1)</f>
        <v>=DISPIMG("ID_1F14CAC71CD14F1C92BB11907610B69A",1)</v>
      </c>
      <c r="B32" s="9" t="s">
        <v>148</v>
      </c>
      <c r="C32" s="9" t="s">
        <v>149</v>
      </c>
      <c r="D32" s="9" t="s">
        <v>150</v>
      </c>
      <c r="E32" s="9" t="s">
        <v>150</v>
      </c>
      <c r="F32" s="9">
        <v>40</v>
      </c>
      <c r="G32" s="9" t="s">
        <v>151</v>
      </c>
      <c r="H32" s="9">
        <v>3</v>
      </c>
      <c r="I32" s="9" t="s">
        <v>134</v>
      </c>
      <c r="J32" s="9">
        <v>0.24</v>
      </c>
      <c r="K32" s="9">
        <f t="shared" si="3"/>
        <v>43.24</v>
      </c>
      <c r="L32" s="9">
        <v>1</v>
      </c>
      <c r="M32" s="9" t="s">
        <v>24</v>
      </c>
      <c r="N32" s="10" t="s">
        <v>139</v>
      </c>
      <c r="O32" s="9">
        <v>170</v>
      </c>
      <c r="P32" s="12">
        <f t="shared" si="1"/>
        <v>2.55</v>
      </c>
      <c r="Q32" s="5"/>
      <c r="R32" s="5"/>
      <c r="S32" s="5"/>
    </row>
    <row r="33" s="2" customFormat="1" customHeight="1" spans="1:19">
      <c r="A33" s="9" t="str">
        <f>_xlfn.DISPIMG("ID_4F9FAED4E4624B8AB09638203CEE5468",1)</f>
        <v>=DISPIMG("ID_4F9FAED4E4624B8AB09638203CEE5468",1)</v>
      </c>
      <c r="B33" s="9" t="s">
        <v>152</v>
      </c>
      <c r="C33" s="9" t="s">
        <v>136</v>
      </c>
      <c r="D33" s="9" t="s">
        <v>153</v>
      </c>
      <c r="E33" s="9" t="s">
        <v>154</v>
      </c>
      <c r="F33" s="9">
        <v>23</v>
      </c>
      <c r="G33" s="9" t="s">
        <v>155</v>
      </c>
      <c r="H33" s="9">
        <v>3</v>
      </c>
      <c r="I33" s="9" t="s">
        <v>134</v>
      </c>
      <c r="J33" s="9">
        <v>0.24</v>
      </c>
      <c r="K33" s="9">
        <f t="shared" si="3"/>
        <v>26.24</v>
      </c>
      <c r="L33" s="9">
        <v>1</v>
      </c>
      <c r="M33" s="9" t="s">
        <v>24</v>
      </c>
      <c r="N33" s="10" t="s">
        <v>139</v>
      </c>
      <c r="O33" s="9">
        <v>170</v>
      </c>
      <c r="P33" s="12">
        <f t="shared" si="1"/>
        <v>2.55</v>
      </c>
      <c r="Q33" s="5"/>
      <c r="R33" s="5"/>
      <c r="S33" s="5"/>
    </row>
    <row r="34" s="2" customFormat="1" customHeight="1" spans="1:19">
      <c r="A34" s="9" t="str">
        <f>_xlfn.DISPIMG("ID_916F8608497E496F861C46FA0AC3BCB8",1)</f>
        <v>=DISPIMG("ID_916F8608497E496F861C46FA0AC3BCB8",1)</v>
      </c>
      <c r="B34" s="9" t="s">
        <v>156</v>
      </c>
      <c r="C34" s="9" t="s">
        <v>130</v>
      </c>
      <c r="D34" s="9" t="s">
        <v>157</v>
      </c>
      <c r="E34" s="9" t="s">
        <v>158</v>
      </c>
      <c r="F34" s="9">
        <v>38.2</v>
      </c>
      <c r="G34" s="9" t="s">
        <v>159</v>
      </c>
      <c r="H34" s="9">
        <v>2.8</v>
      </c>
      <c r="I34" s="9" t="s">
        <v>147</v>
      </c>
      <c r="J34" s="9">
        <v>0.14</v>
      </c>
      <c r="K34" s="9">
        <f t="shared" si="3"/>
        <v>41.14</v>
      </c>
      <c r="L34" s="9">
        <v>1</v>
      </c>
      <c r="M34" s="9" t="s">
        <v>24</v>
      </c>
      <c r="N34" s="10" t="s">
        <v>139</v>
      </c>
      <c r="O34" s="9">
        <v>140</v>
      </c>
      <c r="P34" s="12">
        <f t="shared" si="1"/>
        <v>2.1</v>
      </c>
      <c r="Q34" s="5"/>
      <c r="R34" s="5"/>
      <c r="S34" s="5"/>
    </row>
    <row r="35" s="2" customFormat="1" customHeight="1" spans="1:19">
      <c r="A35" s="9" t="str">
        <f>_xlfn.DISPIMG("ID_B7B38C56FC40497BB4F434A77DDAF027",1)</f>
        <v>=DISPIMG("ID_B7B38C56FC40497BB4F434A77DDAF027",1)</v>
      </c>
      <c r="B35" s="9" t="s">
        <v>160</v>
      </c>
      <c r="C35" s="9" t="s">
        <v>161</v>
      </c>
      <c r="D35" s="9" t="s">
        <v>162</v>
      </c>
      <c r="E35" s="9" t="s">
        <v>163</v>
      </c>
      <c r="F35" s="9">
        <v>50</v>
      </c>
      <c r="G35" s="9" t="s">
        <v>164</v>
      </c>
      <c r="H35" s="9">
        <v>3</v>
      </c>
      <c r="I35" s="9" t="s">
        <v>147</v>
      </c>
      <c r="J35" s="9">
        <v>0.14</v>
      </c>
      <c r="K35" s="9">
        <f t="shared" si="3"/>
        <v>53.14</v>
      </c>
      <c r="L35" s="9">
        <v>1</v>
      </c>
      <c r="M35" s="9" t="s">
        <v>24</v>
      </c>
      <c r="N35" s="10" t="s">
        <v>139</v>
      </c>
      <c r="O35" s="9">
        <v>160</v>
      </c>
      <c r="P35" s="12">
        <f t="shared" si="1"/>
        <v>2.4</v>
      </c>
      <c r="Q35" s="5"/>
      <c r="R35" s="5"/>
      <c r="S35" s="5"/>
    </row>
    <row r="36" s="2" customFormat="1" customHeight="1" spans="1:19">
      <c r="A36" s="9" t="str">
        <f>_xlfn.DISPIMG("ID_A702BA96B85A4A0E9A61BB1476CC1189",1)</f>
        <v>=DISPIMG("ID_A702BA96B85A4A0E9A61BB1476CC1189",1)</v>
      </c>
      <c r="B36" s="9" t="s">
        <v>165</v>
      </c>
      <c r="C36" s="9" t="s">
        <v>136</v>
      </c>
      <c r="D36" s="9" t="s">
        <v>166</v>
      </c>
      <c r="E36" s="9" t="s">
        <v>167</v>
      </c>
      <c r="F36" s="9">
        <v>43</v>
      </c>
      <c r="G36" s="9" t="s">
        <v>164</v>
      </c>
      <c r="H36" s="9">
        <v>3</v>
      </c>
      <c r="I36" s="9" t="s">
        <v>147</v>
      </c>
      <c r="J36" s="9">
        <v>0.14</v>
      </c>
      <c r="K36" s="9">
        <f t="shared" si="3"/>
        <v>46.14</v>
      </c>
      <c r="L36" s="9">
        <v>1</v>
      </c>
      <c r="M36" s="9" t="s">
        <v>24</v>
      </c>
      <c r="N36" s="10" t="s">
        <v>139</v>
      </c>
      <c r="O36" s="9">
        <v>170</v>
      </c>
      <c r="P36" s="12">
        <f t="shared" si="1"/>
        <v>2.55</v>
      </c>
      <c r="Q36" s="5"/>
      <c r="R36" s="5"/>
      <c r="S36" s="5"/>
    </row>
    <row r="37" s="2" customFormat="1" customHeight="1" spans="1:19">
      <c r="A37" s="9" t="str">
        <f>_xlfn.DISPIMG("ID_E890DC57C0BF4A9D86C5C8A2401D41FE",1)</f>
        <v>=DISPIMG("ID_E890DC57C0BF4A9D86C5C8A2401D41FE",1)</v>
      </c>
      <c r="B37" s="9" t="s">
        <v>168</v>
      </c>
      <c r="C37" s="9" t="s">
        <v>149</v>
      </c>
      <c r="D37" s="9" t="s">
        <v>169</v>
      </c>
      <c r="E37" s="9" t="s">
        <v>170</v>
      </c>
      <c r="F37" s="9">
        <v>65</v>
      </c>
      <c r="G37" s="9" t="s">
        <v>164</v>
      </c>
      <c r="H37" s="9">
        <v>3</v>
      </c>
      <c r="I37" s="9" t="s">
        <v>147</v>
      </c>
      <c r="J37" s="9">
        <v>0.14</v>
      </c>
      <c r="K37" s="9">
        <f t="shared" si="3"/>
        <v>68.14</v>
      </c>
      <c r="L37" s="9">
        <v>1</v>
      </c>
      <c r="M37" s="9" t="s">
        <v>24</v>
      </c>
      <c r="N37" s="10" t="s">
        <v>139</v>
      </c>
      <c r="O37" s="9">
        <v>180</v>
      </c>
      <c r="P37" s="12">
        <f t="shared" si="1"/>
        <v>2.7</v>
      </c>
      <c r="Q37" s="5"/>
      <c r="R37" s="5"/>
      <c r="S37" s="5"/>
    </row>
    <row r="38" s="2" customFormat="1" customHeight="1" spans="1:19">
      <c r="A38" s="9" t="str">
        <f>_xlfn.DISPIMG("ID_EB901C8991EA4F7A9F0B7DF1EB03A3D9",1)</f>
        <v>=DISPIMG("ID_EB901C8991EA4F7A9F0B7DF1EB03A3D9",1)</v>
      </c>
      <c r="B38" s="9" t="s">
        <v>171</v>
      </c>
      <c r="C38" s="9" t="s">
        <v>161</v>
      </c>
      <c r="D38" s="9" t="s">
        <v>172</v>
      </c>
      <c r="E38" s="9" t="s">
        <v>173</v>
      </c>
      <c r="F38" s="9">
        <v>45</v>
      </c>
      <c r="G38" s="9" t="s">
        <v>174</v>
      </c>
      <c r="H38" s="9">
        <v>3</v>
      </c>
      <c r="I38" s="9" t="s">
        <v>134</v>
      </c>
      <c r="J38" s="9">
        <v>0.24</v>
      </c>
      <c r="K38" s="9">
        <f t="shared" si="3"/>
        <v>48.24</v>
      </c>
      <c r="L38" s="9">
        <v>1</v>
      </c>
      <c r="M38" s="9" t="s">
        <v>24</v>
      </c>
      <c r="N38" s="10" t="s">
        <v>139</v>
      </c>
      <c r="O38" s="9">
        <v>160</v>
      </c>
      <c r="P38" s="12">
        <f t="shared" si="1"/>
        <v>2.4</v>
      </c>
      <c r="Q38" s="5"/>
      <c r="R38" s="5"/>
      <c r="S38" s="5"/>
    </row>
    <row r="39" s="2" customFormat="1" customHeight="1" spans="1:19">
      <c r="A39" s="33" t="str">
        <f>_xlfn.DISPIMG("ID_DCC955420EEF496EBD3EC8B0C459DD6E",1)</f>
        <v>=DISPIMG("ID_DCC955420EEF496EBD3EC8B0C459DD6E",1)</v>
      </c>
      <c r="B39" s="9" t="s">
        <v>175</v>
      </c>
      <c r="C39" s="9" t="s">
        <v>136</v>
      </c>
      <c r="D39" s="9" t="s">
        <v>176</v>
      </c>
      <c r="E39" s="9" t="s">
        <v>177</v>
      </c>
      <c r="F39" s="5">
        <v>97.1</v>
      </c>
      <c r="G39" s="9" t="s">
        <v>164</v>
      </c>
      <c r="H39" s="9">
        <v>3</v>
      </c>
      <c r="I39" s="9" t="s">
        <v>134</v>
      </c>
      <c r="J39" s="9">
        <v>0.24</v>
      </c>
      <c r="K39" s="9">
        <f t="shared" si="3"/>
        <v>100.34</v>
      </c>
      <c r="L39" s="9">
        <v>2</v>
      </c>
      <c r="M39" s="9" t="s">
        <v>24</v>
      </c>
      <c r="N39" s="10" t="s">
        <v>139</v>
      </c>
      <c r="O39" s="7">
        <f>(21.64-0.4)/45*1000</f>
        <v>472</v>
      </c>
      <c r="P39" s="12">
        <f t="shared" si="1"/>
        <v>7.08</v>
      </c>
      <c r="Q39" s="5"/>
      <c r="R39" s="5"/>
      <c r="S39" s="5"/>
    </row>
    <row r="40" s="2" customFormat="1" customHeight="1" spans="1:19">
      <c r="A40" s="33" t="str">
        <f>_xlfn.DISPIMG("ID_6EFC98FA71D04E0B9919EBB4BBDE20FF",1)</f>
        <v>=DISPIMG("ID_6EFC98FA71D04E0B9919EBB4BBDE20FF",1)</v>
      </c>
      <c r="B40" s="9" t="s">
        <v>178</v>
      </c>
      <c r="C40" s="9" t="s">
        <v>136</v>
      </c>
      <c r="D40" s="9" t="s">
        <v>179</v>
      </c>
      <c r="E40" s="9" t="s">
        <v>180</v>
      </c>
      <c r="F40" s="9">
        <v>83.1</v>
      </c>
      <c r="G40" s="9" t="s">
        <v>164</v>
      </c>
      <c r="H40" s="9">
        <v>3</v>
      </c>
      <c r="I40" s="9" t="s">
        <v>134</v>
      </c>
      <c r="J40" s="9">
        <v>0.24</v>
      </c>
      <c r="K40" s="9">
        <f t="shared" si="3"/>
        <v>86.34</v>
      </c>
      <c r="L40" s="9">
        <v>2</v>
      </c>
      <c r="M40" s="9" t="s">
        <v>24</v>
      </c>
      <c r="N40" s="10" t="s">
        <v>139</v>
      </c>
      <c r="O40" s="34">
        <f>(21.5-0.4)/43*1000</f>
        <v>490.697674418605</v>
      </c>
      <c r="P40" s="12">
        <f t="shared" si="1"/>
        <v>7.36046511627907</v>
      </c>
      <c r="Q40" s="5"/>
      <c r="R40" s="5"/>
      <c r="S40" s="5"/>
    </row>
    <row r="41" s="2" customFormat="1" customHeight="1" spans="1:19">
      <c r="A41" s="33" t="str">
        <f>_xlfn.DISPIMG("ID_D94968E40AA249D8BF90EECC6EA90F9A",1)</f>
        <v>=DISPIMG("ID_D94968E40AA249D8BF90EECC6EA90F9A",1)</v>
      </c>
      <c r="B41" s="9" t="s">
        <v>181</v>
      </c>
      <c r="C41" s="9" t="s">
        <v>182</v>
      </c>
      <c r="D41" s="9" t="s">
        <v>183</v>
      </c>
      <c r="E41" s="9" t="s">
        <v>184</v>
      </c>
      <c r="F41" s="9">
        <v>83.1</v>
      </c>
      <c r="G41" s="9" t="s">
        <v>164</v>
      </c>
      <c r="H41" s="9">
        <v>3</v>
      </c>
      <c r="I41" s="9" t="s">
        <v>134</v>
      </c>
      <c r="J41" s="9">
        <v>0.24</v>
      </c>
      <c r="K41" s="9">
        <f t="shared" si="3"/>
        <v>86.34</v>
      </c>
      <c r="L41" s="9">
        <v>2</v>
      </c>
      <c r="M41" s="9" t="s">
        <v>24</v>
      </c>
      <c r="N41" s="10" t="s">
        <v>139</v>
      </c>
      <c r="O41" s="34">
        <f>(21.62-0.4)/44*1000</f>
        <v>482.272727272727</v>
      </c>
      <c r="P41" s="12">
        <f t="shared" si="1"/>
        <v>7.23409090909091</v>
      </c>
      <c r="Q41" s="5"/>
      <c r="R41" s="5"/>
      <c r="S41" s="5"/>
    </row>
    <row r="42" s="2" customFormat="1" customHeight="1" spans="1:19">
      <c r="A42" s="33" t="str">
        <f>_xlfn.DISPIMG("ID_674E7162E77141A2A18F00F7193A8CA5",1)</f>
        <v>=DISPIMG("ID_674E7162E77141A2A18F00F7193A8CA5",1)</v>
      </c>
      <c r="B42" s="9" t="s">
        <v>185</v>
      </c>
      <c r="C42" s="9" t="s">
        <v>136</v>
      </c>
      <c r="D42" s="9" t="s">
        <v>186</v>
      </c>
      <c r="E42" s="9" t="s">
        <v>187</v>
      </c>
      <c r="F42" s="9">
        <v>81.1</v>
      </c>
      <c r="G42" s="9" t="s">
        <v>164</v>
      </c>
      <c r="H42" s="9">
        <v>3</v>
      </c>
      <c r="I42" s="9" t="s">
        <v>134</v>
      </c>
      <c r="J42" s="9">
        <v>0.24</v>
      </c>
      <c r="K42" s="9">
        <f t="shared" si="3"/>
        <v>84.34</v>
      </c>
      <c r="L42" s="9">
        <v>2</v>
      </c>
      <c r="M42" s="9" t="s">
        <v>24</v>
      </c>
      <c r="N42" s="10" t="s">
        <v>139</v>
      </c>
      <c r="O42" s="7">
        <f>(21.55-0.4)/45*1000</f>
        <v>470</v>
      </c>
      <c r="P42" s="12">
        <f t="shared" si="1"/>
        <v>7.05</v>
      </c>
      <c r="Q42" s="5"/>
      <c r="R42" s="5"/>
      <c r="S42" s="5"/>
    </row>
    <row r="43" s="2" customFormat="1" customHeight="1" spans="1:19">
      <c r="A43" s="9" t="str">
        <f>_xlfn.DISPIMG("ID_5322088105804396A1C1BC5613F158B5",1)</f>
        <v>=DISPIMG("ID_5322088105804396A1C1BC5613F158B5",1)</v>
      </c>
      <c r="B43" s="9" t="s">
        <v>188</v>
      </c>
      <c r="C43" s="9" t="s">
        <v>136</v>
      </c>
      <c r="D43" s="9" t="s">
        <v>189</v>
      </c>
      <c r="E43" s="9" t="s">
        <v>190</v>
      </c>
      <c r="F43" s="9">
        <v>-0.24</v>
      </c>
      <c r="G43" s="9"/>
      <c r="H43" s="9"/>
      <c r="I43" s="35" t="s">
        <v>191</v>
      </c>
      <c r="J43" s="9">
        <v>0.24</v>
      </c>
      <c r="K43" s="9">
        <f t="shared" si="3"/>
        <v>0</v>
      </c>
      <c r="L43" s="9">
        <v>2</v>
      </c>
      <c r="M43" s="9" t="s">
        <v>94</v>
      </c>
      <c r="N43" s="10" t="s">
        <v>139</v>
      </c>
      <c r="O43" s="36">
        <f>(21.73-0.4)/52*1000</f>
        <v>410.192307692308</v>
      </c>
      <c r="P43" s="12">
        <f t="shared" si="1"/>
        <v>6.15288461538462</v>
      </c>
      <c r="Q43" s="5"/>
      <c r="R43" s="5"/>
      <c r="S43" s="5"/>
    </row>
    <row r="44" s="2" customFormat="1" customHeight="1" spans="1:19">
      <c r="A44" s="33" t="str">
        <f>_xlfn.DISPIMG("ID_3CB1934A82FB42A191EC00AFEBC0CF1A",1)</f>
        <v>=DISPIMG("ID_3CB1934A82FB42A191EC00AFEBC0CF1A",1)</v>
      </c>
      <c r="B44" s="9" t="s">
        <v>192</v>
      </c>
      <c r="C44" s="9" t="s">
        <v>149</v>
      </c>
      <c r="D44" s="9" t="s">
        <v>193</v>
      </c>
      <c r="E44" s="9" t="s">
        <v>194</v>
      </c>
      <c r="F44" s="9">
        <v>65</v>
      </c>
      <c r="G44" s="9" t="s">
        <v>195</v>
      </c>
      <c r="H44" s="9">
        <v>3</v>
      </c>
      <c r="I44" s="9" t="s">
        <v>196</v>
      </c>
      <c r="J44" s="9">
        <v>0.14</v>
      </c>
      <c r="K44" s="9">
        <f t="shared" si="3"/>
        <v>68.14</v>
      </c>
      <c r="L44" s="9">
        <v>1</v>
      </c>
      <c r="M44" s="9" t="s">
        <v>24</v>
      </c>
      <c r="N44" s="10" t="s">
        <v>139</v>
      </c>
      <c r="O44" s="9">
        <v>170</v>
      </c>
      <c r="P44" s="12">
        <f t="shared" si="1"/>
        <v>2.55</v>
      </c>
      <c r="Q44" s="5"/>
      <c r="R44" s="5"/>
      <c r="S44" s="5"/>
    </row>
    <row r="45" s="2" customFormat="1" customHeight="1" spans="1:19">
      <c r="A45" s="33" t="str">
        <f>_xlfn.DISPIMG("ID_D26A130B52A4479781D45AA2030FBB2D",1)</f>
        <v>=DISPIMG("ID_D26A130B52A4479781D45AA2030FBB2D",1)</v>
      </c>
      <c r="B45" s="9" t="s">
        <v>197</v>
      </c>
      <c r="C45" s="9" t="s">
        <v>149</v>
      </c>
      <c r="D45" s="9" t="s">
        <v>198</v>
      </c>
      <c r="E45" s="9" t="s">
        <v>199</v>
      </c>
      <c r="F45" s="9">
        <v>65</v>
      </c>
      <c r="G45" s="9" t="s">
        <v>195</v>
      </c>
      <c r="H45" s="9">
        <v>3</v>
      </c>
      <c r="I45" s="9" t="s">
        <v>196</v>
      </c>
      <c r="J45" s="9">
        <v>0.14</v>
      </c>
      <c r="K45" s="9">
        <f t="shared" si="3"/>
        <v>68.14</v>
      </c>
      <c r="L45" s="9">
        <v>1</v>
      </c>
      <c r="M45" s="9" t="s">
        <v>24</v>
      </c>
      <c r="N45" s="10" t="s">
        <v>139</v>
      </c>
      <c r="O45" s="9">
        <v>170</v>
      </c>
      <c r="P45" s="12">
        <f t="shared" si="1"/>
        <v>2.55</v>
      </c>
      <c r="Q45" s="5"/>
      <c r="R45" s="5"/>
      <c r="S45" s="5"/>
    </row>
    <row r="46" s="2" customFormat="1" customHeight="1" spans="1:19">
      <c r="A46" s="33" t="str">
        <f>_xlfn.DISPIMG("ID_170CA7F920CA4B709300EB90E4AAEE49",1)</f>
        <v>=DISPIMG("ID_170CA7F920CA4B709300EB90E4AAEE49",1)</v>
      </c>
      <c r="B46" s="9" t="s">
        <v>200</v>
      </c>
      <c r="C46" s="9" t="s">
        <v>149</v>
      </c>
      <c r="D46" s="9" t="s">
        <v>201</v>
      </c>
      <c r="E46" s="9" t="s">
        <v>202</v>
      </c>
      <c r="F46" s="9">
        <v>65</v>
      </c>
      <c r="G46" s="9" t="s">
        <v>195</v>
      </c>
      <c r="H46" s="9">
        <v>3</v>
      </c>
      <c r="I46" s="9" t="s">
        <v>196</v>
      </c>
      <c r="J46" s="9">
        <v>0.14</v>
      </c>
      <c r="K46" s="9">
        <f t="shared" si="3"/>
        <v>68.14</v>
      </c>
      <c r="L46" s="9">
        <v>1</v>
      </c>
      <c r="M46" s="9" t="s">
        <v>24</v>
      </c>
      <c r="N46" s="10" t="s">
        <v>139</v>
      </c>
      <c r="O46" s="9">
        <v>170</v>
      </c>
      <c r="P46" s="12">
        <f t="shared" si="1"/>
        <v>2.55</v>
      </c>
      <c r="Q46" s="5"/>
      <c r="R46" s="5"/>
      <c r="S46" s="5"/>
    </row>
    <row r="47" s="2" customFormat="1" customHeight="1" spans="1:19">
      <c r="A47" s="33" t="str">
        <f>_xlfn.DISPIMG("ID_AFB08ED365BE44E89531EB8C74C5202B",1)</f>
        <v>=DISPIMG("ID_AFB08ED365BE44E89531EB8C74C5202B",1)</v>
      </c>
      <c r="B47" s="9" t="s">
        <v>203</v>
      </c>
      <c r="C47" s="9" t="s">
        <v>149</v>
      </c>
      <c r="D47" s="9" t="s">
        <v>204</v>
      </c>
      <c r="E47" s="9" t="s">
        <v>205</v>
      </c>
      <c r="F47" s="9">
        <v>60</v>
      </c>
      <c r="G47" s="9" t="s">
        <v>195</v>
      </c>
      <c r="H47" s="9">
        <v>3</v>
      </c>
      <c r="I47" s="9" t="s">
        <v>196</v>
      </c>
      <c r="J47" s="9">
        <v>0.14</v>
      </c>
      <c r="K47" s="9">
        <f t="shared" si="3"/>
        <v>63.14</v>
      </c>
      <c r="L47" s="9">
        <v>1</v>
      </c>
      <c r="M47" s="9" t="s">
        <v>24</v>
      </c>
      <c r="N47" s="10" t="s">
        <v>139</v>
      </c>
      <c r="O47" s="9">
        <v>170</v>
      </c>
      <c r="P47" s="12">
        <f t="shared" si="1"/>
        <v>2.55</v>
      </c>
      <c r="Q47" s="5"/>
      <c r="R47" s="5"/>
      <c r="S47" s="5"/>
    </row>
  </sheetData>
  <hyperlinks>
    <hyperlink ref="B40" r:id="rId1" display="CWJ02-Black7Set-BBJ" tooltip="https://sellercentral.amazon.com/skucentral?mSku=CWJ02-Black7Set-BBJ&amp;condition=New&amp;ref_=myp_skuc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YZ</cp:lastModifiedBy>
  <dcterms:created xsi:type="dcterms:W3CDTF">2023-05-12T11:15:00Z</dcterms:created>
  <dcterms:modified xsi:type="dcterms:W3CDTF">2026-02-27T09:22:22Z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B3E0D570714247B0B431A23D7DF803AB_12</vt:lpwstr>
  </property>
  <property fmtid="{D5CDD505-2E9C-101B-9397-08002B2CF9AE}" pid="4" name="CalculationRule">
    <vt:i4>0</vt:i4>
  </property>
</Properties>
</file>