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Revenue+Headcount (ALL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1__123Graph_ACHART_1" hidden="1">'[1]AUGUST''16'!$D$34:$D$50</definedName>
    <definedName name="_2__123Graph_BCHART_1" hidden="1">'[1]AUGUST''16'!$E$34:$E$50</definedName>
    <definedName name="_3__123Graph_CCHART_1" hidden="1">'[1]AUGUST''16'!$L$34:$L$50</definedName>
    <definedName name="_4__123Graph_XCHART_1" hidden="1">'[1]AUGUST''16'!$A$34:$A$50</definedName>
    <definedName name="_5_0equ">[2]statoil!#REF!</definedName>
    <definedName name="_Fill" hidden="1">#REF!</definedName>
    <definedName name="_JBS4">#REF!</definedName>
    <definedName name="_Key1" hidden="1">#REF!</definedName>
    <definedName name="_Key2" hidden="1">[3]Personnel!#REF!</definedName>
    <definedName name="_Order1" hidden="1">255</definedName>
    <definedName name="_Order2" hidden="1">255</definedName>
    <definedName name="_Sort" hidden="1">#REF!</definedName>
    <definedName name="A">[4]fmt!#REF!</definedName>
    <definedName name="aaae">[5]!Macro2</definedName>
    <definedName name="AllRange">#REF!</definedName>
    <definedName name="AUSTRALIA">#REF!</definedName>
    <definedName name="B">[4]fmt!#REF!</definedName>
    <definedName name="cas">#REF!</definedName>
    <definedName name="CCC">#REF!</definedName>
    <definedName name="cccds">[5]!Macro4</definedName>
    <definedName name="CFAC">#REF!</definedName>
    <definedName name="Crew">[6]Personnel!$A$3:$D$37</definedName>
    <definedName name="_xlnm.Criteria">'[1]AUGUST''16'!$A$81:$A$82</definedName>
    <definedName name="datafmt">#REF!</definedName>
    <definedName name="ddsa">[4]fmt!#REF!</definedName>
    <definedName name="EMP">'[7]Start Columns'!$A$1:$B$176</definedName>
    <definedName name="EndRange">#REF!</definedName>
    <definedName name="EQA">#REF!</definedName>
    <definedName name="equip1">#REF!</definedName>
    <definedName name="equip2">#REF!</definedName>
    <definedName name="equip3">#REF!</definedName>
    <definedName name="EWQ">#REF!</definedName>
    <definedName name="EXCHANGE">#REF!</definedName>
    <definedName name="_xlnm.Extract">'[1]AUGUST''16'!$A$65:$G$79</definedName>
    <definedName name="Formation">[4]fmt!#REF!</definedName>
    <definedName name="Hydrostatic">[4]fmt!#REF!</definedName>
    <definedName name="LAST6MTHS">#REF!</definedName>
    <definedName name="Loccode">#REF!</definedName>
    <definedName name="Macro2">[5]!Macro2</definedName>
    <definedName name="Macro4">[5]!Macro4</definedName>
    <definedName name="Macro5">[5]!Macro5</definedName>
    <definedName name="Macro7">[5]!Macro7</definedName>
    <definedName name="nnnh">#REF!</definedName>
    <definedName name="OilCo">#REF!</definedName>
    <definedName name="OpNo">#REF!,#REF!,#REF!,#REF!,#REF!,#REF!,#REF!,#REF!,#REF!,#REF!</definedName>
    <definedName name="PB">'[6]Price Book'!$A$3:$K$135</definedName>
    <definedName name="Permanent">'[8]NIGERIAN LIST'!$AN$14:$AN$16</definedName>
    <definedName name="pers1">#REF!</definedName>
    <definedName name="persequip">#REF!</definedName>
    <definedName name="PRICE">#REF!</definedName>
    <definedName name="prod">'[9]Draw Shade'!$A$4:$F$144</definedName>
    <definedName name="REMOTE">#REF!</definedName>
    <definedName name="saaer">[5]!Macro7</definedName>
    <definedName name="SAMS_99_2">#REF!</definedName>
    <definedName name="SAMS_99_3">#REF!</definedName>
    <definedName name="SAMS_99_4">#REF!</definedName>
    <definedName name="SAMS99_1">#REF!</definedName>
    <definedName name="SO1TOTAL">#REF!,#REF!,#REF!,#REF!,#REF!,#REF!,#REF!,#REF!,#REF!,#REF!</definedName>
    <definedName name="SO2TOTAL">'[2]SO2'!$F$31,'[2]SO2'!$F$40,'[2]SO2'!$F$49,'[2]SO2'!$M$31,'[2]SO2'!$M$40,'[2]SO2'!$M$49,'[2]SO2'!$S$49,'[2]SO2'!$S$40,'[2]SO2'!$S$31,'[2]SO2'!$N$51:$N$58</definedName>
    <definedName name="SO3TOTAL">'[2]SO3'!$F$31,'[2]SO3'!$F$40,'[2]SO3'!$F$49,'[2]SO3'!$M$31,'[2]SO3'!$M$40,'[2]SO3'!$M$49,'[2]SO3'!$S$49,'[2]SO3'!$S$40,'[2]SO3'!$S$31,'[2]SO3'!$N$51:$N$58</definedName>
    <definedName name="SO4TOTAL">'[2]SO4'!$F$31,'[2]SO4'!$F$40,'[2]SO4'!$F$49,'[2]SO4'!$M$31,'[2]SO4'!$M$40,'[2]SO4'!$M$49,'[2]SO4'!$S$49,'[2]SO4'!$S$40,'[2]SO4'!$S$31,'[2]SO4'!$N$51:$N$58</definedName>
    <definedName name="sss">[4]fmt!#REF!</definedName>
    <definedName name="ssss">#REF!</definedName>
    <definedName name="sswwaas">[5]!Macro5</definedName>
    <definedName name="StartRange">#REF!</definedName>
    <definedName name="tod">#REF!</definedName>
    <definedName name="TOOL">#REF!</definedName>
    <definedName name="TOOLS">#REF!</definedName>
    <definedName name="TOTL">'[10]CHARTS DATA'!#REF!</definedName>
    <definedName name="toto">#REF!</definedName>
    <definedName name="TT">'[10]CHARTS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tc={5AE5FF4B-0F32-4C3B-8C73-641FE341B99D}</author>
    <author>tc={277A0BE6-10AB-49A6-BACB-C73F862A42D2}</author>
    <author>tc={BAAC520D-D057-4423-BE02-A25F4655E37A}</author>
    <author>tc={4A33DC57-F4DA-496B-B918-65EFE97A46FB}</author>
    <author>tc={9CC8815E-A598-45DA-8A3B-1D7797E54FB7}</author>
    <author>tc={B151D397-5320-4E45-AD7F-51B80FC2FAF6}</author>
    <author>tc={973D1D69-B3D2-4850-800E-E8EC0C83C527}</author>
    <author>tc={0BE04E27-D70A-4791-9677-D61DFCA26CA3}</author>
    <author>tc={DCA33495-CE4D-4B54-AA61-11865DF0E7D0}</author>
    <author>tc={80176F86-B3FD-49A8-873B-1AE50834BFB6}</author>
    <author>tc={431FBC0A-D275-4597-B205-CDD05EB2FB3B}</author>
    <author>tc={64D85B8B-E872-4C78-8043-226690471DF8}</author>
    <author>tc={9635E1A4-5482-4172-9346-A9AE4E20AB9D}</author>
    <author>tc={6D791A4E-ABDB-4DB4-818C-FA3C3D137D61}</author>
    <author>tc={9713A919-F422-44C8-A850-85C29915030D}</author>
    <author>tc={7F23E280-AA35-4329-A9F8-26CAC61FF5E9}</author>
    <author>tc={AC8ACEA9-1BE9-4C93-B152-D0C1B4E0902E}</author>
  </authors>
  <commentList>
    <comment ref="A1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31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51" authorId="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78" authorId="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97" authorId="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117" authorId="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137" authorId="6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157" authorId="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177" authorId="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197" authorId="9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216" authorId="1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236" authorId="1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262" authorId="1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282" authorId="1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A302" authorId="1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  <comment ref="H317" authorId="15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Lawrence </t>
        </r>
      </text>
    </comment>
    <comment ref="A322" authorId="16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 2022</t>
        </r>
      </text>
    </comment>
  </commentList>
</comments>
</file>

<file path=xl/sharedStrings.xml><?xml version="1.0" encoding="utf-8"?>
<sst xmlns="http://schemas.openxmlformats.org/spreadsheetml/2006/main" count="459" uniqueCount="60">
  <si>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</si>
  <si>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</si>
  <si>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</si>
  <si>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</si>
  <si>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</si>
  <si>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</si>
  <si>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</si>
  <si>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</si>
  <si>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</si>
  <si>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</si>
  <si>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</si>
  <si>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Geoplex</t>
  </si>
  <si>
    <t>Total Revenue</t>
  </si>
  <si>
    <t xml:space="preserve">Compensation Cost </t>
  </si>
  <si>
    <t>Total Head Count - Staff</t>
  </si>
  <si>
    <t>Total Headcount regular Consultant</t>
  </si>
  <si>
    <t>Total Headcount (Staff + Consultant)</t>
  </si>
  <si>
    <t>Revenue Per head (Staff)</t>
  </si>
  <si>
    <t>Revenue Per head (Consultant)</t>
  </si>
  <si>
    <t>Average Revenue Per Head (ALL)</t>
  </si>
  <si>
    <t>Target Revenue Per head - Staff</t>
  </si>
  <si>
    <t>Target Revenue Per head - ALL</t>
  </si>
  <si>
    <t>Average Compensation per Head - Staff</t>
  </si>
  <si>
    <t>Average Compensation per Head - ALL</t>
  </si>
  <si>
    <t>Percentage Comp cost</t>
  </si>
  <si>
    <t>Compensation Cost Growth</t>
  </si>
  <si>
    <t>Headcount Growth Rate</t>
  </si>
  <si>
    <t>Revenue Growth Rate</t>
  </si>
  <si>
    <t>OFS</t>
  </si>
  <si>
    <t>WCS</t>
  </si>
  <si>
    <t>% Change in Revenue per Headcount - Staff</t>
  </si>
  <si>
    <t>% Change in Revenue per Headcount - Conslt</t>
  </si>
  <si>
    <t>% Change in Revenue per Headcount - ALL</t>
  </si>
  <si>
    <t>Headcount Room - Staff</t>
  </si>
  <si>
    <t>Headcount Room - ALL</t>
  </si>
  <si>
    <t>ESW (Eline-Slk-WT)</t>
  </si>
  <si>
    <t>Optimal Headcount - Staff</t>
  </si>
  <si>
    <t>Optimal Headcount (ALL)</t>
  </si>
  <si>
    <t>Drilling (LWD/Bit/Gyro)</t>
  </si>
  <si>
    <t>PPC(Cementing/CT/Completion)</t>
  </si>
  <si>
    <t>Engineering</t>
  </si>
  <si>
    <t>Business Development</t>
  </si>
  <si>
    <t>Finance</t>
  </si>
  <si>
    <t>HR&amp;Admin</t>
  </si>
  <si>
    <t>Logistics -OFS</t>
  </si>
  <si>
    <t>Jul-24</t>
  </si>
  <si>
    <t>Jun-24</t>
  </si>
  <si>
    <t>May-24</t>
  </si>
  <si>
    <t>Apr-24</t>
  </si>
  <si>
    <t>Mar-24</t>
  </si>
  <si>
    <t>Feb-24</t>
  </si>
  <si>
    <t>Jan-24</t>
  </si>
  <si>
    <t>2024</t>
  </si>
  <si>
    <t>2023</t>
  </si>
  <si>
    <t>2022</t>
  </si>
  <si>
    <t>Asset &amp; Inventory - OFS</t>
  </si>
  <si>
    <t>HSEQ</t>
  </si>
  <si>
    <t>Facility</t>
  </si>
  <si>
    <t>Procurement - OFS</t>
  </si>
  <si>
    <t>Mainenance -OFS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</si>
</sst>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#0.00,,,&quot;B&quot;"/>
    <numFmt numFmtId="179" formatCode="#0.0,,&quot;M&quot;"/>
    <numFmt numFmtId="180" formatCode="_(* #,##0_);_(* \(#,##0\);_(* &quot;-&quot;??_);_(@_)"/>
    <numFmt numFmtId="181" formatCode="0.0%"/>
    <numFmt numFmtId="182" formatCode="0.00;[Red]0.00"/>
    <numFmt numFmtId="183" formatCode="0;[Red]0"/>
  </numFmts>
  <fonts count="30">
    <font>
      <sz val="11"/>
      <color theme="1"/>
      <name val="Aptos Narrow"/>
      <charset val="134"/>
      <scheme val="minor"/>
    </font>
    <font>
      <sz val="9"/>
      <color theme="1"/>
      <name val="Lato Regular"/>
      <charset val="134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9"/>
      <color theme="0"/>
      <name val="Lato Regular"/>
      <charset val="134"/>
    </font>
    <font>
      <b/>
      <sz val="9"/>
      <color theme="1"/>
      <name val="Lato Regular"/>
      <charset val="134"/>
    </font>
    <font>
      <b/>
      <sz val="9"/>
      <name val="Lato Regular"/>
      <charset val="134"/>
    </font>
    <font>
      <sz val="11"/>
      <name val="Aptos Narrow"/>
      <charset val="134"/>
      <scheme val="minor"/>
    </font>
    <font>
      <b/>
      <sz val="9"/>
      <color rgb="FF3F3F3F"/>
      <name val="Lato Regular"/>
      <charset val="134"/>
    </font>
    <font>
      <sz val="11"/>
      <color rgb="FFFF0000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u/>
      <sz val="11"/>
      <color theme="10"/>
      <name val="Aptos Narrow"/>
      <charset val="134"/>
      <scheme val="minor"/>
    </font>
    <font>
      <sz val="10"/>
      <name val="Arial"/>
      <charset val="134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/>
    <xf numFmtId="0" fontId="3" fillId="3" borderId="3" applyNumberFormat="0" applyAlignment="0" applyProtection="0"/>
    <xf numFmtId="0" fontId="18" fillId="3" borderId="2" applyNumberFormat="0" applyAlignment="0" applyProtection="0">
      <alignment vertical="center"/>
    </xf>
    <xf numFmtId="0" fontId="19" fillId="5" borderId="50" applyNumberFormat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8" fillId="0" borderId="0"/>
    <xf numFmtId="0" fontId="0" fillId="0" borderId="0"/>
    <xf numFmtId="0" fontId="0" fillId="0" borderId="0"/>
  </cellStyleXfs>
  <cellXfs count="137">
    <xf numFmtId="0" fontId="0" fillId="0" borderId="0" xfId="0"/>
    <xf numFmtId="0" fontId="1" fillId="0" borderId="1" xfId="0" applyFont="1" applyBorder="1"/>
    <xf numFmtId="0" fontId="2" fillId="2" borderId="2" xfId="16" applyAlignment="1">
      <alignment vertical="center"/>
    </xf>
    <xf numFmtId="0" fontId="2" fillId="2" borderId="2" xfId="16" applyAlignment="1">
      <alignment horizontal="right" vertical="center"/>
    </xf>
    <xf numFmtId="0" fontId="3" fillId="3" borderId="3" xfId="17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9" fontId="4" fillId="5" borderId="1" xfId="3" applyFont="1" applyFill="1" applyBorder="1" applyAlignment="1">
      <alignment vertical="center"/>
    </xf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17" fontId="5" fillId="0" borderId="5" xfId="1" applyNumberFormat="1" applyFont="1" applyBorder="1" applyAlignment="1">
      <alignment horizontal="center"/>
    </xf>
    <xf numFmtId="17" fontId="5" fillId="0" borderId="6" xfId="1" applyNumberFormat="1" applyFont="1" applyBorder="1" applyAlignment="1">
      <alignment horizontal="center"/>
    </xf>
    <xf numFmtId="17" fontId="5" fillId="0" borderId="7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center"/>
    </xf>
    <xf numFmtId="0" fontId="2" fillId="2" borderId="10" xfId="16" applyBorder="1" applyAlignment="1">
      <alignment horizontal="left" vertical="center"/>
    </xf>
    <xf numFmtId="178" fontId="2" fillId="2" borderId="11" xfId="16" applyNumberFormat="1" applyBorder="1" applyAlignment="1">
      <alignment horizontal="right" vertical="center"/>
    </xf>
    <xf numFmtId="178" fontId="2" fillId="2" borderId="2" xfId="16" applyNumberFormat="1" applyAlignment="1">
      <alignment horizontal="right" vertical="center"/>
    </xf>
    <xf numFmtId="178" fontId="2" fillId="2" borderId="12" xfId="16" applyNumberFormat="1" applyBorder="1" applyAlignment="1">
      <alignment horizontal="right" vertical="center"/>
    </xf>
    <xf numFmtId="179" fontId="2" fillId="2" borderId="11" xfId="16" applyNumberFormat="1" applyBorder="1" applyAlignment="1">
      <alignment horizontal="right" vertical="center"/>
    </xf>
    <xf numFmtId="179" fontId="2" fillId="2" borderId="2" xfId="16" applyNumberFormat="1" applyAlignment="1">
      <alignment horizontal="right" vertical="center"/>
    </xf>
    <xf numFmtId="179" fontId="2" fillId="2" borderId="12" xfId="16" applyNumberFormat="1" applyBorder="1" applyAlignment="1">
      <alignment horizontal="right" vertical="center"/>
    </xf>
    <xf numFmtId="0" fontId="2" fillId="2" borderId="10" xfId="16" applyNumberFormat="1" applyBorder="1" applyAlignment="1">
      <alignment horizontal="left" vertical="center" wrapText="1"/>
    </xf>
    <xf numFmtId="180" fontId="2" fillId="2" borderId="11" xfId="16" applyNumberFormat="1" applyBorder="1" applyAlignment="1">
      <alignment horizontal="right" vertical="center"/>
    </xf>
    <xf numFmtId="180" fontId="2" fillId="2" borderId="2" xfId="16" applyNumberFormat="1" applyAlignment="1">
      <alignment horizontal="right" vertical="center"/>
    </xf>
    <xf numFmtId="0" fontId="2" fillId="2" borderId="2" xfId="16" applyNumberFormat="1" applyAlignment="1">
      <alignment horizontal="right" vertical="center"/>
    </xf>
    <xf numFmtId="0" fontId="2" fillId="2" borderId="12" xfId="16" applyNumberFormat="1" applyBorder="1" applyAlignment="1">
      <alignment horizontal="right" vertical="center"/>
    </xf>
    <xf numFmtId="0" fontId="2" fillId="2" borderId="12" xfId="16" applyBorder="1" applyAlignment="1">
      <alignment horizontal="right" vertical="center"/>
    </xf>
    <xf numFmtId="0" fontId="2" fillId="2" borderId="11" xfId="16" applyNumberFormat="1" applyBorder="1" applyAlignment="1">
      <alignment horizontal="right" vertical="center"/>
    </xf>
    <xf numFmtId="0" fontId="5" fillId="7" borderId="13" xfId="1" applyNumberFormat="1" applyFont="1" applyFill="1" applyBorder="1" applyAlignment="1">
      <alignment horizontal="left" vertical="center" wrapText="1"/>
    </xf>
    <xf numFmtId="179" fontId="1" fillId="0" borderId="14" xfId="1" applyNumberFormat="1" applyFont="1" applyBorder="1" applyAlignment="1">
      <alignment horizontal="right" vertical="center"/>
    </xf>
    <xf numFmtId="179" fontId="1" fillId="0" borderId="1" xfId="1" applyNumberFormat="1" applyFont="1" applyBorder="1" applyAlignment="1">
      <alignment horizontal="right" vertical="center"/>
    </xf>
    <xf numFmtId="179" fontId="1" fillId="0" borderId="15" xfId="1" applyNumberFormat="1" applyFont="1" applyBorder="1" applyAlignment="1">
      <alignment horizontal="right" vertical="center"/>
    </xf>
    <xf numFmtId="0" fontId="5" fillId="4" borderId="13" xfId="1" applyNumberFormat="1" applyFont="1" applyFill="1" applyBorder="1" applyAlignment="1">
      <alignment horizontal="left" vertical="center" wrapText="1"/>
    </xf>
    <xf numFmtId="179" fontId="1" fillId="4" borderId="14" xfId="1" applyNumberFormat="1" applyFont="1" applyFill="1" applyBorder="1" applyAlignment="1">
      <alignment horizontal="right" vertical="center"/>
    </xf>
    <xf numFmtId="179" fontId="1" fillId="4" borderId="1" xfId="1" applyNumberFormat="1" applyFont="1" applyFill="1" applyBorder="1" applyAlignment="1">
      <alignment horizontal="right" vertical="center"/>
    </xf>
    <xf numFmtId="179" fontId="1" fillId="4" borderId="15" xfId="1" applyNumberFormat="1" applyFont="1" applyFill="1" applyBorder="1" applyAlignment="1">
      <alignment horizontal="right" vertical="center"/>
    </xf>
    <xf numFmtId="181" fontId="1" fillId="0" borderId="14" xfId="3" applyNumberFormat="1" applyFont="1" applyBorder="1" applyAlignment="1">
      <alignment horizontal="right" vertical="center"/>
    </xf>
    <xf numFmtId="181" fontId="1" fillId="0" borderId="1" xfId="3" applyNumberFormat="1" applyFont="1" applyBorder="1" applyAlignment="1">
      <alignment horizontal="right" vertical="center"/>
    </xf>
    <xf numFmtId="181" fontId="1" fillId="0" borderId="15" xfId="3" applyNumberFormat="1" applyFont="1" applyBorder="1" applyAlignment="1">
      <alignment horizontal="right" vertical="center"/>
    </xf>
    <xf numFmtId="9" fontId="6" fillId="5" borderId="16" xfId="3" applyFont="1" applyFill="1" applyBorder="1" applyAlignment="1">
      <alignment horizontal="left" vertical="center" wrapText="1"/>
    </xf>
    <xf numFmtId="9" fontId="6" fillId="5" borderId="1" xfId="3" applyFont="1" applyFill="1" applyBorder="1" applyAlignment="1">
      <alignment horizontal="right" vertical="center"/>
    </xf>
    <xf numFmtId="9" fontId="6" fillId="5" borderId="15" xfId="3" applyFont="1" applyFill="1" applyBorder="1" applyAlignment="1">
      <alignment horizontal="right" vertical="center"/>
    </xf>
    <xf numFmtId="9" fontId="6" fillId="5" borderId="17" xfId="3" applyFont="1" applyFill="1" applyBorder="1" applyAlignment="1">
      <alignment horizontal="left" vertical="center" wrapText="1"/>
    </xf>
    <xf numFmtId="17" fontId="5" fillId="0" borderId="18" xfId="1" applyNumberFormat="1" applyFont="1" applyBorder="1" applyAlignment="1">
      <alignment horizontal="center"/>
    </xf>
    <xf numFmtId="179" fontId="7" fillId="2" borderId="2" xfId="16" applyNumberFormat="1" applyFont="1" applyAlignment="1">
      <alignment horizontal="right" vertical="center"/>
    </xf>
    <xf numFmtId="179" fontId="7" fillId="2" borderId="12" xfId="16" applyNumberFormat="1" applyFont="1" applyBorder="1" applyAlignment="1">
      <alignment horizontal="right" vertical="center"/>
    </xf>
    <xf numFmtId="9" fontId="4" fillId="5" borderId="13" xfId="3" applyFont="1" applyFill="1" applyBorder="1" applyAlignment="1">
      <alignment horizontal="left" vertical="center" wrapText="1"/>
    </xf>
    <xf numFmtId="9" fontId="4" fillId="5" borderId="14" xfId="3" applyFont="1" applyFill="1" applyBorder="1" applyAlignment="1">
      <alignment horizontal="right" vertical="center"/>
    </xf>
    <xf numFmtId="9" fontId="4" fillId="5" borderId="1" xfId="3" applyFont="1" applyFill="1" applyBorder="1" applyAlignment="1">
      <alignment horizontal="right" vertical="center"/>
    </xf>
    <xf numFmtId="9" fontId="4" fillId="5" borderId="15" xfId="3" applyFont="1" applyFill="1" applyBorder="1" applyAlignment="1">
      <alignment horizontal="right" vertical="center"/>
    </xf>
    <xf numFmtId="9" fontId="4" fillId="5" borderId="19" xfId="3" applyFont="1" applyFill="1" applyBorder="1" applyAlignment="1">
      <alignment horizontal="right" vertical="center"/>
    </xf>
    <xf numFmtId="9" fontId="4" fillId="5" borderId="20" xfId="3" applyFont="1" applyFill="1" applyBorder="1" applyAlignment="1">
      <alignment horizontal="left" vertical="center" wrapText="1"/>
    </xf>
    <xf numFmtId="9" fontId="4" fillId="5" borderId="21" xfId="3" applyFont="1" applyFill="1" applyBorder="1" applyAlignment="1">
      <alignment horizontal="right" vertical="center"/>
    </xf>
    <xf numFmtId="9" fontId="4" fillId="5" borderId="22" xfId="3" applyFont="1" applyFill="1" applyBorder="1" applyAlignment="1">
      <alignment horizontal="right" vertical="center"/>
    </xf>
    <xf numFmtId="9" fontId="4" fillId="5" borderId="23" xfId="3" applyFont="1" applyFill="1" applyBorder="1" applyAlignment="1">
      <alignment horizontal="right" vertical="center"/>
    </xf>
    <xf numFmtId="179" fontId="7" fillId="2" borderId="11" xfId="16" applyNumberFormat="1" applyFont="1" applyBorder="1" applyAlignment="1">
      <alignment horizontal="right" vertical="center"/>
    </xf>
    <xf numFmtId="9" fontId="1" fillId="0" borderId="14" xfId="3" applyFont="1" applyBorder="1" applyAlignment="1">
      <alignment horizontal="right" vertical="center"/>
    </xf>
    <xf numFmtId="9" fontId="1" fillId="0" borderId="1" xfId="3" applyFont="1" applyBorder="1" applyAlignment="1">
      <alignment horizontal="right" vertical="center"/>
    </xf>
    <xf numFmtId="9" fontId="1" fillId="0" borderId="15" xfId="3" applyFont="1" applyBorder="1" applyAlignment="1">
      <alignment horizontal="right" vertical="center"/>
    </xf>
    <xf numFmtId="182" fontId="8" fillId="3" borderId="13" xfId="17" applyNumberFormat="1" applyFont="1" applyBorder="1" applyAlignment="1">
      <alignment horizontal="left" vertical="center" wrapText="1"/>
    </xf>
    <xf numFmtId="183" fontId="8" fillId="3" borderId="14" xfId="17" applyNumberFormat="1" applyFont="1" applyBorder="1" applyAlignment="1">
      <alignment horizontal="right" vertical="center"/>
    </xf>
    <xf numFmtId="183" fontId="8" fillId="3" borderId="1" xfId="17" applyNumberFormat="1" applyFont="1" applyBorder="1" applyAlignment="1">
      <alignment horizontal="right" vertical="center"/>
    </xf>
    <xf numFmtId="183" fontId="8" fillId="3" borderId="15" xfId="17" applyNumberFormat="1" applyFont="1" applyBorder="1" applyAlignment="1">
      <alignment horizontal="right" vertical="center"/>
    </xf>
    <xf numFmtId="0" fontId="5" fillId="0" borderId="24" xfId="1" applyNumberFormat="1" applyFont="1" applyBorder="1" applyAlignment="1">
      <alignment horizontal="center"/>
    </xf>
    <xf numFmtId="178" fontId="7" fillId="2" borderId="11" xfId="16" applyNumberFormat="1" applyFont="1" applyBorder="1" applyAlignment="1">
      <alignment horizontal="right" vertical="center"/>
    </xf>
    <xf numFmtId="178" fontId="7" fillId="2" borderId="2" xfId="16" applyNumberFormat="1" applyFont="1" applyAlignment="1">
      <alignment horizontal="right" vertical="center"/>
    </xf>
    <xf numFmtId="178" fontId="7" fillId="2" borderId="25" xfId="16" applyNumberFormat="1" applyFont="1" applyBorder="1" applyAlignment="1">
      <alignment horizontal="right" vertical="center"/>
    </xf>
    <xf numFmtId="179" fontId="2" fillId="2" borderId="25" xfId="16" applyNumberFormat="1" applyBorder="1" applyAlignment="1">
      <alignment horizontal="right" vertical="center"/>
    </xf>
    <xf numFmtId="0" fontId="2" fillId="2" borderId="25" xfId="16" applyNumberFormat="1" applyBorder="1" applyAlignment="1">
      <alignment horizontal="right" vertical="center"/>
    </xf>
    <xf numFmtId="179" fontId="1" fillId="0" borderId="26" xfId="1" applyNumberFormat="1" applyFont="1" applyBorder="1" applyAlignment="1">
      <alignment horizontal="right" vertical="center"/>
    </xf>
    <xf numFmtId="179" fontId="1" fillId="4" borderId="26" xfId="1" applyNumberFormat="1" applyFont="1" applyFill="1" applyBorder="1" applyAlignment="1">
      <alignment horizontal="right" vertical="center"/>
    </xf>
    <xf numFmtId="181" fontId="1" fillId="0" borderId="26" xfId="3" applyNumberFormat="1" applyFont="1" applyBorder="1" applyAlignment="1">
      <alignment horizontal="right" vertical="center"/>
    </xf>
    <xf numFmtId="9" fontId="6" fillId="5" borderId="14" xfId="3" applyFont="1" applyFill="1" applyBorder="1" applyAlignment="1">
      <alignment horizontal="right" vertical="center"/>
    </xf>
    <xf numFmtId="9" fontId="6" fillId="5" borderId="26" xfId="3" applyFont="1" applyFill="1" applyBorder="1" applyAlignment="1">
      <alignment horizontal="right" vertical="center"/>
    </xf>
    <xf numFmtId="9" fontId="6" fillId="5" borderId="27" xfId="3" applyFont="1" applyFill="1" applyBorder="1" applyAlignment="1">
      <alignment horizontal="right" vertical="center"/>
    </xf>
    <xf numFmtId="9" fontId="6" fillId="5" borderId="28" xfId="3" applyFont="1" applyFill="1" applyBorder="1" applyAlignment="1">
      <alignment horizontal="right" vertical="center"/>
    </xf>
    <xf numFmtId="9" fontId="6" fillId="5" borderId="29" xfId="3" applyFont="1" applyFill="1" applyBorder="1" applyAlignment="1">
      <alignment horizontal="right" vertical="center"/>
    </xf>
    <xf numFmtId="178" fontId="7" fillId="2" borderId="12" xfId="16" applyNumberFormat="1" applyFont="1" applyBorder="1" applyAlignment="1">
      <alignment horizontal="right" vertical="center"/>
    </xf>
    <xf numFmtId="37" fontId="2" fillId="2" borderId="2" xfId="16" applyNumberFormat="1" applyAlignment="1">
      <alignment horizontal="right" vertical="center"/>
    </xf>
    <xf numFmtId="37" fontId="2" fillId="2" borderId="12" xfId="16" applyNumberFormat="1" applyBorder="1" applyAlignment="1">
      <alignment horizontal="right" vertical="center"/>
    </xf>
    <xf numFmtId="178" fontId="9" fillId="2" borderId="2" xfId="16" applyNumberFormat="1" applyFont="1" applyAlignment="1">
      <alignment horizontal="right" vertical="center"/>
    </xf>
    <xf numFmtId="178" fontId="9" fillId="2" borderId="12" xfId="16" applyNumberFormat="1" applyFont="1" applyBorder="1" applyAlignment="1">
      <alignment horizontal="right" vertical="center"/>
    </xf>
    <xf numFmtId="180" fontId="2" fillId="2" borderId="12" xfId="16" applyNumberFormat="1" applyBorder="1" applyAlignment="1">
      <alignment horizontal="right" vertical="center"/>
    </xf>
    <xf numFmtId="9" fontId="6" fillId="5" borderId="21" xfId="3" applyFont="1" applyFill="1" applyBorder="1" applyAlignment="1">
      <alignment horizontal="right" vertical="center"/>
    </xf>
    <xf numFmtId="0" fontId="2" fillId="2" borderId="11" xfId="16" applyBorder="1" applyAlignment="1">
      <alignment horizontal="right" vertical="center"/>
    </xf>
    <xf numFmtId="0" fontId="3" fillId="3" borderId="30" xfId="17" applyNumberFormat="1" applyBorder="1" applyAlignment="1">
      <alignment horizontal="left" vertical="center" wrapText="1"/>
    </xf>
    <xf numFmtId="1" fontId="3" fillId="3" borderId="31" xfId="17" applyNumberFormat="1" applyBorder="1" applyAlignment="1">
      <alignment horizontal="right" vertical="center"/>
    </xf>
    <xf numFmtId="1" fontId="3" fillId="3" borderId="3" xfId="17" applyNumberFormat="1" applyAlignment="1">
      <alignment horizontal="right" vertical="center"/>
    </xf>
    <xf numFmtId="1" fontId="3" fillId="3" borderId="32" xfId="17" applyNumberFormat="1" applyBorder="1" applyAlignment="1">
      <alignment horizontal="right" vertical="center"/>
    </xf>
    <xf numFmtId="0" fontId="5" fillId="0" borderId="33" xfId="0" applyFont="1" applyBorder="1" applyAlignment="1">
      <alignment horizontal="center" vertical="center"/>
    </xf>
    <xf numFmtId="0" fontId="2" fillId="2" borderId="34" xfId="16" applyBorder="1" applyAlignment="1">
      <alignment horizontal="left" vertical="center"/>
    </xf>
    <xf numFmtId="178" fontId="7" fillId="2" borderId="35" xfId="16" applyNumberFormat="1" applyFont="1" applyBorder="1" applyAlignment="1">
      <alignment horizontal="right" vertical="center"/>
    </xf>
    <xf numFmtId="178" fontId="7" fillId="2" borderId="36" xfId="16" applyNumberFormat="1" applyFont="1" applyBorder="1" applyAlignment="1">
      <alignment horizontal="right" vertical="center"/>
    </xf>
    <xf numFmtId="178" fontId="7" fillId="2" borderId="37" xfId="16" applyNumberFormat="1" applyFont="1" applyBorder="1" applyAlignment="1">
      <alignment horizontal="right" vertical="center"/>
    </xf>
    <xf numFmtId="179" fontId="7" fillId="2" borderId="25" xfId="16" applyNumberFormat="1" applyFont="1" applyBorder="1" applyAlignment="1">
      <alignment horizontal="right" vertical="center"/>
    </xf>
    <xf numFmtId="0" fontId="2" fillId="2" borderId="34" xfId="16" applyNumberFormat="1" applyBorder="1" applyAlignment="1">
      <alignment horizontal="left" vertical="center" wrapText="1"/>
    </xf>
    <xf numFmtId="0" fontId="2" fillId="2" borderId="25" xfId="16" applyBorder="1" applyAlignment="1">
      <alignment horizontal="right" vertical="center"/>
    </xf>
    <xf numFmtId="0" fontId="5" fillId="7" borderId="38" xfId="1" applyNumberFormat="1" applyFont="1" applyFill="1" applyBorder="1" applyAlignment="1">
      <alignment horizontal="left" vertical="center" wrapText="1"/>
    </xf>
    <xf numFmtId="0" fontId="5" fillId="4" borderId="38" xfId="1" applyNumberFormat="1" applyFont="1" applyFill="1" applyBorder="1" applyAlignment="1">
      <alignment horizontal="left" vertical="center" wrapText="1"/>
    </xf>
    <xf numFmtId="9" fontId="4" fillId="5" borderId="38" xfId="3" applyFont="1" applyFill="1" applyBorder="1" applyAlignment="1">
      <alignment horizontal="left" vertical="center" wrapText="1"/>
    </xf>
    <xf numFmtId="9" fontId="4" fillId="5" borderId="26" xfId="3" applyFont="1" applyFill="1" applyBorder="1" applyAlignment="1">
      <alignment horizontal="right" vertical="center"/>
    </xf>
    <xf numFmtId="9" fontId="4" fillId="5" borderId="38" xfId="3" applyFont="1" applyFill="1" applyBorder="1" applyAlignment="1">
      <alignment horizontal="right" vertical="center"/>
    </xf>
    <xf numFmtId="9" fontId="4" fillId="5" borderId="39" xfId="3" applyFont="1" applyFill="1" applyBorder="1" applyAlignment="1">
      <alignment horizontal="left" vertical="center" wrapText="1"/>
    </xf>
    <xf numFmtId="9" fontId="4" fillId="5" borderId="40" xfId="3" applyFont="1" applyFill="1" applyBorder="1" applyAlignment="1">
      <alignment horizontal="right" vertical="center"/>
    </xf>
    <xf numFmtId="17" fontId="5" fillId="0" borderId="41" xfId="1" applyNumberFormat="1" applyFont="1" applyBorder="1" applyAlignment="1">
      <alignment horizontal="center"/>
    </xf>
    <xf numFmtId="180" fontId="2" fillId="2" borderId="25" xfId="16" applyNumberFormat="1" applyBorder="1" applyAlignment="1">
      <alignment horizontal="right" vertical="center"/>
    </xf>
    <xf numFmtId="178" fontId="2" fillId="2" borderId="35" xfId="16" applyNumberFormat="1" applyBorder="1" applyAlignment="1">
      <alignment horizontal="right" vertical="center"/>
    </xf>
    <xf numFmtId="178" fontId="2" fillId="2" borderId="36" xfId="16" applyNumberFormat="1" applyBorder="1" applyAlignment="1">
      <alignment horizontal="right" vertical="center"/>
    </xf>
    <xf numFmtId="178" fontId="2" fillId="2" borderId="37" xfId="16" applyNumberFormat="1" applyBorder="1" applyAlignment="1">
      <alignment horizontal="right" vertical="center"/>
    </xf>
    <xf numFmtId="178" fontId="2" fillId="2" borderId="25" xfId="16" applyNumberFormat="1" applyBorder="1" applyAlignment="1">
      <alignment horizontal="right" vertical="center"/>
    </xf>
    <xf numFmtId="178" fontId="2" fillId="2" borderId="42" xfId="16" applyNumberFormat="1" applyBorder="1" applyAlignment="1">
      <alignment horizontal="right" vertical="center"/>
    </xf>
    <xf numFmtId="179" fontId="2" fillId="2" borderId="42" xfId="16" applyNumberFormat="1" applyBorder="1" applyAlignment="1">
      <alignment horizontal="right" vertical="center"/>
    </xf>
    <xf numFmtId="180" fontId="2" fillId="2" borderId="42" xfId="16" applyNumberFormat="1" applyBorder="1" applyAlignment="1">
      <alignment horizontal="right" vertical="center"/>
    </xf>
    <xf numFmtId="0" fontId="2" fillId="2" borderId="42" xfId="16" applyNumberFormat="1" applyBorder="1" applyAlignment="1">
      <alignment horizontal="right" vertical="center"/>
    </xf>
    <xf numFmtId="179" fontId="1" fillId="0" borderId="43" xfId="1" applyNumberFormat="1" applyFont="1" applyBorder="1" applyAlignment="1">
      <alignment horizontal="right" vertical="center"/>
    </xf>
    <xf numFmtId="179" fontId="1" fillId="4" borderId="43" xfId="1" applyNumberFormat="1" applyFont="1" applyFill="1" applyBorder="1" applyAlignment="1">
      <alignment horizontal="right" vertical="center"/>
    </xf>
    <xf numFmtId="181" fontId="1" fillId="0" borderId="43" xfId="3" applyNumberFormat="1" applyFont="1" applyBorder="1" applyAlignment="1">
      <alignment horizontal="right" vertical="center"/>
    </xf>
    <xf numFmtId="9" fontId="4" fillId="5" borderId="43" xfId="3" applyFont="1" applyFill="1" applyBorder="1" applyAlignment="1">
      <alignment horizontal="right" vertical="center"/>
    </xf>
    <xf numFmtId="9" fontId="4" fillId="5" borderId="44" xfId="3" applyFont="1" applyFill="1" applyBorder="1" applyAlignment="1">
      <alignment horizontal="right" vertical="center"/>
    </xf>
    <xf numFmtId="179" fontId="9" fillId="2" borderId="42" xfId="16" applyNumberFormat="1" applyFont="1" applyBorder="1" applyAlignment="1">
      <alignment horizontal="right" vertical="center"/>
    </xf>
    <xf numFmtId="179" fontId="9" fillId="2" borderId="2" xfId="16" applyNumberFormat="1" applyFont="1" applyAlignment="1">
      <alignment horizontal="right" vertical="center"/>
    </xf>
    <xf numFmtId="179" fontId="9" fillId="2" borderId="12" xfId="16" applyNumberFormat="1" applyFont="1" applyBorder="1" applyAlignment="1">
      <alignment horizontal="right" vertical="center"/>
    </xf>
    <xf numFmtId="179" fontId="9" fillId="2" borderId="11" xfId="16" applyNumberFormat="1" applyFont="1" applyBorder="1" applyAlignment="1">
      <alignment horizontal="right" vertical="center"/>
    </xf>
    <xf numFmtId="9" fontId="5" fillId="5" borderId="13" xfId="3" applyFont="1" applyFill="1" applyBorder="1" applyAlignment="1">
      <alignment horizontal="left" vertical="center" wrapText="1"/>
    </xf>
    <xf numFmtId="9" fontId="5" fillId="5" borderId="43" xfId="3" applyFont="1" applyFill="1" applyBorder="1" applyAlignment="1">
      <alignment horizontal="right" vertical="center"/>
    </xf>
    <xf numFmtId="9" fontId="5" fillId="5" borderId="1" xfId="3" applyFont="1" applyFill="1" applyBorder="1" applyAlignment="1">
      <alignment horizontal="right" vertical="center"/>
    </xf>
    <xf numFmtId="9" fontId="5" fillId="5" borderId="15" xfId="3" applyFont="1" applyFill="1" applyBorder="1" applyAlignment="1">
      <alignment horizontal="right" vertical="center"/>
    </xf>
    <xf numFmtId="9" fontId="5" fillId="5" borderId="14" xfId="3" applyFont="1" applyFill="1" applyBorder="1" applyAlignment="1">
      <alignment horizontal="right" vertical="center"/>
    </xf>
    <xf numFmtId="9" fontId="5" fillId="5" borderId="19" xfId="3" applyFont="1" applyFill="1" applyBorder="1" applyAlignment="1">
      <alignment horizontal="right" vertical="center"/>
    </xf>
    <xf numFmtId="9" fontId="5" fillId="5" borderId="45" xfId="3" applyFont="1" applyFill="1" applyBorder="1" applyAlignment="1">
      <alignment horizontal="left" vertical="center" wrapText="1"/>
    </xf>
    <xf numFmtId="179" fontId="7" fillId="2" borderId="42" xfId="16" applyNumberFormat="1" applyFont="1" applyBorder="1" applyAlignment="1">
      <alignment horizontal="right" vertical="center"/>
    </xf>
    <xf numFmtId="9" fontId="1" fillId="0" borderId="43" xfId="3" applyFont="1" applyBorder="1" applyAlignment="1">
      <alignment horizontal="right" vertical="center"/>
    </xf>
    <xf numFmtId="183" fontId="8" fillId="3" borderId="43" xfId="17" applyNumberFormat="1" applyFont="1" applyBorder="1" applyAlignment="1">
      <alignment horizontal="right" vertical="center"/>
    </xf>
    <xf numFmtId="9" fontId="5" fillId="5" borderId="21" xfId="3" applyFont="1" applyFill="1" applyBorder="1" applyAlignment="1">
      <alignment horizontal="right" vertical="center"/>
    </xf>
    <xf numFmtId="9" fontId="5" fillId="5" borderId="28" xfId="3" applyFont="1" applyFill="1" applyBorder="1" applyAlignment="1">
      <alignment horizontal="right" vertical="center"/>
    </xf>
    <xf numFmtId="9" fontId="5" fillId="5" borderId="46" xfId="3" applyFont="1" applyFill="1" applyBorder="1" applyAlignment="1">
      <alignment horizontal="right"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2 2" xfId="50"/>
    <cellStyle name="Comma 3" xfId="51"/>
    <cellStyle name="Hyperlink 2" xfId="52"/>
    <cellStyle name="Normal 2" xfId="53"/>
    <cellStyle name="Normal 3" xfId="54"/>
    <cellStyle name="Normal 3 2" xfId="55"/>
  </cellStyles>
  <dxfs count="58"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/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left" vertical="center" wrapText="1"/>
      <border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Lato Regular"/>
        <scheme val="none"/>
        <b val="1"/>
        <i val="0"/>
        <strike val="0"/>
        <u val="none"/>
        <sz val="9"/>
        <color theme="0"/>
      </font>
      <fill>
        <patternFill patternType="solid">
          <bgColor rgb="FFA5A5A5"/>
        </patternFill>
      </fill>
      <alignment horizontal="right" vertical="center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</font>
      <fill>
        <patternFill patternType="solid">
          <bgColor rgb="FF99FF99"/>
        </patternFill>
      </fill>
    </dxf>
    <dxf>
      <font>
        <b val="1"/>
        <i val="0"/>
      </font>
      <fill>
        <patternFill patternType="solid">
          <bgColor rgb="FFFFCCFF"/>
        </patternFill>
      </fill>
    </dxf>
    <dxf>
      <font>
        <b val="1"/>
        <i val="0"/>
        <color theme="1"/>
      </font>
      <fill>
        <patternFill patternType="solid">
          <bgColor rgb="FFFFCCFF"/>
        </patternFill>
      </fill>
    </dxf>
    <dxf>
      <font>
        <b val="1"/>
        <i val="0"/>
        <color auto="1"/>
      </font>
      <fill>
        <patternFill patternType="solid">
          <bgColor rgb="FF99FF99"/>
        </patternFill>
      </fill>
    </dxf>
    <dxf>
      <font>
        <b val="1"/>
        <i val="0"/>
        <color theme="1"/>
      </font>
      <fill>
        <patternFill patternType="solid">
          <bgColor rgb="FF99FF9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EA298"/>
        </patternFill>
      </fill>
    </dxf>
    <dxf>
      <font>
        <b val="1"/>
        <i val="0"/>
      </font>
      <fill>
        <patternFill patternType="solid">
          <bgColor theme="6" tint="0.599963377788629"/>
        </patternFill>
      </fill>
    </dxf>
  </dxfs>
  <tableStyles count="0" defaultTableStyle="TableStyleMedium2" defaultPivotStyle="PivotStyleLight16"/>
  <colors>
    <mruColors>
      <color rgb="0099FF99"/>
      <color rgb="00FFCCFF"/>
      <color rgb="00FEA298"/>
      <color rgb="00F92313"/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for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hioma.Iwuji\Documents\NEW%20ROLE\FINANCE%20MANUAL\MPR\MPR%202022\Copy%20of%20MPR-NOV%20%202022%20NEW%20TEMPLATE--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S.DIR\J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ined Monthly 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's%20Documents\Clients\Shell%20West\Otumara%2046%20Int\2475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ALS\MISC\JOBPAP~1.XL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oplex\Rig%20Book\Tayo\Clients\Chevron\Dem%20Dec%20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's%20Documents\Clients\Shell%20West\Otumara%2046%20Int\Paperwork%20Origio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race.ejeje\Desktop\New%20folder%20(2)\staff_upload%20(1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ns%20Ops\Finance\Invoices\NEXEN\CPRN%20Feb%202001%20Invoi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 Columns"/>
      <sheetName val="Draw Shade"/>
      <sheetName val="AUGUST'16"/>
      <sheetName val="SEPTEMBER'16"/>
      <sheetName val="DECEMBER'16"/>
      <sheetName val="JANUARY '17"/>
      <sheetName val="JANUARY'16"/>
      <sheetName val="FEBRUARY '17 "/>
      <sheetName val="FEBRUARY'16"/>
      <sheetName val="MARCH'16"/>
      <sheetName val="APRIL '17"/>
      <sheetName val="APRIL'16"/>
      <sheetName val="MAY '17"/>
      <sheetName val="JUNE'16"/>
      <sheetName val="JULY '17 "/>
      <sheetName val="JULY'16"/>
      <sheetName val="AUGUST '17"/>
      <sheetName val="SEPTEMBER '17 "/>
      <sheetName val="OCTOBER '17 "/>
      <sheetName val="OCTOBER'16"/>
      <sheetName val="NOVEMBER '16"/>
      <sheetName val="DECEMBER '17"/>
      <sheetName val="JANUARY '18"/>
      <sheetName val="FEBRUARY '18 "/>
      <sheetName val="MARCH '18"/>
      <sheetName val="MARCH '17"/>
      <sheetName val="APRIL '18"/>
      <sheetName val="MAY '18"/>
      <sheetName val="JUNE '18"/>
      <sheetName val="JULY '18"/>
      <sheetName val="AUG '18"/>
      <sheetName val="SEPT '18 "/>
      <sheetName val="OCT '18"/>
      <sheetName val="NOV '18"/>
      <sheetName val="NOVEMBER '17"/>
      <sheetName val="DEC '18 "/>
      <sheetName val="JAN '19"/>
      <sheetName val="FEB '19"/>
      <sheetName val="MAR '19"/>
      <sheetName val="APR '19"/>
      <sheetName val="NGN-USD COMPARE"/>
      <sheetName val="SHARED COST"/>
      <sheetName val="DEP &amp; INS"/>
      <sheetName val="WORKINGS"/>
      <sheetName val="USED TICKETS"/>
      <sheetName val="CHARTS DATA"/>
      <sheetName val="UNINVOICED TICKET SUMMARY "/>
      <sheetName val="APR 2019 DEP RUN"/>
      <sheetName val="INCOME STATEMENT MAR '19 "/>
      <sheetName val="STATEMENT OF MARGIN"/>
      <sheetName val="JUNE '17"/>
      <sheetName val="JULY '18 DEP RUN"/>
      <sheetName val="OCT DEP RUN"/>
      <sheetName val="SEPT 2018 DEP RUN"/>
      <sheetName val="USED TICKETS SUMMARY"/>
      <sheetName val="USD_COMPARE"/>
      <sheetName val="COS WIRELINE JULY 2018"/>
      <sheetName val="COS GYRO JULY 2018"/>
      <sheetName val="COS MWD JULY 2018"/>
      <sheetName val="COS ONSHORE JULY 2018"/>
      <sheetName val="COS DRIVER JULY 2018"/>
      <sheetName val="COS SLICKLINE JULY 2018"/>
      <sheetName val="COS WIRELINE JUNE 2018"/>
      <sheetName val="COS MWD JUNE 2018"/>
      <sheetName val="COS ONSHORE JUNE 2018"/>
      <sheetName val="COS DRIVERS JUNE 2018"/>
      <sheetName val="COS SLICKLINE JUNE 2018"/>
      <sheetName val="COS WIRELINE MAY 2018"/>
      <sheetName val="COS GYRO MAY 2018"/>
      <sheetName val="COS ONSHORE MAY 2018"/>
      <sheetName val="COS DRIVERS MAY 2018"/>
      <sheetName val="COS SLICKLINE MAY 2018"/>
      <sheetName val="COS WIRELINE APRIL '18"/>
      <sheetName val="COS GYRO APRIL '18"/>
      <sheetName val="COS MWD APRIL '18"/>
      <sheetName val="COS ONSHORE APRIL '18"/>
      <sheetName val="COS DRIVERS APRIL '18"/>
      <sheetName val="COS SLICKLINE APRIL '18"/>
      <sheetName val="COS WIRELINE MAR '18"/>
      <sheetName val="COS MWD MAR '18"/>
      <sheetName val="COS ONSHORE MAR '18"/>
      <sheetName val="COS DRIVER MAR '18"/>
      <sheetName val="COS WIRELINE FEB 2018"/>
      <sheetName val="COS MWD FEB 2018"/>
      <sheetName val="COS ONSHORE FEB 18"/>
      <sheetName val="COS DRIVER FEB 18"/>
      <sheetName val="JAN '18 COS WIRELINE"/>
      <sheetName val="COS MWD JAN '18"/>
      <sheetName val="COS ONSHORE JAN '18"/>
      <sheetName val="COS DRIVERS JAN'18"/>
      <sheetName val="JAN'15"/>
      <sheetName val="MAY'16"/>
      <sheetName val="COST RECONCILIATION DEC 2017"/>
      <sheetName val="DEP RUN"/>
      <sheetName val="DEP_RUN"/>
      <sheetName val="INCOME STATEMENT JAN'16"/>
      <sheetName val="INCOME STATEMENT FEB'16"/>
      <sheetName val="INCOME STATEMENT FOR AUGUST"/>
      <sheetName val="INCOME STATEMENT FOR SEPTEMBER"/>
      <sheetName val="INCOME STATEMENT FOR OCTOBER"/>
      <sheetName val="INCOME STATEMENT FOR NOVEMBER"/>
      <sheetName val="INCOME STM FOR DEC"/>
      <sheetName val="WIRELINE COST NOV"/>
      <sheetName val="MWD COST NOV"/>
      <sheetName val="WIRELINE COS REVISED SEPT"/>
      <sheetName val="MWD COST SEPT"/>
      <sheetName val="THIRD PARTY PAYMENT"/>
      <sheetName val="INCOME STATEMENT FOR APRIL"/>
      <sheetName val="Income Stmnt for May"/>
      <sheetName val="Income Stmnt for JUNE"/>
      <sheetName val="INCOME STATEMENT FOR JULY"/>
      <sheetName val="SALES &amp; COS WIRELINE DEC"/>
      <sheetName val="COS MWD DEC"/>
      <sheetName val="SALES &amp; COS MWD DEC"/>
      <sheetName val="3RD PARTY COST FOR JAN'16"/>
      <sheetName val="3RD PARTY COST FOR FEB'16"/>
      <sheetName val="INCOME STATEMENT MAR'16"/>
      <sheetName val="INCOME STATEMENT APRIL'16"/>
      <sheetName val="INCOME STATEMENT MAY'16"/>
      <sheetName val="INCOME STATEMENT JUNE'16"/>
      <sheetName val="INCOME STATEMENT JULY'16"/>
      <sheetName val="INCOME STATEMENT AUG'16"/>
      <sheetName val="MWD THIRD PARTY COST"/>
      <sheetName val="INCOME STATEMENT SEPT'16 "/>
      <sheetName val="INCOME STATEMENT OCT'16"/>
      <sheetName val="INCOME STATEMENT NOV'16"/>
      <sheetName val="INCOME STATEMENT DEC'16"/>
      <sheetName val="INCOME STATEMENT JAN'17"/>
      <sheetName val="INCOME STATEMENT FEB'17"/>
      <sheetName val="INCOME STATEMENT MAR'17 "/>
      <sheetName val="INCOME STATEMENT APR'17 "/>
      <sheetName val="COS MWD FEB 2017"/>
      <sheetName val="THIRD PARTY COST FOR MWD JAN'17"/>
      <sheetName val="Sheet2"/>
      <sheetName val="A"/>
      <sheetName val="JAN'14"/>
      <sheetName val="FEB'15"/>
      <sheetName val="MAR'15"/>
      <sheetName val="APRIL'15"/>
      <sheetName val="MAY'15 "/>
      <sheetName val="JUNE'15"/>
      <sheetName val="JULY'15"/>
      <sheetName val="AUGUST'15"/>
      <sheetName val="SEPTEMBER'15"/>
      <sheetName val="OCTOBER'15"/>
      <sheetName val="NOVEMBER'15 "/>
      <sheetName val="DECEMBER'15 "/>
      <sheetName val="NGN_COMPARE"/>
      <sheetName val="UNINVOICED TICKET SUMMARY 1"/>
      <sheetName val="INCOME STATEMENT NOV'17 "/>
      <sheetName val="COS WIR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tart Columns"/>
      <sheetName val="Draw Shade"/>
      <sheetName val="AUGUST'16"/>
      <sheetName val="SEPTEMBER'16"/>
      <sheetName val="DECEMBER'16"/>
      <sheetName val="JANUARY '17"/>
      <sheetName val="JANUARY'16"/>
      <sheetName val="FEBRUARY '17 "/>
      <sheetName val="FEBRUARY'16"/>
      <sheetName val="MARCH'16"/>
      <sheetName val="APRIL '17"/>
      <sheetName val="APRIL'16"/>
      <sheetName val="MAY '17"/>
      <sheetName val="JUNE'16"/>
      <sheetName val="JULY '17 "/>
      <sheetName val="JULY'16"/>
      <sheetName val="AUGUST '17"/>
      <sheetName val="SEPTEMBER '17 "/>
      <sheetName val="OCTOBER '17 "/>
      <sheetName val="OCTOBER'16"/>
      <sheetName val="NOVEMBER '16"/>
      <sheetName val="DECEMBER '17"/>
      <sheetName val="JANUARY '18"/>
      <sheetName val="FEBRUARY '18 "/>
      <sheetName val="MARCH '18"/>
      <sheetName val="MARCH '17"/>
      <sheetName val="APRIL '18"/>
      <sheetName val="MAY '18"/>
      <sheetName val="JUNE '18"/>
      <sheetName val="JULY '18"/>
      <sheetName val="AUG '18"/>
      <sheetName val="SEPT '18 "/>
      <sheetName val="OCT '18"/>
      <sheetName val="NOV '18"/>
      <sheetName val="NOVEMBER '17"/>
      <sheetName val="DEC '18 "/>
      <sheetName val="JAN '19"/>
      <sheetName val="FEB '19"/>
      <sheetName val="MAR '19"/>
      <sheetName val="APR '19"/>
      <sheetName val="MAY '19"/>
      <sheetName val="JUNE '19"/>
      <sheetName val="JULY '19"/>
      <sheetName val="AUG '19"/>
      <sheetName val="SEPT '19"/>
      <sheetName val="OCT '19"/>
      <sheetName val="NOV '19"/>
      <sheetName val="DEC '19"/>
      <sheetName val="JAN '20"/>
      <sheetName val="FEB '20"/>
      <sheetName val="MAR '20"/>
      <sheetName val="APR '20"/>
      <sheetName val="MAY '20"/>
      <sheetName val="JUNE '20"/>
      <sheetName val="JULY '20"/>
      <sheetName val="AUG '20"/>
      <sheetName val="SEPT '20"/>
      <sheetName val="OCT '20"/>
      <sheetName val="NOV '20"/>
      <sheetName val="DEC '20"/>
      <sheetName val="JAN '21"/>
      <sheetName val="FEB '21"/>
      <sheetName val="MAR '21"/>
      <sheetName val="APR '21"/>
      <sheetName val="MAY '21"/>
      <sheetName val="JUNE '21"/>
      <sheetName val="JULY '21"/>
      <sheetName val="AUG '21"/>
      <sheetName val="SEPT '21"/>
      <sheetName val="OCT '21"/>
      <sheetName val="NOV '21"/>
      <sheetName val="DEC '21"/>
      <sheetName val="JAN '22"/>
      <sheetName val="FEB '22"/>
      <sheetName val="MAR '22"/>
      <sheetName val="APR '22"/>
      <sheetName val="MAY '22"/>
      <sheetName val="JUNE '22"/>
      <sheetName val="JULY 22"/>
      <sheetName val="AUG 22"/>
      <sheetName val="SEPT 22"/>
      <sheetName val="OCT 22"/>
      <sheetName val="NOV 22"/>
      <sheetName val="WORKINGS"/>
      <sheetName val="NGN-USD COMPARE"/>
      <sheetName val="SHARED COST"/>
      <sheetName val="DEP &amp; INS"/>
      <sheetName val="UNUSED"/>
      <sheetName val="INCOME STATEMENT NOV   2022 "/>
      <sheetName val="MONTHLY SHARED COST"/>
      <sheetName val="UNINVOICED TICKET SUMMARY"/>
      <sheetName val="USED TICKETS"/>
      <sheetName val="CHARTS DATA"/>
      <sheetName val="Depreciation Run - NOV  22.xls"/>
      <sheetName val="COST EVA BY MARGIN"/>
      <sheetName val="SHARED COST BY MARGIN"/>
      <sheetName val="COST EVALUATION BY REV-MARGIN"/>
      <sheetName val="ONGOING JOBS"/>
      <sheetName val="STATEMENT OF MARGIN"/>
      <sheetName val="JUNE '17"/>
      <sheetName val="JULY '18 DEP RUN"/>
      <sheetName val="OCT DEP RUN"/>
      <sheetName val="SEPT 2018 DEP RUN"/>
      <sheetName val="USED TICKETS SUMMARY"/>
      <sheetName val="USD_COMPARE"/>
      <sheetName val="COS WIRELINE JULY 2018"/>
      <sheetName val="COS GYRO JULY 2018"/>
      <sheetName val="COS MWD JULY 2018"/>
      <sheetName val="COS ONSHORE JULY 2018"/>
      <sheetName val="COS DRIVER JULY 2018"/>
      <sheetName val="COS SLICKLINE JULY 2018"/>
      <sheetName val="COS WIRELINE JUNE 2018"/>
      <sheetName val="COS MWD JUNE 2018"/>
      <sheetName val="COS ONSHORE JUNE 2018"/>
      <sheetName val="COS DRIVERS JUNE 2018"/>
      <sheetName val="COS SLICKLINE JUNE 2018"/>
      <sheetName val="COS WIRELINE MAY 2018"/>
      <sheetName val="COS GYRO MAY 2018"/>
      <sheetName val="COS ONSHORE MAY 2018"/>
      <sheetName val="COS DRIVERS MAY 2018"/>
      <sheetName val="COS SLICKLINE MAY 2018"/>
      <sheetName val="COS WIRELINE APRIL '18"/>
      <sheetName val="COS GYRO APRIL '18"/>
      <sheetName val="COS MWD APRIL '18"/>
      <sheetName val="COS ONSHORE APRIL '18"/>
      <sheetName val="COS DRIVERS APRIL '18"/>
      <sheetName val="COS SLICKLINE APRIL '18"/>
      <sheetName val="COS WIRELINE MAR '18"/>
      <sheetName val="COS MWD MAR '18"/>
      <sheetName val="COS ONSHORE MAR '18"/>
      <sheetName val="COS DRIVER MAR '18"/>
      <sheetName val="COS WIRELINE FEB 2018"/>
      <sheetName val="COS MWD FEB 2018"/>
      <sheetName val="COS ONSHORE FEB 18"/>
      <sheetName val="COS DRIVER FEB 18"/>
      <sheetName val="JAN '18 COS WIRELINE"/>
      <sheetName val="COS MWD JAN '18"/>
      <sheetName val="COS ONSHORE JAN '18"/>
      <sheetName val="COS DRIVERS JAN'18"/>
      <sheetName val="JAN'15"/>
      <sheetName val="MAY'16"/>
      <sheetName val="COST RECONCILIATION DEC 2017"/>
      <sheetName val="DEP RUN"/>
      <sheetName val="DEP_RUN"/>
      <sheetName val="INCOME STATEMENT JAN'16"/>
      <sheetName val="INCOME STATEMENT FEB'16"/>
      <sheetName val="INCOME STATEMENT FOR AUGUST"/>
      <sheetName val="INCOME STATEMENT FOR SEPTEMBER"/>
      <sheetName val="INCOME STATEMENT FOR OCTOBER"/>
      <sheetName val="INCOME STATEMENT FOR NOVEMBER"/>
      <sheetName val="INCOME STM FOR DEC"/>
      <sheetName val="WIRELINE COST NOV"/>
      <sheetName val="MWD COST NOV"/>
      <sheetName val="WIRELINE COS REVISED SEPT"/>
      <sheetName val="MWD COST SEPT"/>
      <sheetName val="THIRD PARTY PAYMENT"/>
      <sheetName val="INCOME STATEMENT FOR APRIL"/>
      <sheetName val="Income Stmnt for May"/>
      <sheetName val="Income Stmnt for JUNE"/>
      <sheetName val="INCOME STATEMENT FOR JULY"/>
      <sheetName val="SALES &amp; COS WIRELINE DEC"/>
      <sheetName val="COS MWD DEC"/>
      <sheetName val="SALES &amp; COS MWD DEC"/>
      <sheetName val="3RD PARTY COST FOR JAN'16"/>
      <sheetName val="3RD PARTY COST FOR FEB'16"/>
      <sheetName val="INCOME STATEMENT MAR'16"/>
      <sheetName val="INCOME STATEMENT APRIL'16"/>
      <sheetName val="INCOME STATEMENT MAY'16"/>
      <sheetName val="INCOME STATEMENT JUNE'16"/>
      <sheetName val="INCOME STATEMENT JULY'16"/>
      <sheetName val="INCOME STATEMENT AUG'16"/>
      <sheetName val="MWD THIRD PARTY COST"/>
      <sheetName val="INCOME STATEMENT SEPT'16 "/>
      <sheetName val="INCOME STATEMENT OCT'16"/>
      <sheetName val="INCOME STATEMENT NOV'16"/>
      <sheetName val="INCOME STATEMENT DEC'16"/>
      <sheetName val="INCOME STATEMENT JAN'17"/>
      <sheetName val="INCOME STATEMENT FEB'17"/>
      <sheetName val="INCOME STATEMENT MAR'17 "/>
      <sheetName val="INCOME STATEMENT APR'17 "/>
      <sheetName val="COS MWD FEB 2017"/>
      <sheetName val="THIRD PARTY COST FOR MWD JAN'1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  <sheetName val="SO2"/>
      <sheetName val="SO3"/>
      <sheetName val="SO4"/>
      <sheetName val="stat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esident"/>
      <sheetName val="SAMS 98"/>
      <sheetName val="SAMS 99"/>
      <sheetName val="Tenders"/>
      <sheetName val="Variance"/>
      <sheetName val="Break-Even"/>
      <sheetName val="Reserves"/>
      <sheetName val="AR"/>
      <sheetName val="Activity"/>
      <sheetName val="Performance"/>
      <sheetName val="Sales By Unit "/>
      <sheetName val="Problems"/>
      <sheetName val="Safety Stats"/>
      <sheetName val="Incidents"/>
      <sheetName val="HSE Training"/>
      <sheetName val="Personnel"/>
      <sheetName val="Engineers"/>
      <sheetName val="C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eck"/>
      <sheetName val="Sum"/>
      <sheetName val="JDS"/>
      <sheetName val="RDS"/>
      <sheetName val="Unit check"/>
      <sheetName val="Equip"/>
      <sheetName val="SO"/>
      <sheetName val="SO2"/>
      <sheetName val="SO3"/>
      <sheetName val="PRICE"/>
      <sheetName val="PRICE (Ft)"/>
      <sheetName val="PRICE old"/>
      <sheetName val="TB"/>
      <sheetName val="TB (2)"/>
      <sheetName val="LQC"/>
      <sheetName val="S23ck"/>
      <sheetName val="Safe"/>
      <sheetName val="Saf"/>
      <sheetName val="Eval"/>
      <sheetName val="Exp"/>
      <sheetName val="Data"/>
      <sheetName val="rci"/>
      <sheetName val="fmt"/>
      <sheetName val="fmt2"/>
      <sheetName val="cgn"/>
      <sheetName val="Bon SO (Pg 1)"/>
      <sheetName val="Bon SO (Pg 2)"/>
      <sheetName val="JBS1"/>
      <sheetName val="JBS2"/>
      <sheetName val="JBS3"/>
      <sheetName val="JBS4"/>
      <sheetName val="JBS5"/>
      <sheetName val="JBS6"/>
      <sheetName val="ProbRep(1)"/>
      <sheetName val="ProbRep(2)"/>
      <sheetName val="RA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mpCodes"/>
      <sheetName val="Lookup"/>
      <sheetName val="JOBPAP~1"/>
      <sheetName val="Chklst"/>
      <sheetName val="JDS"/>
      <sheetName val="RDS"/>
      <sheetName val="TB"/>
      <sheetName val="TB (2)"/>
      <sheetName val="Equip"/>
      <sheetName val="SO"/>
      <sheetName val="SO2"/>
      <sheetName val="BONUS1"/>
      <sheetName val="fmt"/>
      <sheetName val="CorrAct"/>
      <sheetName val="LTRep"/>
      <sheetName val="Ship"/>
      <sheetName val="Cgn"/>
      <sheetName val="Saf"/>
      <sheetName val="Cust"/>
      <sheetName val="Exp"/>
      <sheetName val="Data"/>
      <sheetName val="LQC"/>
      <sheetName val="LQC (2)"/>
      <sheetName val="Expchk"/>
      <sheetName val="Sum"/>
    </sheetNames>
    <definedNames>
      <definedName name="Macro2"/>
      <definedName name="Macro4"/>
      <definedName name="Macro5"/>
      <definedName name="Macro7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ersonnel"/>
      <sheetName val="Price Book"/>
      <sheetName val="1"/>
      <sheetName val="2"/>
      <sheetName val="Lost Damage"/>
      <sheetName val="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tart Columns"/>
      <sheetName val="Draw Shade"/>
      <sheetName val="AUGUST'16"/>
      <sheetName val="SEPTEMBER'16"/>
      <sheetName val="DECEMBER'16"/>
      <sheetName val="JANUARY '17"/>
      <sheetName val="JANUARY'16"/>
      <sheetName val="FEBRUARY '17 "/>
      <sheetName val="FEBRUARY'16"/>
      <sheetName val="MARCH'16"/>
      <sheetName val="APRIL '17"/>
      <sheetName val="APRIL'16"/>
      <sheetName val="MAY '17"/>
      <sheetName val="JUNE'16"/>
      <sheetName val="JULY '17 "/>
      <sheetName val="JULY'16"/>
      <sheetName val="AUGUST '17"/>
      <sheetName val="SEPTEMBER '17 "/>
      <sheetName val="OCTOBER '17 "/>
      <sheetName val="OCTOBER'16"/>
      <sheetName val="NOVEMBER '16"/>
      <sheetName val="DECEMBER '17"/>
      <sheetName val="JANUARY '18"/>
      <sheetName val="FEBRUARY '18 "/>
      <sheetName val="MARCH '18"/>
      <sheetName val="MARCH '17"/>
      <sheetName val="APRIL '18"/>
      <sheetName val="MAY '18"/>
      <sheetName val="JUNE '18"/>
      <sheetName val="JULY '18"/>
      <sheetName val="AUG '18"/>
      <sheetName val="SEPT '18 "/>
      <sheetName val="OCT '18"/>
      <sheetName val="NOV '18"/>
      <sheetName val="NOVEMBER '17"/>
      <sheetName val="DEC '18 "/>
      <sheetName val="JAN '19"/>
      <sheetName val="FEB '19"/>
      <sheetName val="MAR '19"/>
      <sheetName val="APR '19"/>
      <sheetName val="NGN-USD COMPARE"/>
      <sheetName val="SHARED COST"/>
      <sheetName val="DEP &amp; INS"/>
      <sheetName val="WORKINGS"/>
      <sheetName val="USED TICKETS"/>
      <sheetName val="CHARTS DATA"/>
      <sheetName val="UNINVOICED TICKET SUMMARY "/>
      <sheetName val="APR 2019 DEP RUN"/>
      <sheetName val="INCOME STATEMENT MAR '19 "/>
      <sheetName val="STATEMENT OF MARGIN"/>
      <sheetName val="JUNE '17"/>
      <sheetName val="JULY '18 DEP RUN"/>
      <sheetName val="OCT DEP RUN"/>
      <sheetName val="SEPT 2018 DEP RUN"/>
      <sheetName val="USED TICKETS SUMMARY"/>
      <sheetName val="USD_COMPARE"/>
      <sheetName val="COS WIRELINE JULY 2018"/>
      <sheetName val="COS GYRO JULY 2018"/>
      <sheetName val="COS MWD JULY 2018"/>
      <sheetName val="COS ONSHORE JULY 2018"/>
      <sheetName val="COS DRIVER JULY 2018"/>
      <sheetName val="COS SLICKLINE JULY 2018"/>
      <sheetName val="COS WIRELINE JUNE 2018"/>
      <sheetName val="COS MWD JUNE 2018"/>
      <sheetName val="COS ONSHORE JUNE 2018"/>
      <sheetName val="COS DRIVERS JUNE 2018"/>
      <sheetName val="COS SLICKLINE JUNE 2018"/>
      <sheetName val="COS WIRELINE MAY 2018"/>
      <sheetName val="COS GYRO MAY 2018"/>
      <sheetName val="COS ONSHORE MAY 2018"/>
      <sheetName val="COS DRIVERS MAY 2018"/>
      <sheetName val="COS SLICKLINE MAY 2018"/>
      <sheetName val="COS WIRELINE APRIL '18"/>
      <sheetName val="COS GYRO APRIL '18"/>
      <sheetName val="COS MWD APRIL '18"/>
      <sheetName val="COS ONSHORE APRIL '18"/>
      <sheetName val="COS DRIVERS APRIL '18"/>
      <sheetName val="COS SLICKLINE APRIL '18"/>
      <sheetName val="COS WIRELINE MAR '18"/>
      <sheetName val="COS MWD MAR '18"/>
      <sheetName val="COS ONSHORE MAR '18"/>
      <sheetName val="COS DRIVER MAR '18"/>
      <sheetName val="COS WIRELINE FEB 2018"/>
      <sheetName val="COS MWD FEB 2018"/>
      <sheetName val="COS ONSHORE FEB 18"/>
      <sheetName val="COS DRIVER FEB 18"/>
      <sheetName val="JAN '18 COS WIRELINE"/>
      <sheetName val="COS MWD JAN '18"/>
      <sheetName val="COS ONSHORE JAN '18"/>
      <sheetName val="COS DRIVERS JAN'18"/>
      <sheetName val="JAN'15"/>
      <sheetName val="MAY'16"/>
      <sheetName val="COST RECONCILIATION DEC 2017"/>
      <sheetName val="DEP RUN"/>
      <sheetName val="DEP_RUN"/>
      <sheetName val="INCOME STATEMENT JAN'16"/>
      <sheetName val="INCOME STATEMENT FEB'16"/>
      <sheetName val="INCOME STATEMENT FOR AUGUST"/>
      <sheetName val="INCOME STATEMENT FOR SEPTEMBER"/>
      <sheetName val="INCOME STATEMENT FOR OCTOBER"/>
      <sheetName val="INCOME STATEMENT FOR NOVEMBER"/>
      <sheetName val="INCOME STM FOR DEC"/>
      <sheetName val="WIRELINE COST NOV"/>
      <sheetName val="MWD COST NOV"/>
      <sheetName val="WIRELINE COS REVISED SEPT"/>
      <sheetName val="MWD COST SEPT"/>
      <sheetName val="THIRD PARTY PAYMENT"/>
      <sheetName val="INCOME STATEMENT FOR APRIL"/>
      <sheetName val="Income Stmnt for May"/>
      <sheetName val="Income Stmnt for JUNE"/>
      <sheetName val="INCOME STATEMENT FOR JULY"/>
      <sheetName val="SALES &amp; COS WIRELINE DEC"/>
      <sheetName val="COS MWD DEC"/>
      <sheetName val="SALES &amp; COS MWD DEC"/>
      <sheetName val="3RD PARTY COST FOR JAN'16"/>
      <sheetName val="3RD PARTY COST FOR FEB'16"/>
      <sheetName val="INCOME STATEMENT MAR'16"/>
      <sheetName val="INCOME STATEMENT APRIL'16"/>
      <sheetName val="INCOME STATEMENT MAY'16"/>
      <sheetName val="INCOME STATEMENT JUNE'16"/>
      <sheetName val="INCOME STATEMENT JULY'16"/>
      <sheetName val="INCOME STATEMENT AUG'16"/>
      <sheetName val="MWD THIRD PARTY COST"/>
      <sheetName val="INCOME STATEMENT SEPT'16 "/>
      <sheetName val="INCOME STATEMENT OCT'16"/>
      <sheetName val="INCOME STATEMENT NOV'16"/>
      <sheetName val="INCOME STATEMENT DEC'16"/>
      <sheetName val="INCOME STATEMENT JAN'17"/>
      <sheetName val="INCOME STATEMENT FEB'17"/>
      <sheetName val="INCOME STATEMENT MAR'17 "/>
      <sheetName val="INCOME STATEMENT APR'17 "/>
      <sheetName val="COS MWD FEB 2017"/>
      <sheetName val="THIRD PARTY COST FOR MWD JAN'17"/>
      <sheetName val="Sheet2"/>
      <sheetName val="Chklst"/>
      <sheetName val="Saf"/>
      <sheetName val="JDS"/>
      <sheetName val="RDS"/>
      <sheetName val="TB"/>
      <sheetName val="TB (2)"/>
      <sheetName val="Data"/>
      <sheetName val="Equip"/>
      <sheetName val="Shipping"/>
      <sheetName val="Shipping (2)"/>
      <sheetName val="Equip DBase"/>
      <sheetName val="SO"/>
      <sheetName val="SO2"/>
      <sheetName val="SO3"/>
      <sheetName val="LCC Bonus"/>
      <sheetName val="BONUS1"/>
      <sheetName val="Cust "/>
      <sheetName val="LTRep"/>
      <sheetName val="LQC"/>
      <sheetName val="LQC (2)"/>
      <sheetName val="Module1"/>
      <sheetName val="Exp-Invent #3"/>
      <sheetName val="Exp-Invent #4"/>
      <sheetName val="RA-Invent #33"/>
      <sheetName val="RA-Invent #44 "/>
      <sheetName val="Cable Inven"/>
      <sheetName val="S23ck"/>
      <sheetName val="CAS"/>
      <sheetName val="Expchk"/>
      <sheetName val="Expchk-Eclips-S"/>
      <sheetName val="Expchk-Eclips-S (G)"/>
      <sheetName val="Sum"/>
      <sheetName val="SERVICES"/>
      <sheetName val="Crew-month"/>
      <sheetName val="EmpCodes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IGERIAN LIST"/>
      <sheetName val="Sheet1"/>
      <sheetName val="MASTER SHEET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tart Columns"/>
      <sheetName val="Draw Shade"/>
      <sheetName val="AUGUST'16"/>
      <sheetName val="SEPTEMBER'16"/>
      <sheetName val="DECEMBER'16"/>
      <sheetName val="JANUARY '17"/>
      <sheetName val="JANUARY'16"/>
      <sheetName val="FEBRUARY '17 "/>
      <sheetName val="FEBRUARY'16"/>
      <sheetName val="MARCH'16"/>
      <sheetName val="APRIL '17"/>
      <sheetName val="APRIL'16"/>
      <sheetName val="MAY '17"/>
      <sheetName val="JUNE'16"/>
      <sheetName val="JULY '17 "/>
      <sheetName val="JULY'16"/>
      <sheetName val="AUGUST '17"/>
      <sheetName val="SEPTEMBER '17 "/>
      <sheetName val="OCTOBER '17 "/>
      <sheetName val="OCTOBER'16"/>
      <sheetName val="NOVEMBER '16"/>
      <sheetName val="DECEMBER '17"/>
      <sheetName val="JANUARY '18"/>
      <sheetName val="FEBRUARY '18 "/>
      <sheetName val="MARCH '18"/>
      <sheetName val="MARCH '17"/>
      <sheetName val="APRIL '18"/>
      <sheetName val="MAY '18"/>
      <sheetName val="JUNE '18"/>
      <sheetName val="JULY '18"/>
      <sheetName val="AUG '18"/>
      <sheetName val="SEPT '18 "/>
      <sheetName val="OCT '18"/>
      <sheetName val="NOV '18"/>
      <sheetName val="NOVEMBER '17"/>
      <sheetName val="DEC '18 "/>
      <sheetName val="JAN '19"/>
      <sheetName val="FEB '19"/>
      <sheetName val="MAR '19"/>
      <sheetName val="APR '19"/>
      <sheetName val="NGN-USD COMPARE"/>
      <sheetName val="SHARED COST"/>
      <sheetName val="DEP &amp; INS"/>
      <sheetName val="WORKINGS"/>
      <sheetName val="USED TICKETS"/>
      <sheetName val="CHARTS DATA"/>
      <sheetName val="UNINVOICED TICKET SUMMARY "/>
      <sheetName val="APR 2019 DEP RUN"/>
      <sheetName val="INCOME STATEMENT MAR '19 "/>
      <sheetName val="STATEMENT OF MARGIN"/>
      <sheetName val="JUNE '17"/>
      <sheetName val="JULY '18 DEP RUN"/>
      <sheetName val="OCT DEP RUN"/>
      <sheetName val="SEPT 2018 DEP RUN"/>
      <sheetName val="USED TICKETS SUMMARY"/>
      <sheetName val="USD_COMPARE"/>
      <sheetName val="COS WIRELINE JULY 2018"/>
      <sheetName val="COS GYRO JULY 2018"/>
      <sheetName val="COS MWD JULY 2018"/>
      <sheetName val="COS ONSHORE JULY 2018"/>
      <sheetName val="COS DRIVER JULY 2018"/>
      <sheetName val="COS SLICKLINE JULY 2018"/>
      <sheetName val="COS WIRELINE JUNE 2018"/>
      <sheetName val="COS MWD JUNE 2018"/>
      <sheetName val="COS ONSHORE JUNE 2018"/>
      <sheetName val="COS DRIVERS JUNE 2018"/>
      <sheetName val="COS SLICKLINE JUNE 2018"/>
      <sheetName val="COS WIRELINE MAY 2018"/>
      <sheetName val="COS GYRO MAY 2018"/>
      <sheetName val="COS ONSHORE MAY 2018"/>
      <sheetName val="COS DRIVERS MAY 2018"/>
      <sheetName val="COS SLICKLINE MAY 2018"/>
      <sheetName val="COS WIRELINE APRIL '18"/>
      <sheetName val="COS GYRO APRIL '18"/>
      <sheetName val="COS MWD APRIL '18"/>
      <sheetName val="COS ONSHORE APRIL '18"/>
      <sheetName val="COS DRIVERS APRIL '18"/>
      <sheetName val="COS SLICKLINE APRIL '18"/>
      <sheetName val="COS WIRELINE MAR '18"/>
      <sheetName val="COS MWD MAR '18"/>
      <sheetName val="COS ONSHORE MAR '18"/>
      <sheetName val="COS DRIVER MAR '18"/>
      <sheetName val="COS WIRELINE FEB 2018"/>
      <sheetName val="COS MWD FEB 2018"/>
      <sheetName val="COS ONSHORE FEB 18"/>
      <sheetName val="COS DRIVER FEB 18"/>
      <sheetName val="JAN '18 COS WIRELINE"/>
      <sheetName val="COS MWD JAN '18"/>
      <sheetName val="COS ONSHORE JAN '18"/>
      <sheetName val="COS DRIVERS JAN'18"/>
      <sheetName val="JAN'15"/>
      <sheetName val="MAY'16"/>
      <sheetName val="COST RECONCILIATION DEC 2017"/>
      <sheetName val="DEP RUN"/>
      <sheetName val="DEP_RUN"/>
      <sheetName val="INCOME STATEMENT JAN'16"/>
      <sheetName val="INCOME STATEMENT FEB'16"/>
      <sheetName val="INCOME STATEMENT FOR AUGUST"/>
      <sheetName val="INCOME STATEMENT FOR SEPTEMBER"/>
      <sheetName val="INCOME STATEMENT FOR OCTOBER"/>
      <sheetName val="INCOME STATEMENT FOR NOVEMBER"/>
      <sheetName val="INCOME STM FOR DEC"/>
      <sheetName val="WIRELINE COST NOV"/>
      <sheetName val="MWD COST NOV"/>
      <sheetName val="WIRELINE COS REVISED SEPT"/>
      <sheetName val="MWD COST SEPT"/>
      <sheetName val="THIRD PARTY PAYMENT"/>
      <sheetName val="INCOME STATEMENT FOR APRIL"/>
      <sheetName val="Income Stmnt for May"/>
      <sheetName val="Income Stmnt for JUNE"/>
      <sheetName val="INCOME STATEMENT FOR JULY"/>
      <sheetName val="SALES &amp; COS WIRELINE DEC"/>
      <sheetName val="COS MWD DEC"/>
      <sheetName val="SALES &amp; COS MWD DEC"/>
      <sheetName val="3RD PARTY COST FOR JAN'16"/>
      <sheetName val="3RD PARTY COST FOR FEB'16"/>
      <sheetName val="INCOME STATEMENT MAR'16"/>
      <sheetName val="INCOME STATEMENT APRIL'16"/>
      <sheetName val="INCOME STATEMENT MAY'16"/>
      <sheetName val="INCOME STATEMENT JUNE'16"/>
      <sheetName val="INCOME STATEMENT JULY'16"/>
      <sheetName val="INCOME STATEMENT AUG'16"/>
      <sheetName val="MWD THIRD PARTY COST"/>
      <sheetName val="INCOME STATEMENT SEPT'16 "/>
      <sheetName val="INCOME STATEMENT OCT'16"/>
      <sheetName val="INCOME STATEMENT NOV'16"/>
      <sheetName val="INCOME STATEMENT DEC'16"/>
      <sheetName val="INCOME STATEMENT JAN'17"/>
      <sheetName val="INCOME STATEMENT FEB'17"/>
      <sheetName val="INCOME STATEMENT MAR'17 "/>
      <sheetName val="INCOME STATEMENT APR'17 "/>
      <sheetName val="COS MWD FEB 2017"/>
      <sheetName val="THIRD PARTY COST FOR MWD JAN'17"/>
      <sheetName val="Sheet2"/>
      <sheetName val="2001020025"/>
      <sheetName val="Pers&amp;Dem Scarabeo 3"/>
      <sheetName val="SO1"/>
      <sheetName val="SO2"/>
      <sheetName val="SO3"/>
      <sheetName val="SO4"/>
      <sheetName val="SO5"/>
      <sheetName val="SO6"/>
      <sheetName val="SO7"/>
      <sheetName val="SO8"/>
      <sheetName val="LT Disc"/>
      <sheetName val="Rentals"/>
      <sheetName val="Produ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tables/table1.xml><?xml version="1.0" encoding="utf-8"?>
<table xmlns="http://schemas.openxmlformats.org/spreadsheetml/2006/main" id="3" name="Geoplex" displayName="Geoplex" ref="A1:K18" totalsRowShown="0">
  <autoFilter ref="A1:K18"/>
  <tableColumns count="11">
    <tableColumn id="1" name="Column1" dataDxfId="0"/>
    <tableColumn id="2" name="Column2" dataDxfId="1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2"/>
    <tableColumn id="10" name="Column10"/>
    <tableColumn id="11" name="Column11" dataDxf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87:K204" totalsRowShown="0">
  <autoFilter ref="A187:K204"/>
  <tableColumns count="11">
    <tableColumn id="1" name="Column1" dataDxfId="29"/>
    <tableColumn id="2" name="Column2" dataDxfId="30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31"/>
    <tableColumn id="10" name="Column10"/>
    <tableColumn id="11" name="Column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207:K223" totalsRowShown="0">
  <autoFilter ref="A207:K223"/>
  <tableColumns count="11">
    <tableColumn id="1" name="Logistics -OFS" dataDxfId="32"/>
    <tableColumn id="2" name="Jul-24" dataDxfId="33"/>
    <tableColumn id="3" name="Jun-24"/>
    <tableColumn id="4" name="May-24"/>
    <tableColumn id="5" name="Apr-24"/>
    <tableColumn id="6" name="Mar-24"/>
    <tableColumn id="7" name="Feb-24"/>
    <tableColumn id="8" name="Jan-24"/>
    <tableColumn id="9" name="2024" dataDxfId="34"/>
    <tableColumn id="10" name="2023"/>
    <tableColumn id="11" name="20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226:K248" totalsRowShown="0">
  <autoFilter ref="A226:K248"/>
  <tableColumns count="11">
    <tableColumn id="1" name="Column1" dataDxfId="35"/>
    <tableColumn id="2" name="Column2" dataDxfId="36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37"/>
    <tableColumn id="10" name="Column10"/>
    <tableColumn id="11" name="Column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A252:K269" totalsRowShown="0">
  <autoFilter ref="A252:K269"/>
  <tableColumns count="11">
    <tableColumn id="1" name="Column1" dataDxfId="38"/>
    <tableColumn id="2" name="Column2" dataDxfId="39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40"/>
    <tableColumn id="10" name="Column10"/>
    <tableColumn id="11" name="Column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272:K289" totalsRowShown="0">
  <autoFilter ref="A272:K289"/>
  <tableColumns count="11">
    <tableColumn id="1" name="Column1" dataDxfId="41"/>
    <tableColumn id="2" name="Column2" dataDxfId="4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43"/>
    <tableColumn id="10" name="Column10"/>
    <tableColumn id="11" name="Column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A292:K309" totalsRowShown="0">
  <autoFilter ref="A292:K309"/>
  <tableColumns count="11">
    <tableColumn id="1" name="Column1" dataDxfId="44"/>
    <tableColumn id="2" name="Column2" dataDxfId="45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46"/>
    <tableColumn id="10" name="Column10"/>
    <tableColumn id="11" name="Column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A312:K329" totalsRowShown="0">
  <autoFilter ref="A312:K329"/>
  <tableColumns count="11">
    <tableColumn id="1" name="Column1" dataDxfId="47"/>
    <tableColumn id="2" name="Column2" dataDxfId="48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49"/>
    <tableColumn id="10" name="Column10"/>
    <tableColumn id="11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OFS" displayName="OFS" ref="A21:K38" totalsRowShown="0">
  <autoFilter ref="A21:K38"/>
  <tableColumns count="11">
    <tableColumn id="1" name="Column1" dataDxfId="4"/>
    <tableColumn id="2" name="Column2" dataDxfId="5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6"/>
    <tableColumn id="10" name="Column10"/>
    <tableColumn id="11" name="Column1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WCS" displayName="WCS" ref="A41:K63" totalsRowShown="0">
  <autoFilter ref="A41:K63"/>
  <tableColumns count="11">
    <tableColumn id="1" name="Column1" dataDxfId="8"/>
    <tableColumn id="2" name="Column2" dataDxfId="9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10"/>
    <tableColumn id="10" name="Column10"/>
    <tableColumn id="11" name="Column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ESW" displayName="ESW" ref="A66:K85" totalsRowShown="0">
  <autoFilter ref="A66:K85"/>
  <tableColumns count="11">
    <tableColumn id="1" name="Column1" dataDxfId="11"/>
    <tableColumn id="2" name="Column2" dataDxfId="1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13"/>
    <tableColumn id="10" name="Column10"/>
    <tableColumn id="11" name="Column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rilling" displayName="Drilling" ref="A87:K104" totalsRowShown="0">
  <autoFilter ref="A87:K104"/>
  <tableColumns count="11">
    <tableColumn id="1" name="Column1" dataDxfId="14"/>
    <tableColumn id="2" name="Column2" dataDxfId="15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16"/>
    <tableColumn id="10" name="Column10"/>
    <tableColumn id="11" name="Column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07:K124" totalsRowShown="0">
  <autoFilter ref="A107:K124"/>
  <tableColumns count="11">
    <tableColumn id="1" name="Column1" dataDxfId="17"/>
    <tableColumn id="2" name="Column2" dataDxfId="18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19"/>
    <tableColumn id="10" name="Column10"/>
    <tableColumn id="11" name="Column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27:K144" totalsRowShown="0">
  <autoFilter ref="A127:K144"/>
  <tableColumns count="11">
    <tableColumn id="1" name="Column1" dataDxfId="20"/>
    <tableColumn id="2" name="Column2" dataDxfId="21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22"/>
    <tableColumn id="10" name="Column10"/>
    <tableColumn id="11" name="Column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47:K164" totalsRowShown="0">
  <autoFilter ref="A147:K164"/>
  <tableColumns count="11">
    <tableColumn id="1" name="Column1" dataDxfId="23"/>
    <tableColumn id="2" name="Column2" dataDxfId="24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25"/>
    <tableColumn id="10" name="Column10"/>
    <tableColumn id="11" name="Column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67:K184" totalsRowShown="0">
  <autoFilter ref="A167:K184"/>
  <tableColumns count="11">
    <tableColumn id="1" name="Column1" dataDxfId="26"/>
    <tableColumn id="2" name="Column2" dataDxfId="27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28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.xml"/><Relationship Id="rId8" Type="http://schemas.openxmlformats.org/officeDocument/2006/relationships/table" Target="../tables/table6.xml"/><Relationship Id="rId7" Type="http://schemas.openxmlformats.org/officeDocument/2006/relationships/table" Target="../tables/table5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8" Type="http://schemas.openxmlformats.org/officeDocument/2006/relationships/table" Target="../tables/table16.xml"/><Relationship Id="rId17" Type="http://schemas.openxmlformats.org/officeDocument/2006/relationships/table" Target="../tables/table15.xml"/><Relationship Id="rId16" Type="http://schemas.openxmlformats.org/officeDocument/2006/relationships/table" Target="../tables/table14.xml"/><Relationship Id="rId15" Type="http://schemas.openxmlformats.org/officeDocument/2006/relationships/table" Target="../tables/table13.xml"/><Relationship Id="rId14" Type="http://schemas.openxmlformats.org/officeDocument/2006/relationships/table" Target="../tables/table12.xml"/><Relationship Id="rId13" Type="http://schemas.openxmlformats.org/officeDocument/2006/relationships/table" Target="../tables/table11.xml"/><Relationship Id="rId12" Type="http://schemas.openxmlformats.org/officeDocument/2006/relationships/table" Target="../tables/table10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330"/>
  <sheetViews>
    <sheetView tabSelected="1" zoomScale="70" zoomScaleNormal="70" topLeftCell="A2" workbookViewId="0">
      <selection activeCell="U15" sqref="U15"/>
    </sheetView>
  </sheetViews>
  <sheetFormatPr defaultColWidth="9" defaultRowHeight="13.8"/>
  <cols>
    <col min="1" max="1" width="55.5583333333333" customWidth="1"/>
    <col min="2" max="11" width="10.2833333333333" customWidth="1"/>
  </cols>
  <sheetData>
    <row r="1" s="1" customFormat="1" ht="22.5" hidden="1" customHeight="1" spans="1:179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0" t="s">
        <v>8</v>
      </c>
      <c r="J1" s="11" t="s">
        <v>9</v>
      </c>
      <c r="K1" s="44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</row>
    <row r="2" s="2" customFormat="1" ht="22.5" customHeight="1" spans="1:179">
      <c r="A2" s="13" t="s">
        <v>11</v>
      </c>
      <c r="B2" s="14" t="str">
        <f>TEXT("7/1/2024","mmm-yy")</f>
        <v>Jul-24</v>
      </c>
      <c r="C2" s="14" t="str">
        <f>TEXT("6/1/2024","mmm-yy")</f>
        <v>Jun-24</v>
      </c>
      <c r="D2" s="14" t="str">
        <f>TEXT("5/1/2024","mmm-yy")</f>
        <v>May-24</v>
      </c>
      <c r="E2" s="14" t="str">
        <f>TEXT("4/1/2024","mmm-yy")</f>
        <v>Apr-24</v>
      </c>
      <c r="F2" s="14" t="str">
        <f>TEXT("3/1/2024","mmm-yy")</f>
        <v>Mar-24</v>
      </c>
      <c r="G2" s="14" t="str">
        <f>TEXT("2/1/2024","mmm-yy")</f>
        <v>Feb-24</v>
      </c>
      <c r="H2" s="14" t="str">
        <f>TEXT("1/1/2024","mmm-yy")</f>
        <v>Jan-24</v>
      </c>
      <c r="I2" s="64">
        <f>YEAR(DATE(2024,12,1))</f>
        <v>2024</v>
      </c>
      <c r="J2" s="64">
        <f>YEAR(DATE(2023,12,1))</f>
        <v>2023</v>
      </c>
      <c r="K2" s="64">
        <f>YEAR(DATE(2022,12,1))</f>
        <v>2022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</row>
    <row r="3" s="2" customFormat="1" ht="22.5" customHeight="1" spans="1:179">
      <c r="A3" s="15" t="s">
        <v>12</v>
      </c>
      <c r="B3" s="16">
        <f>C3</f>
        <v>4589383471.0684</v>
      </c>
      <c r="C3" s="17">
        <f>D3</f>
        <v>4589383471.0684</v>
      </c>
      <c r="D3" s="17">
        <f t="shared" ref="D3:H6" si="0">D23+D43</f>
        <v>4589383471.0684</v>
      </c>
      <c r="E3" s="17">
        <f t="shared" si="0"/>
        <v>7483663768.0475</v>
      </c>
      <c r="F3" s="17">
        <f t="shared" si="0"/>
        <v>12129935081.1616</v>
      </c>
      <c r="G3" s="17">
        <f t="shared" si="0"/>
        <v>6091882493.1284</v>
      </c>
      <c r="H3" s="18">
        <f t="shared" si="0"/>
        <v>10310073086.6424</v>
      </c>
      <c r="I3" s="65">
        <f>AVERAGE(B3:H3)*12*0.9</f>
        <v>76809144613.657</v>
      </c>
      <c r="J3" s="66">
        <f>J23+J43</f>
        <v>57765955072.9602</v>
      </c>
      <c r="K3" s="67">
        <f>K23+K43</f>
        <v>35584943627.2747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</row>
    <row r="4" s="2" customFormat="1" ht="22.5" customHeight="1" spans="1:179">
      <c r="A4" s="15" t="s">
        <v>13</v>
      </c>
      <c r="B4" s="19">
        <f>C4+((B5-C5)*(MAX(Geoplex[[#This Row],[Column4]:[Column8]])/MIN(D5:H5)))</f>
        <v>589522315.694045</v>
      </c>
      <c r="C4" s="20">
        <f>D4</f>
        <v>552644290.522533</v>
      </c>
      <c r="D4" s="20">
        <f t="shared" si="0"/>
        <v>552644290.522533</v>
      </c>
      <c r="E4" s="20">
        <f t="shared" si="0"/>
        <v>640467589.626611</v>
      </c>
      <c r="F4" s="20">
        <f t="shared" si="0"/>
        <v>646058560.040833</v>
      </c>
      <c r="G4" s="20">
        <f t="shared" si="0"/>
        <v>680194686.49677</v>
      </c>
      <c r="H4" s="21">
        <f t="shared" si="0"/>
        <v>590914740.478767</v>
      </c>
      <c r="I4" s="19">
        <f>AVERAGE(B4:H4)*12</f>
        <v>7289908240.08359</v>
      </c>
      <c r="J4" s="20">
        <v>3607751522.03927</v>
      </c>
      <c r="K4" s="68">
        <v>2511049185.32106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</row>
    <row r="5" s="2" customFormat="1" ht="22.5" customHeight="1" spans="1:179">
      <c r="A5" s="22" t="s">
        <v>14</v>
      </c>
      <c r="B5" s="23">
        <f>C5+9</f>
        <v>190</v>
      </c>
      <c r="C5" s="24">
        <f>D5</f>
        <v>181</v>
      </c>
      <c r="D5" s="25">
        <f t="shared" si="0"/>
        <v>181</v>
      </c>
      <c r="E5" s="25">
        <f t="shared" si="0"/>
        <v>181</v>
      </c>
      <c r="F5" s="25">
        <f t="shared" si="0"/>
        <v>176</v>
      </c>
      <c r="G5" s="25">
        <f t="shared" si="0"/>
        <v>168</v>
      </c>
      <c r="H5" s="26">
        <f t="shared" si="0"/>
        <v>166</v>
      </c>
      <c r="I5" s="23">
        <f>MAX(B5:H5)</f>
        <v>190</v>
      </c>
      <c r="J5" s="25">
        <f>J25+J45</f>
        <v>167</v>
      </c>
      <c r="K5" s="69">
        <f>K25+K45</f>
        <v>165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</row>
    <row r="6" s="3" customFormat="1" ht="22.5" customHeight="1" spans="1:179">
      <c r="A6" s="22" t="s">
        <v>15</v>
      </c>
      <c r="B6" s="23">
        <f>C6</f>
        <v>288</v>
      </c>
      <c r="C6" s="24">
        <f>D6</f>
        <v>288</v>
      </c>
      <c r="D6" s="3">
        <f t="shared" si="0"/>
        <v>288</v>
      </c>
      <c r="E6" s="3">
        <f t="shared" si="0"/>
        <v>304</v>
      </c>
      <c r="F6" s="3">
        <f t="shared" si="0"/>
        <v>331</v>
      </c>
      <c r="G6" s="3">
        <f t="shared" si="0"/>
        <v>351</v>
      </c>
      <c r="H6" s="27">
        <f t="shared" si="0"/>
        <v>351</v>
      </c>
      <c r="I6" s="23">
        <f>MIN(B6:H6)</f>
        <v>288</v>
      </c>
      <c r="J6" s="25">
        <f>J26+J46</f>
        <v>350</v>
      </c>
      <c r="K6" s="69">
        <f>K26+K46</f>
        <v>238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</row>
    <row r="7" s="4" customFormat="1" ht="22.5" customHeight="1" spans="1:179">
      <c r="A7" s="22" t="s">
        <v>16</v>
      </c>
      <c r="B7" s="28">
        <f t="shared" ref="B7:K7" si="1">B6+B5</f>
        <v>478</v>
      </c>
      <c r="C7" s="25">
        <f t="shared" si="1"/>
        <v>469</v>
      </c>
      <c r="D7" s="25">
        <f t="shared" si="1"/>
        <v>469</v>
      </c>
      <c r="E7" s="25">
        <f t="shared" si="1"/>
        <v>485</v>
      </c>
      <c r="F7" s="25">
        <f t="shared" si="1"/>
        <v>507</v>
      </c>
      <c r="G7" s="25">
        <f t="shared" si="1"/>
        <v>519</v>
      </c>
      <c r="H7" s="26">
        <f t="shared" si="1"/>
        <v>517</v>
      </c>
      <c r="I7" s="23">
        <f t="shared" si="1"/>
        <v>478</v>
      </c>
      <c r="J7" s="25">
        <f t="shared" si="1"/>
        <v>517</v>
      </c>
      <c r="K7" s="69">
        <f t="shared" si="1"/>
        <v>403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</row>
    <row r="8" s="5" customFormat="1" ht="22.5" customHeight="1" spans="1:179">
      <c r="A8" s="29" t="s">
        <v>17</v>
      </c>
      <c r="B8" s="30">
        <f t="shared" ref="B8:K8" si="2">B3/B5</f>
        <v>24154649.8477284</v>
      </c>
      <c r="C8" s="31">
        <f t="shared" si="2"/>
        <v>25355709.7849083</v>
      </c>
      <c r="D8" s="31">
        <f t="shared" si="2"/>
        <v>25355709.7849083</v>
      </c>
      <c r="E8" s="31">
        <f t="shared" si="2"/>
        <v>41346208.6632459</v>
      </c>
      <c r="F8" s="31">
        <f t="shared" si="2"/>
        <v>68920085.6884182</v>
      </c>
      <c r="G8" s="31">
        <f t="shared" si="2"/>
        <v>36261205.3162405</v>
      </c>
      <c r="H8" s="32">
        <f t="shared" si="2"/>
        <v>62108874.0159181</v>
      </c>
      <c r="I8" s="30">
        <f t="shared" si="2"/>
        <v>404258655.861353</v>
      </c>
      <c r="J8" s="31">
        <f t="shared" si="2"/>
        <v>345903922.592576</v>
      </c>
      <c r="K8" s="70">
        <f t="shared" si="2"/>
        <v>215666325.013786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</row>
    <row r="9" s="5" customFormat="1" ht="22.5" customHeight="1" spans="1:179">
      <c r="A9" s="29" t="s">
        <v>18</v>
      </c>
      <c r="B9" s="30">
        <f t="shared" ref="B9:K9" si="3">B3/B6</f>
        <v>15935359.2745431</v>
      </c>
      <c r="C9" s="31">
        <f t="shared" si="3"/>
        <v>15935359.2745431</v>
      </c>
      <c r="D9" s="31">
        <f t="shared" si="3"/>
        <v>15935359.2745431</v>
      </c>
      <c r="E9" s="31">
        <f t="shared" si="3"/>
        <v>24617315.026472</v>
      </c>
      <c r="F9" s="31">
        <f t="shared" si="3"/>
        <v>36646329.5503372</v>
      </c>
      <c r="G9" s="31">
        <f t="shared" si="3"/>
        <v>17355790.5787134</v>
      </c>
      <c r="H9" s="32">
        <f t="shared" si="3"/>
        <v>29373427.5972718</v>
      </c>
      <c r="I9" s="30">
        <f t="shared" si="3"/>
        <v>266698418.79742</v>
      </c>
      <c r="J9" s="31">
        <f t="shared" si="3"/>
        <v>165045585.922743</v>
      </c>
      <c r="K9" s="70">
        <f t="shared" si="3"/>
        <v>149516569.862499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</row>
    <row r="10" s="6" customFormat="1" ht="22.5" customHeight="1" spans="1:179">
      <c r="A10" s="29" t="s">
        <v>19</v>
      </c>
      <c r="B10" s="30">
        <f t="shared" ref="B10:K10" si="4">B3/B7</f>
        <v>9601220.65077071</v>
      </c>
      <c r="C10" s="31">
        <f t="shared" si="4"/>
        <v>9785465.82317356</v>
      </c>
      <c r="D10" s="31">
        <f t="shared" si="4"/>
        <v>9785465.82317356</v>
      </c>
      <c r="E10" s="31">
        <f t="shared" si="4"/>
        <v>15430234.5732938</v>
      </c>
      <c r="F10" s="31">
        <f t="shared" si="4"/>
        <v>23924921.2646185</v>
      </c>
      <c r="G10" s="31">
        <f t="shared" si="4"/>
        <v>11737731.2006328</v>
      </c>
      <c r="H10" s="32">
        <f t="shared" si="4"/>
        <v>19942114.2875095</v>
      </c>
      <c r="I10" s="30">
        <f t="shared" si="4"/>
        <v>160688587.05786</v>
      </c>
      <c r="J10" s="31">
        <f t="shared" si="4"/>
        <v>111732988.535706</v>
      </c>
      <c r="K10" s="70">
        <f t="shared" si="4"/>
        <v>88300108.2562648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</row>
    <row r="11" s="6" customFormat="1" ht="22.5" customHeight="1" spans="1:179">
      <c r="A11" s="33" t="s">
        <v>20</v>
      </c>
      <c r="B11" s="34">
        <f>K8/12</f>
        <v>17972193.7511488</v>
      </c>
      <c r="C11" s="35">
        <f t="shared" ref="C11:H11" si="5">$B$11</f>
        <v>17972193.7511488</v>
      </c>
      <c r="D11" s="35">
        <f t="shared" si="5"/>
        <v>17972193.7511488</v>
      </c>
      <c r="E11" s="35">
        <f t="shared" si="5"/>
        <v>17972193.7511488</v>
      </c>
      <c r="F11" s="35">
        <f t="shared" si="5"/>
        <v>17972193.7511488</v>
      </c>
      <c r="G11" s="35">
        <f t="shared" si="5"/>
        <v>17972193.7511488</v>
      </c>
      <c r="H11" s="36">
        <f t="shared" si="5"/>
        <v>17972193.7511488</v>
      </c>
      <c r="I11" s="34">
        <f>$K$8</f>
        <v>215666325.013786</v>
      </c>
      <c r="J11" s="35">
        <f>$K$8</f>
        <v>215666325.013786</v>
      </c>
      <c r="K11" s="71">
        <f>$K$8</f>
        <v>215666325.013786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</row>
    <row r="12" s="5" customFormat="1" ht="22.5" customHeight="1" spans="1:179">
      <c r="A12" s="33" t="s">
        <v>21</v>
      </c>
      <c r="B12" s="34">
        <f>K10/12</f>
        <v>7358342.35468873</v>
      </c>
      <c r="C12" s="35">
        <f t="shared" ref="C12:H12" si="6">$B$12</f>
        <v>7358342.35468873</v>
      </c>
      <c r="D12" s="35">
        <f t="shared" si="6"/>
        <v>7358342.35468873</v>
      </c>
      <c r="E12" s="35">
        <f t="shared" si="6"/>
        <v>7358342.35468873</v>
      </c>
      <c r="F12" s="35">
        <f t="shared" si="6"/>
        <v>7358342.35468873</v>
      </c>
      <c r="G12" s="35">
        <f t="shared" si="6"/>
        <v>7358342.35468873</v>
      </c>
      <c r="H12" s="36">
        <f t="shared" si="6"/>
        <v>7358342.35468873</v>
      </c>
      <c r="I12" s="34">
        <f>J12</f>
        <v>88300108.2562648</v>
      </c>
      <c r="J12" s="35">
        <f>$K$10</f>
        <v>88300108.2562648</v>
      </c>
      <c r="K12" s="71">
        <f>J12</f>
        <v>88300108.2562648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</row>
    <row r="13" s="5" customFormat="1" ht="22.5" customHeight="1" spans="1:179">
      <c r="A13" s="29" t="s">
        <v>22</v>
      </c>
      <c r="B13" s="30">
        <f t="shared" ref="B13:H13" si="7">B4/B5</f>
        <v>3102749.02996866</v>
      </c>
      <c r="C13" s="31">
        <f t="shared" si="7"/>
        <v>3053283.37305267</v>
      </c>
      <c r="D13" s="31">
        <f t="shared" si="7"/>
        <v>3053283.37305267</v>
      </c>
      <c r="E13" s="31">
        <f t="shared" si="7"/>
        <v>3538494.97031277</v>
      </c>
      <c r="F13" s="31">
        <f t="shared" si="7"/>
        <v>3670787.27295928</v>
      </c>
      <c r="G13" s="31">
        <f t="shared" si="7"/>
        <v>4048777.89581411</v>
      </c>
      <c r="H13" s="32">
        <f t="shared" si="7"/>
        <v>3559727.35228173</v>
      </c>
      <c r="I13" s="30">
        <f>(I4/12)/I5</f>
        <v>3197328.17547526</v>
      </c>
      <c r="J13" s="31">
        <f>(J4/12)/J5</f>
        <v>1800275.21059844</v>
      </c>
      <c r="K13" s="70">
        <v>1268206.65925306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</row>
    <row r="14" s="5" customFormat="1" ht="22.5" customHeight="1" spans="1:179">
      <c r="A14" s="29" t="s">
        <v>23</v>
      </c>
      <c r="B14" s="30">
        <f t="shared" ref="B14:H14" si="8">B4/B7</f>
        <v>1233310.28387875</v>
      </c>
      <c r="C14" s="31">
        <f t="shared" si="8"/>
        <v>1178346.03522928</v>
      </c>
      <c r="D14" s="31">
        <f t="shared" si="8"/>
        <v>1178346.03522928</v>
      </c>
      <c r="E14" s="31">
        <f t="shared" si="8"/>
        <v>1320551.73118889</v>
      </c>
      <c r="F14" s="31">
        <f t="shared" si="8"/>
        <v>1274277.23873932</v>
      </c>
      <c r="G14" s="31">
        <f t="shared" si="8"/>
        <v>1310587.06454098</v>
      </c>
      <c r="H14" s="32">
        <f t="shared" si="8"/>
        <v>1142968.55024907</v>
      </c>
      <c r="I14" s="30">
        <f>(I4/12)/I7</f>
        <v>1270904.50489602</v>
      </c>
      <c r="J14" s="31">
        <f>(J4/12)/J7</f>
        <v>581520.23243702</v>
      </c>
      <c r="K14" s="70">
        <v>519240.939892693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</row>
    <row r="15" s="7" customFormat="1" ht="22.5" customHeight="1" spans="1:179">
      <c r="A15" s="29" t="s">
        <v>24</v>
      </c>
      <c r="B15" s="37">
        <f t="shared" ref="B15:J15" si="9">B4/B3</f>
        <v>0.128453488232223</v>
      </c>
      <c r="C15" s="38">
        <f t="shared" si="9"/>
        <v>0.120417980760688</v>
      </c>
      <c r="D15" s="38">
        <f t="shared" si="9"/>
        <v>0.120417980760688</v>
      </c>
      <c r="E15" s="38">
        <f t="shared" si="9"/>
        <v>0.0855820904676627</v>
      </c>
      <c r="F15" s="38">
        <f t="shared" si="9"/>
        <v>0.0532615018726847</v>
      </c>
      <c r="G15" s="38">
        <f t="shared" si="9"/>
        <v>0.111655910511082</v>
      </c>
      <c r="H15" s="39">
        <f t="shared" si="9"/>
        <v>0.0573143115003082</v>
      </c>
      <c r="I15" s="37">
        <f t="shared" si="9"/>
        <v>0.0949093793030915</v>
      </c>
      <c r="J15" s="38">
        <f t="shared" si="9"/>
        <v>0.062454632966469</v>
      </c>
      <c r="K15" s="72">
        <v>0.0796157433008425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="7" customFormat="1" ht="22.5" customHeight="1" spans="1:179">
      <c r="A16" s="40" t="s">
        <v>25</v>
      </c>
      <c r="B16" s="41">
        <f t="shared" ref="B16:G17" si="10">(B4-C4)/C4</f>
        <v>0.0667301296764379</v>
      </c>
      <c r="C16" s="41">
        <f t="shared" si="10"/>
        <v>0</v>
      </c>
      <c r="D16" s="41">
        <f t="shared" si="10"/>
        <v>-0.137123721053986</v>
      </c>
      <c r="E16" s="41">
        <f t="shared" si="10"/>
        <v>-0.00865396847906269</v>
      </c>
      <c r="F16" s="41">
        <f t="shared" si="10"/>
        <v>-0.0501858175807716</v>
      </c>
      <c r="G16" s="41">
        <f t="shared" si="10"/>
        <v>0.151087694894304</v>
      </c>
      <c r="H16" s="42">
        <f>((H4)-(J4/12))/(J4/12)</f>
        <v>0.965483720934598</v>
      </c>
      <c r="I16" s="73">
        <f>(I4-K4)/K4</f>
        <v>1.90313239688752</v>
      </c>
      <c r="J16" s="41">
        <f>(J4-K4)/K4</f>
        <v>0.436750639186698</v>
      </c>
      <c r="K16" s="74">
        <v>0.65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</row>
    <row r="17" s="7" customFormat="1" ht="22.5" customHeight="1" spans="1:179">
      <c r="A17" s="40" t="s">
        <v>26</v>
      </c>
      <c r="B17" s="41">
        <f t="shared" si="10"/>
        <v>0.0497237569060773</v>
      </c>
      <c r="C17" s="41">
        <f t="shared" si="10"/>
        <v>0</v>
      </c>
      <c r="D17" s="41">
        <f t="shared" si="10"/>
        <v>0</v>
      </c>
      <c r="E17" s="41">
        <f t="shared" si="10"/>
        <v>0.0284090909090909</v>
      </c>
      <c r="F17" s="41">
        <f t="shared" si="10"/>
        <v>0.0476190476190476</v>
      </c>
      <c r="G17" s="41">
        <f t="shared" si="10"/>
        <v>0.0120481927710843</v>
      </c>
      <c r="H17" s="42">
        <f>(H5-J5)/J5</f>
        <v>-0.00598802395209581</v>
      </c>
      <c r="I17" s="73">
        <f>(I5-K5)/K5</f>
        <v>0.151515151515152</v>
      </c>
      <c r="J17" s="41">
        <f>(J5-K5)/K5</f>
        <v>0.0121212121212121</v>
      </c>
      <c r="K17" s="74">
        <v>0.65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</row>
    <row r="18" ht="22.5" customHeight="1" spans="1:11">
      <c r="A18" s="43" t="s">
        <v>27</v>
      </c>
      <c r="B18" s="41">
        <f t="shared" ref="B18:G18" si="11">(B3-C3)/C3</f>
        <v>0</v>
      </c>
      <c r="C18" s="41">
        <f t="shared" si="11"/>
        <v>0</v>
      </c>
      <c r="D18" s="41">
        <f t="shared" si="11"/>
        <v>-0.386746436863801</v>
      </c>
      <c r="E18" s="41">
        <f t="shared" si="11"/>
        <v>-0.383041729574464</v>
      </c>
      <c r="F18" s="41">
        <f t="shared" si="11"/>
        <v>0.99116366654217</v>
      </c>
      <c r="G18" s="41">
        <f t="shared" si="11"/>
        <v>-0.409132947755631</v>
      </c>
      <c r="H18" s="42">
        <f>(H3*12-J3)/J3</f>
        <v>1.14176112700717</v>
      </c>
      <c r="I18" s="75">
        <f>(I3-K3)/K3</f>
        <v>1.15847312892145</v>
      </c>
      <c r="J18" s="76">
        <f>(J3-K3)/K3</f>
        <v>0.623325743550833</v>
      </c>
      <c r="K18" s="77">
        <v>1.61845036311522</v>
      </c>
    </row>
    <row r="19" s="8" customFormat="1" ht="8.25" customHeight="1"/>
    <row r="20" s="8" customFormat="1" ht="8.25" customHeight="1"/>
    <row r="21" ht="22.5" hidden="1" customHeight="1" spans="1:11">
      <c r="A21" s="9" t="s">
        <v>0</v>
      </c>
      <c r="B21" s="10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H21" s="44" t="s">
        <v>7</v>
      </c>
      <c r="I21" s="10" t="s">
        <v>8</v>
      </c>
      <c r="J21" s="11" t="s">
        <v>9</v>
      </c>
      <c r="K21" s="44" t="s">
        <v>10</v>
      </c>
    </row>
    <row r="22" ht="22.5" customHeight="1" spans="1:11">
      <c r="A22" s="13" t="s">
        <v>28</v>
      </c>
      <c r="B22" s="14" t="str">
        <f>TEXT("7/1/2024","mmm-yy")</f>
        <v>Jul-24</v>
      </c>
      <c r="C22" s="14" t="str">
        <f>TEXT("6/1/2024","mmm-yy")</f>
        <v>Jun-24</v>
      </c>
      <c r="D22" s="14" t="str">
        <f>TEXT("5/1/2024","mmm-yy")</f>
        <v>May-24</v>
      </c>
      <c r="E22" s="14" t="str">
        <f>TEXT("4/1/2024","mmm-yy")</f>
        <v>Apr-24</v>
      </c>
      <c r="F22" s="14" t="str">
        <f>TEXT("3/1/2024","mmm-yy")</f>
        <v>Mar-24</v>
      </c>
      <c r="G22" s="14" t="str">
        <f>TEXT("2/1/2024","mmm-yy")</f>
        <v>Feb-24</v>
      </c>
      <c r="H22" s="14" t="str">
        <f>TEXT("1/1/2024","mmm-yy")</f>
        <v>Jan-24</v>
      </c>
      <c r="I22" s="64">
        <f>YEAR(DATE(2024,12,1))</f>
        <v>2024</v>
      </c>
      <c r="J22" s="64">
        <f>YEAR(DATE(2023,12,1))</f>
        <v>2023</v>
      </c>
      <c r="K22" s="64">
        <f>YEAR(DATE(2022,12,1))</f>
        <v>2022</v>
      </c>
    </row>
    <row r="23" ht="22.5" customHeight="1" spans="1:11">
      <c r="A23" s="15" t="s">
        <v>12</v>
      </c>
      <c r="B23" s="17">
        <f>C23</f>
        <v>3937434321.9934</v>
      </c>
      <c r="C23" s="17">
        <f>D23</f>
        <v>3937434321.9934</v>
      </c>
      <c r="D23" s="17">
        <v>3937434321.9934</v>
      </c>
      <c r="E23" s="17">
        <v>6422706252.4225</v>
      </c>
      <c r="F23" s="17">
        <v>10139705493.8916</v>
      </c>
      <c r="G23" s="17">
        <v>3869203693.6984</v>
      </c>
      <c r="H23" s="18">
        <v>9909497764.3024</v>
      </c>
      <c r="I23" s="65">
        <f>AVERAGE(B23:H23)*12*0.9</f>
        <v>65036699234.1696</v>
      </c>
      <c r="J23" s="66">
        <v>49043520607.5823</v>
      </c>
      <c r="K23" s="78">
        <v>24737956953.3051</v>
      </c>
    </row>
    <row r="24" ht="22.5" customHeight="1" spans="1:11">
      <c r="A24" s="15" t="s">
        <v>13</v>
      </c>
      <c r="B24" s="45">
        <f>C24</f>
        <v>142440566.81</v>
      </c>
      <c r="C24" s="45">
        <f>D24+((C25-D25)*900000)</f>
        <v>142440566.81</v>
      </c>
      <c r="D24" s="45">
        <v>134340566.81</v>
      </c>
      <c r="E24" s="45">
        <v>214428849.113444</v>
      </c>
      <c r="F24" s="45">
        <v>206012024.43</v>
      </c>
      <c r="G24" s="45">
        <v>177258522.061603</v>
      </c>
      <c r="H24" s="46">
        <v>167892920.83</v>
      </c>
      <c r="I24" s="56">
        <f>AVERAGE(B24:H24)*12</f>
        <v>2031109743.19722</v>
      </c>
      <c r="J24" s="45">
        <v>1408282968.232</v>
      </c>
      <c r="K24" s="46">
        <v>626955100.028533</v>
      </c>
    </row>
    <row r="25" ht="22.5" customHeight="1" spans="1:11">
      <c r="A25" s="22" t="s">
        <v>14</v>
      </c>
      <c r="B25" s="25">
        <f>OFS[[#This Row],[Column3]]</f>
        <v>152</v>
      </c>
      <c r="C25" s="25">
        <f>OFS[[#This Row],[Column4]]+9</f>
        <v>152</v>
      </c>
      <c r="D25" s="25">
        <v>143</v>
      </c>
      <c r="E25" s="25">
        <v>143</v>
      </c>
      <c r="F25" s="25">
        <v>139</v>
      </c>
      <c r="G25" s="25">
        <v>130</v>
      </c>
      <c r="H25" s="26">
        <v>128</v>
      </c>
      <c r="I25" s="23">
        <f>MAX(B25:H25)</f>
        <v>152</v>
      </c>
      <c r="J25" s="79">
        <v>128</v>
      </c>
      <c r="K25" s="80">
        <v>123</v>
      </c>
    </row>
    <row r="26" ht="22.5" customHeight="1" spans="1:11">
      <c r="A26" s="22" t="s">
        <v>15</v>
      </c>
      <c r="B26" s="3">
        <v>33</v>
      </c>
      <c r="C26" s="3">
        <v>33</v>
      </c>
      <c r="D26" s="3">
        <v>33</v>
      </c>
      <c r="E26" s="3">
        <v>38</v>
      </c>
      <c r="F26" s="3">
        <v>37</v>
      </c>
      <c r="G26" s="3">
        <v>36</v>
      </c>
      <c r="H26" s="27">
        <v>31</v>
      </c>
      <c r="I26" s="23">
        <f>MIN(B26:H26)</f>
        <v>31</v>
      </c>
      <c r="J26" s="79">
        <v>30</v>
      </c>
      <c r="K26" s="80">
        <v>101</v>
      </c>
    </row>
    <row r="27" ht="22.5" customHeight="1" spans="1:11">
      <c r="A27" s="22" t="s">
        <v>16</v>
      </c>
      <c r="B27" s="25">
        <f t="shared" ref="B27:K27" si="12">B26+B25</f>
        <v>185</v>
      </c>
      <c r="C27" s="25">
        <f t="shared" si="12"/>
        <v>185</v>
      </c>
      <c r="D27" s="25">
        <f t="shared" si="12"/>
        <v>176</v>
      </c>
      <c r="E27" s="25">
        <f t="shared" si="12"/>
        <v>181</v>
      </c>
      <c r="F27" s="25">
        <f t="shared" si="12"/>
        <v>176</v>
      </c>
      <c r="G27" s="25">
        <f t="shared" si="12"/>
        <v>166</v>
      </c>
      <c r="H27" s="26">
        <f t="shared" si="12"/>
        <v>159</v>
      </c>
      <c r="I27" s="23">
        <f t="shared" si="12"/>
        <v>183</v>
      </c>
      <c r="J27" s="79">
        <f t="shared" si="12"/>
        <v>158</v>
      </c>
      <c r="K27" s="80">
        <f t="shared" si="12"/>
        <v>224</v>
      </c>
    </row>
    <row r="28" ht="22.5" customHeight="1" spans="1:11">
      <c r="A28" s="29" t="s">
        <v>17</v>
      </c>
      <c r="B28" s="30">
        <f t="shared" ref="B28:K28" si="13">B23/B25</f>
        <v>25904173.1710092</v>
      </c>
      <c r="C28" s="31">
        <f t="shared" si="13"/>
        <v>25904173.1710092</v>
      </c>
      <c r="D28" s="31">
        <f t="shared" si="13"/>
        <v>27534505.7482056</v>
      </c>
      <c r="E28" s="31">
        <f t="shared" si="13"/>
        <v>44914029.7372203</v>
      </c>
      <c r="F28" s="31">
        <f t="shared" si="13"/>
        <v>72947521.5387885</v>
      </c>
      <c r="G28" s="31">
        <f t="shared" si="13"/>
        <v>29763105.3361415</v>
      </c>
      <c r="H28" s="32">
        <f t="shared" si="13"/>
        <v>77417951.2836125</v>
      </c>
      <c r="I28" s="30">
        <f t="shared" si="13"/>
        <v>427873021.277431</v>
      </c>
      <c r="J28" s="31">
        <f t="shared" si="13"/>
        <v>383152504.746737</v>
      </c>
      <c r="K28" s="32">
        <f t="shared" si="13"/>
        <v>201121601.246383</v>
      </c>
    </row>
    <row r="29" ht="22.5" customHeight="1" spans="1:11">
      <c r="A29" s="29" t="s">
        <v>18</v>
      </c>
      <c r="B29" s="30">
        <f t="shared" ref="B29:K29" si="14">B23/B26</f>
        <v>119316191.575558</v>
      </c>
      <c r="C29" s="31">
        <f t="shared" si="14"/>
        <v>119316191.575558</v>
      </c>
      <c r="D29" s="31">
        <f t="shared" si="14"/>
        <v>119316191.575558</v>
      </c>
      <c r="E29" s="31">
        <f t="shared" si="14"/>
        <v>169018585.590066</v>
      </c>
      <c r="F29" s="31">
        <f t="shared" si="14"/>
        <v>274046094.429503</v>
      </c>
      <c r="G29" s="31">
        <f t="shared" si="14"/>
        <v>107477880.380511</v>
      </c>
      <c r="H29" s="32">
        <f t="shared" si="14"/>
        <v>319661218.203303</v>
      </c>
      <c r="I29" s="30">
        <f t="shared" si="14"/>
        <v>2097958039.81192</v>
      </c>
      <c r="J29" s="31">
        <f t="shared" si="14"/>
        <v>1634784020.25274</v>
      </c>
      <c r="K29" s="32">
        <f t="shared" si="14"/>
        <v>244930266.864407</v>
      </c>
    </row>
    <row r="30" ht="22.5" customHeight="1" spans="1:11">
      <c r="A30" s="29" t="s">
        <v>19</v>
      </c>
      <c r="B30" s="30">
        <f t="shared" ref="B30:K30" si="15">B23/B27</f>
        <v>21283428.7675319</v>
      </c>
      <c r="C30" s="31">
        <f t="shared" si="15"/>
        <v>21283428.7675319</v>
      </c>
      <c r="D30" s="31">
        <f t="shared" si="15"/>
        <v>22371785.920417</v>
      </c>
      <c r="E30" s="31">
        <f t="shared" si="15"/>
        <v>35484564.930511</v>
      </c>
      <c r="F30" s="31">
        <f t="shared" si="15"/>
        <v>57611963.033475</v>
      </c>
      <c r="G30" s="31">
        <f t="shared" si="15"/>
        <v>23308455.9861349</v>
      </c>
      <c r="H30" s="32">
        <f t="shared" si="15"/>
        <v>62323885.310078</v>
      </c>
      <c r="I30" s="30">
        <f t="shared" si="15"/>
        <v>355391799.093823</v>
      </c>
      <c r="J30" s="31">
        <f t="shared" si="15"/>
        <v>310402029.161913</v>
      </c>
      <c r="K30" s="32">
        <f t="shared" si="15"/>
        <v>110437307.827255</v>
      </c>
    </row>
    <row r="31" ht="22.5" customHeight="1" spans="1:11">
      <c r="A31" s="33" t="s">
        <v>20</v>
      </c>
      <c r="B31" s="34">
        <f>K28/12</f>
        <v>16760133.4371986</v>
      </c>
      <c r="C31" s="35">
        <f t="shared" ref="C31:H31" si="16">$B$31</f>
        <v>16760133.4371986</v>
      </c>
      <c r="D31" s="35">
        <f t="shared" si="16"/>
        <v>16760133.4371986</v>
      </c>
      <c r="E31" s="35">
        <f t="shared" si="16"/>
        <v>16760133.4371986</v>
      </c>
      <c r="F31" s="35">
        <f t="shared" si="16"/>
        <v>16760133.4371986</v>
      </c>
      <c r="G31" s="35">
        <f t="shared" si="16"/>
        <v>16760133.4371986</v>
      </c>
      <c r="H31" s="36">
        <f t="shared" si="16"/>
        <v>16760133.4371986</v>
      </c>
      <c r="I31" s="34">
        <f>$K$28</f>
        <v>201121601.246383</v>
      </c>
      <c r="J31" s="35">
        <f>$I$31</f>
        <v>201121601.246383</v>
      </c>
      <c r="K31" s="36">
        <f>$I$31</f>
        <v>201121601.246383</v>
      </c>
    </row>
    <row r="32" ht="22.5" customHeight="1" spans="1:11">
      <c r="A32" s="33" t="s">
        <v>21</v>
      </c>
      <c r="B32" s="34">
        <f>K30/12</f>
        <v>9203108.98560457</v>
      </c>
      <c r="C32" s="35">
        <f t="shared" ref="C32:H32" si="17">$B$32</f>
        <v>9203108.98560457</v>
      </c>
      <c r="D32" s="35">
        <f t="shared" si="17"/>
        <v>9203108.98560457</v>
      </c>
      <c r="E32" s="35">
        <f t="shared" si="17"/>
        <v>9203108.98560457</v>
      </c>
      <c r="F32" s="35">
        <f t="shared" si="17"/>
        <v>9203108.98560457</v>
      </c>
      <c r="G32" s="35">
        <f t="shared" si="17"/>
        <v>9203108.98560457</v>
      </c>
      <c r="H32" s="36">
        <f t="shared" si="17"/>
        <v>9203108.98560457</v>
      </c>
      <c r="I32" s="34">
        <f>K30</f>
        <v>110437307.827255</v>
      </c>
      <c r="J32" s="35">
        <f>$I$32</f>
        <v>110437307.827255</v>
      </c>
      <c r="K32" s="36">
        <f>$I$32</f>
        <v>110437307.827255</v>
      </c>
    </row>
    <row r="33" ht="22.5" customHeight="1" spans="1:11">
      <c r="A33" s="29" t="s">
        <v>22</v>
      </c>
      <c r="B33" s="30">
        <f t="shared" ref="B33:H33" si="18">B24/B25</f>
        <v>937108.992171053</v>
      </c>
      <c r="C33" s="31">
        <f t="shared" si="18"/>
        <v>937108.992171053</v>
      </c>
      <c r="D33" s="31">
        <f t="shared" si="18"/>
        <v>939444.523146853</v>
      </c>
      <c r="E33" s="31">
        <f t="shared" si="18"/>
        <v>1499502.44135276</v>
      </c>
      <c r="F33" s="31">
        <f t="shared" si="18"/>
        <v>1482100.89517986</v>
      </c>
      <c r="G33" s="31">
        <f t="shared" si="18"/>
        <v>1363527.09278156</v>
      </c>
      <c r="H33" s="32">
        <f t="shared" si="18"/>
        <v>1311663.44398438</v>
      </c>
      <c r="I33" s="30">
        <f>(I24/12)/I25</f>
        <v>1113547.00833181</v>
      </c>
      <c r="J33" s="31">
        <f>(J24/12)/J25</f>
        <v>916850.890776042</v>
      </c>
      <c r="K33" s="32">
        <f>(K24/12)/K25</f>
        <v>424766.32793261</v>
      </c>
    </row>
    <row r="34" ht="22.5" customHeight="1" spans="1:11">
      <c r="A34" s="29" t="s">
        <v>23</v>
      </c>
      <c r="B34" s="30">
        <f t="shared" ref="B34:H34" si="19">B24/B27</f>
        <v>769949.009783784</v>
      </c>
      <c r="C34" s="31">
        <f t="shared" si="19"/>
        <v>769949.009783784</v>
      </c>
      <c r="D34" s="31">
        <f t="shared" si="19"/>
        <v>763298.675056818</v>
      </c>
      <c r="E34" s="31">
        <f t="shared" si="19"/>
        <v>1184689.77410743</v>
      </c>
      <c r="F34" s="31">
        <f t="shared" si="19"/>
        <v>1170522.86607955</v>
      </c>
      <c r="G34" s="31">
        <f t="shared" si="19"/>
        <v>1067822.42205785</v>
      </c>
      <c r="H34" s="32">
        <f t="shared" si="19"/>
        <v>1055930.31968553</v>
      </c>
      <c r="I34" s="30">
        <f>(I24/12)/I27</f>
        <v>924913.362111668</v>
      </c>
      <c r="J34" s="31">
        <f>(J24/12)/J27</f>
        <v>742765.278603376</v>
      </c>
      <c r="K34" s="32">
        <f>(K24/12)/K27</f>
        <v>233242.224712996</v>
      </c>
    </row>
    <row r="35" ht="22.5" customHeight="1" spans="1:11">
      <c r="A35" s="29" t="s">
        <v>24</v>
      </c>
      <c r="B35" s="37">
        <f t="shared" ref="B35:K35" si="20">B24/B23</f>
        <v>0.0361759854670761</v>
      </c>
      <c r="C35" s="38">
        <f t="shared" si="20"/>
        <v>0.0361759854670761</v>
      </c>
      <c r="D35" s="38">
        <f t="shared" si="20"/>
        <v>0.0341188082959534</v>
      </c>
      <c r="E35" s="38">
        <f t="shared" si="20"/>
        <v>0.0333860588801747</v>
      </c>
      <c r="F35" s="38">
        <f t="shared" si="20"/>
        <v>0.0203173577925026</v>
      </c>
      <c r="G35" s="38">
        <f t="shared" si="20"/>
        <v>0.0458126622669921</v>
      </c>
      <c r="H35" s="39">
        <f t="shared" si="20"/>
        <v>0.0169426266419688</v>
      </c>
      <c r="I35" s="37">
        <f t="shared" si="20"/>
        <v>0.0312302095142322</v>
      </c>
      <c r="J35" s="38">
        <f t="shared" si="20"/>
        <v>0.0287149648064677</v>
      </c>
      <c r="K35" s="39">
        <f t="shared" si="20"/>
        <v>0.0253438512004836</v>
      </c>
    </row>
    <row r="36" ht="22.5" customHeight="1" spans="1:11">
      <c r="A36" s="47" t="s">
        <v>25</v>
      </c>
      <c r="B36" s="48">
        <f t="shared" ref="B36:F37" si="21">(B24-C24)/C24</f>
        <v>0</v>
      </c>
      <c r="C36" s="49">
        <f t="shared" si="21"/>
        <v>0.0602945200570425</v>
      </c>
      <c r="D36" s="49">
        <f t="shared" si="21"/>
        <v>-0.373495836192606</v>
      </c>
      <c r="E36" s="49">
        <f t="shared" si="21"/>
        <v>0.0408559874440917</v>
      </c>
      <c r="F36" s="49">
        <f t="shared" si="21"/>
        <v>0.162212242514378</v>
      </c>
      <c r="G36" s="49">
        <f>IFERROR((G24-H24)/H24,0)</f>
        <v>0.0557831812401795</v>
      </c>
      <c r="H36" s="50">
        <f>IFERROR(((H24)-(J24/12))/(J24/12),0)</f>
        <v>0.430618061432166</v>
      </c>
      <c r="I36" s="73">
        <f>(I24-K24)/K24</f>
        <v>2.23964147210029</v>
      </c>
      <c r="J36" s="49">
        <f>(J24-K24)/K24</f>
        <v>1.2462261941372</v>
      </c>
      <c r="K36" s="50">
        <v>0.24</v>
      </c>
    </row>
    <row r="37" ht="22.5" customHeight="1" spans="1:11">
      <c r="A37" s="47" t="s">
        <v>26</v>
      </c>
      <c r="B37" s="48">
        <f t="shared" si="21"/>
        <v>0</v>
      </c>
      <c r="C37" s="48">
        <f t="shared" si="21"/>
        <v>0.0629370629370629</v>
      </c>
      <c r="D37" s="48">
        <f t="shared" si="21"/>
        <v>0</v>
      </c>
      <c r="E37" s="48">
        <f t="shared" si="21"/>
        <v>0.0287769784172662</v>
      </c>
      <c r="F37" s="48">
        <f t="shared" si="21"/>
        <v>0.0692307692307692</v>
      </c>
      <c r="G37" s="48">
        <f>(G25-H25)/H25</f>
        <v>0.015625</v>
      </c>
      <c r="H37" s="51">
        <f>(H25-J25)/J25</f>
        <v>0</v>
      </c>
      <c r="I37" s="73">
        <f>(I25-K25)/K25</f>
        <v>0.235772357723577</v>
      </c>
      <c r="J37" s="48">
        <f>(J25-K25)/K25</f>
        <v>0.040650406504065</v>
      </c>
      <c r="K37" s="50">
        <v>0.24</v>
      </c>
    </row>
    <row r="38" ht="22.5" customHeight="1" spans="1:11">
      <c r="A38" s="52" t="s">
        <v>27</v>
      </c>
      <c r="B38" s="53">
        <f t="shared" ref="B38:G38" si="22">(B23-C23)/C23</f>
        <v>0</v>
      </c>
      <c r="C38" s="54">
        <f t="shared" si="22"/>
        <v>0</v>
      </c>
      <c r="D38" s="54">
        <f t="shared" si="22"/>
        <v>-0.386950894646896</v>
      </c>
      <c r="E38" s="54">
        <f t="shared" si="22"/>
        <v>-0.366578619439027</v>
      </c>
      <c r="F38" s="54">
        <f t="shared" si="22"/>
        <v>1.62061816761048</v>
      </c>
      <c r="G38" s="54">
        <f t="shared" si="22"/>
        <v>-0.609545934039496</v>
      </c>
      <c r="H38" s="55">
        <f>(H23*12-J23)/J23</f>
        <v>1.424662253004</v>
      </c>
      <c r="I38" s="53">
        <f>(I23-J23)/J23</f>
        <v>0.326101764890726</v>
      </c>
      <c r="J38" s="54">
        <f>(J23-K23)/K23</f>
        <v>0.982521058636973</v>
      </c>
      <c r="K38" s="55">
        <v>0.728287766498309</v>
      </c>
    </row>
    <row r="39" s="8" customFormat="1" ht="8.25" customHeight="1"/>
    <row r="40" s="8" customFormat="1" ht="8.25" customHeight="1"/>
    <row r="41" ht="22.5" hidden="1" customHeight="1" spans="1:11">
      <c r="A41" s="9" t="s">
        <v>0</v>
      </c>
      <c r="B41" s="10" t="s">
        <v>1</v>
      </c>
      <c r="C41" s="11" t="s">
        <v>2</v>
      </c>
      <c r="D41" s="11" t="s">
        <v>3</v>
      </c>
      <c r="E41" s="11" t="s">
        <v>4</v>
      </c>
      <c r="F41" s="11" t="s">
        <v>5</v>
      </c>
      <c r="G41" s="11" t="s">
        <v>6</v>
      </c>
      <c r="H41" s="44" t="s">
        <v>7</v>
      </c>
      <c r="I41" s="10" t="s">
        <v>8</v>
      </c>
      <c r="J41" s="11" t="s">
        <v>9</v>
      </c>
      <c r="K41" s="44" t="s">
        <v>10</v>
      </c>
    </row>
    <row r="42" ht="22.5" customHeight="1" spans="1:11">
      <c r="A42" s="13" t="s">
        <v>29</v>
      </c>
      <c r="B42" s="14" t="str">
        <f>TEXT("7/1/2024","mmm-yy")</f>
        <v>Jul-24</v>
      </c>
      <c r="C42" s="14" t="str">
        <f>TEXT("6/1/2024","mmm-yy")</f>
        <v>Jun-24</v>
      </c>
      <c r="D42" s="14" t="str">
        <f>TEXT("5/1/2024","mmm-yy")</f>
        <v>May-24</v>
      </c>
      <c r="E42" s="14" t="str">
        <f>TEXT("4/1/2024","mmm-yy")</f>
        <v>Apr-24</v>
      </c>
      <c r="F42" s="14" t="str">
        <f>TEXT("3/1/2024","mmm-yy")</f>
        <v>Mar-24</v>
      </c>
      <c r="G42" s="14" t="str">
        <f>TEXT("2/1/2024","mmm-yy")</f>
        <v>Feb-24</v>
      </c>
      <c r="H42" s="14" t="str">
        <f>TEXT("1/1/2024","mmm-yy")</f>
        <v>Jan-24</v>
      </c>
      <c r="I42" s="64">
        <f>YEAR(DATE(2024,12,1))</f>
        <v>2024</v>
      </c>
      <c r="J42" s="64">
        <f>YEAR(DATE(2023,12,1))</f>
        <v>2023</v>
      </c>
      <c r="K42" s="64">
        <f>YEAR(DATE(2022,12,1))</f>
        <v>2022</v>
      </c>
    </row>
    <row r="43" ht="22.5" customHeight="1" spans="1:11">
      <c r="A43" s="15" t="s">
        <v>12</v>
      </c>
      <c r="B43" s="16">
        <f>D43</f>
        <v>651949149.075</v>
      </c>
      <c r="C43" s="17">
        <f>D43</f>
        <v>651949149.075</v>
      </c>
      <c r="D43" s="17">
        <v>651949149.075</v>
      </c>
      <c r="E43" s="17">
        <v>1060957515.625</v>
      </c>
      <c r="F43" s="17">
        <v>1990229587.27</v>
      </c>
      <c r="G43" s="17">
        <v>2222678799.43</v>
      </c>
      <c r="H43" s="18">
        <v>400575322.34</v>
      </c>
      <c r="I43" s="16">
        <f>AVERAGE(B43:H43)*12*0.9</f>
        <v>11772445379.4874</v>
      </c>
      <c r="J43" s="81">
        <v>8722434465.3779</v>
      </c>
      <c r="K43" s="82">
        <v>10846986673.9696</v>
      </c>
    </row>
    <row r="44" ht="22.5" customHeight="1" spans="1:11">
      <c r="A44" s="15" t="s">
        <v>13</v>
      </c>
      <c r="B44" s="56">
        <v>312504169.432533</v>
      </c>
      <c r="C44" s="45">
        <v>312504169.432533</v>
      </c>
      <c r="D44" s="45">
        <v>418303723.712533</v>
      </c>
      <c r="E44" s="45">
        <v>426038740.513167</v>
      </c>
      <c r="F44" s="45">
        <v>440046535.610833</v>
      </c>
      <c r="G44" s="45">
        <v>502936164.435167</v>
      </c>
      <c r="H44" s="46">
        <v>423021819.648767</v>
      </c>
      <c r="I44" s="56">
        <f>AVERAGE(B44:H44)*12</f>
        <v>4860609124.7752</v>
      </c>
      <c r="J44" s="45">
        <v>2326495389.12877</v>
      </c>
      <c r="K44" s="46">
        <v>1219020648.80391</v>
      </c>
    </row>
    <row r="45" ht="22.5" customHeight="1" spans="1:11">
      <c r="A45" s="22" t="s">
        <v>14</v>
      </c>
      <c r="B45" s="28">
        <v>31</v>
      </c>
      <c r="C45" s="25">
        <v>31</v>
      </c>
      <c r="D45" s="25">
        <v>38</v>
      </c>
      <c r="E45" s="25">
        <v>38</v>
      </c>
      <c r="F45" s="25">
        <v>37</v>
      </c>
      <c r="G45" s="25">
        <v>38</v>
      </c>
      <c r="H45" s="26">
        <v>38</v>
      </c>
      <c r="I45" s="23">
        <f>MAX(B45:H45)</f>
        <v>38</v>
      </c>
      <c r="J45" s="24">
        <v>39</v>
      </c>
      <c r="K45" s="83">
        <v>42</v>
      </c>
    </row>
    <row r="46" ht="22.5" customHeight="1" spans="1:11">
      <c r="A46" s="22" t="s">
        <v>15</v>
      </c>
      <c r="B46" s="28">
        <v>269</v>
      </c>
      <c r="C46" s="25">
        <v>269</v>
      </c>
      <c r="D46" s="3">
        <v>255</v>
      </c>
      <c r="E46" s="3">
        <v>266</v>
      </c>
      <c r="F46" s="3">
        <v>294</v>
      </c>
      <c r="G46" s="3">
        <v>315</v>
      </c>
      <c r="H46" s="27">
        <v>320</v>
      </c>
      <c r="I46" s="23">
        <f>MIN(B46:H46)</f>
        <v>255</v>
      </c>
      <c r="J46" s="24">
        <v>320</v>
      </c>
      <c r="K46" s="83">
        <v>137</v>
      </c>
    </row>
    <row r="47" ht="22.5" customHeight="1" spans="1:11">
      <c r="A47" s="22" t="s">
        <v>16</v>
      </c>
      <c r="B47" s="28">
        <f t="shared" ref="B47:K47" si="23">B46+B45</f>
        <v>300</v>
      </c>
      <c r="C47" s="25">
        <f t="shared" si="23"/>
        <v>300</v>
      </c>
      <c r="D47" s="25">
        <f t="shared" si="23"/>
        <v>293</v>
      </c>
      <c r="E47" s="25">
        <f t="shared" si="23"/>
        <v>304</v>
      </c>
      <c r="F47" s="25">
        <f t="shared" si="23"/>
        <v>331</v>
      </c>
      <c r="G47" s="25">
        <f t="shared" si="23"/>
        <v>353</v>
      </c>
      <c r="H47" s="26">
        <f t="shared" si="23"/>
        <v>358</v>
      </c>
      <c r="I47" s="23">
        <f t="shared" si="23"/>
        <v>293</v>
      </c>
      <c r="J47" s="24">
        <f t="shared" si="23"/>
        <v>359</v>
      </c>
      <c r="K47" s="83">
        <f t="shared" si="23"/>
        <v>179</v>
      </c>
    </row>
    <row r="48" ht="22.5" customHeight="1" spans="1:11">
      <c r="A48" s="29" t="s">
        <v>17</v>
      </c>
      <c r="B48" s="30">
        <f t="shared" ref="B48:K48" si="24">B43/B45</f>
        <v>21030617.7120968</v>
      </c>
      <c r="C48" s="31">
        <f t="shared" si="24"/>
        <v>21030617.7120968</v>
      </c>
      <c r="D48" s="31">
        <f t="shared" si="24"/>
        <v>17156556.5546053</v>
      </c>
      <c r="E48" s="31">
        <f t="shared" si="24"/>
        <v>27919934.6217105</v>
      </c>
      <c r="F48" s="31">
        <f t="shared" si="24"/>
        <v>53789988.8451351</v>
      </c>
      <c r="G48" s="31">
        <f t="shared" si="24"/>
        <v>58491547.353421</v>
      </c>
      <c r="H48" s="32">
        <f t="shared" si="24"/>
        <v>10541455.8510526</v>
      </c>
      <c r="I48" s="30">
        <f t="shared" si="24"/>
        <v>309801194.197038</v>
      </c>
      <c r="J48" s="31">
        <f t="shared" si="24"/>
        <v>223652165.778921</v>
      </c>
      <c r="K48" s="32">
        <f t="shared" si="24"/>
        <v>258261587.475467</v>
      </c>
    </row>
    <row r="49" ht="22.5" customHeight="1" spans="1:11">
      <c r="A49" s="29" t="s">
        <v>18</v>
      </c>
      <c r="B49" s="30">
        <f t="shared" ref="B49:K49" si="25">B43/B46</f>
        <v>2423602.78466543</v>
      </c>
      <c r="C49" s="31">
        <f t="shared" si="25"/>
        <v>2423602.78466543</v>
      </c>
      <c r="D49" s="31">
        <f t="shared" si="25"/>
        <v>2556663.32970588</v>
      </c>
      <c r="E49" s="31">
        <f t="shared" si="25"/>
        <v>3988562.08881579</v>
      </c>
      <c r="F49" s="31">
        <f t="shared" si="25"/>
        <v>6769488.39207483</v>
      </c>
      <c r="G49" s="31">
        <f t="shared" si="25"/>
        <v>7056123.17279365</v>
      </c>
      <c r="H49" s="32">
        <f t="shared" si="25"/>
        <v>1251797.8823125</v>
      </c>
      <c r="I49" s="30">
        <f t="shared" si="25"/>
        <v>46166452.4685782</v>
      </c>
      <c r="J49" s="31">
        <f t="shared" si="25"/>
        <v>27257607.7043059</v>
      </c>
      <c r="K49" s="32">
        <f t="shared" si="25"/>
        <v>79175085.2114569</v>
      </c>
    </row>
    <row r="50" ht="22.5" customHeight="1" spans="1:11">
      <c r="A50" s="29" t="s">
        <v>19</v>
      </c>
      <c r="B50" s="30">
        <f t="shared" ref="B50:K50" si="26">B43/B47</f>
        <v>2173163.83025</v>
      </c>
      <c r="C50" s="31">
        <f t="shared" si="26"/>
        <v>2173163.83025</v>
      </c>
      <c r="D50" s="31">
        <f t="shared" si="26"/>
        <v>2225082.42005119</v>
      </c>
      <c r="E50" s="31">
        <f t="shared" si="26"/>
        <v>3489991.82771382</v>
      </c>
      <c r="F50" s="31">
        <f t="shared" si="26"/>
        <v>6012778.20927492</v>
      </c>
      <c r="G50" s="31">
        <f t="shared" si="26"/>
        <v>6296540.50830028</v>
      </c>
      <c r="H50" s="32">
        <f t="shared" si="26"/>
        <v>1118925.48139665</v>
      </c>
      <c r="I50" s="30">
        <f t="shared" si="26"/>
        <v>40178994.4692404</v>
      </c>
      <c r="J50" s="31">
        <f t="shared" si="26"/>
        <v>24296474.8339217</v>
      </c>
      <c r="K50" s="32">
        <f t="shared" si="26"/>
        <v>60597690.9160313</v>
      </c>
    </row>
    <row r="51" ht="22.5" customHeight="1" spans="1:11">
      <c r="A51" s="33" t="s">
        <v>20</v>
      </c>
      <c r="B51" s="34">
        <f>K48/12</f>
        <v>21521798.9562889</v>
      </c>
      <c r="C51" s="35">
        <f t="shared" ref="C51:H52" si="27">B51</f>
        <v>21521798.9562889</v>
      </c>
      <c r="D51" s="35">
        <f t="shared" si="27"/>
        <v>21521798.9562889</v>
      </c>
      <c r="E51" s="35">
        <f t="shared" si="27"/>
        <v>21521798.9562889</v>
      </c>
      <c r="F51" s="35">
        <f t="shared" si="27"/>
        <v>21521798.9562889</v>
      </c>
      <c r="G51" s="35">
        <f t="shared" si="27"/>
        <v>21521798.9562889</v>
      </c>
      <c r="H51" s="36">
        <f t="shared" si="27"/>
        <v>21521798.9562889</v>
      </c>
      <c r="I51" s="34">
        <f>K48</f>
        <v>258261587.475467</v>
      </c>
      <c r="J51" s="35">
        <f>I51</f>
        <v>258261587.475467</v>
      </c>
      <c r="K51" s="36">
        <f>J51</f>
        <v>258261587.475467</v>
      </c>
    </row>
    <row r="52" ht="22.5" customHeight="1" spans="1:11">
      <c r="A52" s="33" t="s">
        <v>21</v>
      </c>
      <c r="B52" s="34">
        <f>K50/12</f>
        <v>5049807.57633594</v>
      </c>
      <c r="C52" s="35">
        <f t="shared" si="27"/>
        <v>5049807.57633594</v>
      </c>
      <c r="D52" s="35">
        <f t="shared" si="27"/>
        <v>5049807.57633594</v>
      </c>
      <c r="E52" s="35">
        <f t="shared" si="27"/>
        <v>5049807.57633594</v>
      </c>
      <c r="F52" s="35">
        <f t="shared" si="27"/>
        <v>5049807.57633594</v>
      </c>
      <c r="G52" s="35">
        <f t="shared" si="27"/>
        <v>5049807.57633594</v>
      </c>
      <c r="H52" s="36">
        <f t="shared" si="27"/>
        <v>5049807.57633594</v>
      </c>
      <c r="I52" s="34">
        <f>K50</f>
        <v>60597690.9160313</v>
      </c>
      <c r="J52" s="35">
        <f>I52</f>
        <v>60597690.9160313</v>
      </c>
      <c r="K52" s="36">
        <f>J52</f>
        <v>60597690.9160313</v>
      </c>
    </row>
    <row r="53" ht="22.5" hidden="1" customHeight="1" spans="1:11">
      <c r="A53" s="29" t="s">
        <v>30</v>
      </c>
      <c r="B53" s="57">
        <f t="shared" ref="B53:G55" si="28">(B48-C48)/C48</f>
        <v>0</v>
      </c>
      <c r="C53" s="58">
        <f t="shared" si="28"/>
        <v>0.225806451612903</v>
      </c>
      <c r="D53" s="58">
        <f t="shared" si="28"/>
        <v>-0.385508713144896</v>
      </c>
      <c r="E53" s="58">
        <f t="shared" si="28"/>
        <v>-0.480945521255008</v>
      </c>
      <c r="F53" s="58">
        <f t="shared" si="28"/>
        <v>-0.0803801356096442</v>
      </c>
      <c r="G53" s="58">
        <f t="shared" si="28"/>
        <v>4.54871624753618</v>
      </c>
      <c r="H53" s="59">
        <f>(H48-(J48/12))/(J48/12)</f>
        <v>-0.434400870780416</v>
      </c>
      <c r="I53" s="57">
        <f t="shared" ref="I53:J55" si="29">(I48-J48)/J48</f>
        <v>0.385192015101142</v>
      </c>
      <c r="J53" s="58">
        <f t="shared" si="29"/>
        <v>-0.134009172772679</v>
      </c>
      <c r="K53" s="59">
        <v>1</v>
      </c>
    </row>
    <row r="54" ht="22.5" hidden="1" customHeight="1" spans="1:11">
      <c r="A54" s="29" t="s">
        <v>31</v>
      </c>
      <c r="B54" s="57">
        <f t="shared" si="28"/>
        <v>0</v>
      </c>
      <c r="C54" s="58">
        <f t="shared" si="28"/>
        <v>-0.0520446096654275</v>
      </c>
      <c r="D54" s="58">
        <f t="shared" si="28"/>
        <v>-0.359001245868794</v>
      </c>
      <c r="E54" s="58">
        <f t="shared" si="28"/>
        <v>-0.410803024127307</v>
      </c>
      <c r="F54" s="58">
        <f t="shared" si="28"/>
        <v>-0.0406221339536702</v>
      </c>
      <c r="G54" s="58">
        <f t="shared" si="28"/>
        <v>4.63679110860818</v>
      </c>
      <c r="H54" s="59">
        <f>(H49-(J49/12))/(J49/12)</f>
        <v>-0.448903412555277</v>
      </c>
      <c r="I54" s="57">
        <f t="shared" si="29"/>
        <v>0.693708889253886</v>
      </c>
      <c r="J54" s="58">
        <f t="shared" si="29"/>
        <v>-0.655729985872353</v>
      </c>
      <c r="K54" s="59">
        <v>1</v>
      </c>
    </row>
    <row r="55" ht="22.5" hidden="1" customHeight="1" spans="1:11">
      <c r="A55" s="29" t="s">
        <v>32</v>
      </c>
      <c r="B55" s="57">
        <f t="shared" si="28"/>
        <v>0</v>
      </c>
      <c r="C55" s="58">
        <f t="shared" si="28"/>
        <v>-0.0233333333333334</v>
      </c>
      <c r="D55" s="58">
        <f t="shared" si="28"/>
        <v>-0.362439074389244</v>
      </c>
      <c r="E55" s="58">
        <f t="shared" si="28"/>
        <v>-0.41957083626827</v>
      </c>
      <c r="F55" s="58">
        <f t="shared" si="28"/>
        <v>-0.0450663818729181</v>
      </c>
      <c r="G55" s="58">
        <f t="shared" si="28"/>
        <v>4.62730996209052</v>
      </c>
      <c r="H55" s="59">
        <f>(H50-(J50/12))/(J50/12)</f>
        <v>-0.447364036612694</v>
      </c>
      <c r="I55" s="57">
        <f t="shared" si="29"/>
        <v>0.653696461889366</v>
      </c>
      <c r="J55" s="58">
        <f t="shared" si="29"/>
        <v>-0.599052794477124</v>
      </c>
      <c r="K55" s="59">
        <v>1</v>
      </c>
    </row>
    <row r="56" ht="22.5" hidden="1" customHeight="1" spans="1:11">
      <c r="A56" s="60" t="s">
        <v>33</v>
      </c>
      <c r="B56" s="61" t="e">
        <f>#REF!-B45</f>
        <v>#REF!</v>
      </c>
      <c r="C56" s="62" t="e">
        <f>#REF!-C45</f>
        <v>#REF!</v>
      </c>
      <c r="D56" s="62" t="e">
        <f>#REF!-D45</f>
        <v>#REF!</v>
      </c>
      <c r="E56" s="62" t="e">
        <f>#REF!-E45</f>
        <v>#REF!</v>
      </c>
      <c r="F56" s="62" t="e">
        <f>#REF!-F45</f>
        <v>#REF!</v>
      </c>
      <c r="G56" s="62" t="e">
        <f>#REF!-G45</f>
        <v>#REF!</v>
      </c>
      <c r="H56" s="63" t="e">
        <f>#REF!-H45</f>
        <v>#REF!</v>
      </c>
      <c r="I56" s="61" t="e">
        <f>#REF!-I45</f>
        <v>#REF!</v>
      </c>
      <c r="J56" s="62" t="e">
        <f>#REF!-J45</f>
        <v>#REF!</v>
      </c>
      <c r="K56" s="63" t="e">
        <f>#REF!-K45</f>
        <v>#REF!</v>
      </c>
    </row>
    <row r="57" ht="22.5" hidden="1" customHeight="1" spans="1:11">
      <c r="A57" s="60" t="s">
        <v>34</v>
      </c>
      <c r="B57" s="61" t="e">
        <f>#REF!-B47</f>
        <v>#REF!</v>
      </c>
      <c r="C57" s="62" t="e">
        <f>#REF!-C47</f>
        <v>#REF!</v>
      </c>
      <c r="D57" s="62" t="e">
        <f>#REF!-D47</f>
        <v>#REF!</v>
      </c>
      <c r="E57" s="62" t="e">
        <f>#REF!-E47</f>
        <v>#REF!</v>
      </c>
      <c r="F57" s="62" t="e">
        <f>#REF!-F47</f>
        <v>#REF!</v>
      </c>
      <c r="G57" s="62" t="e">
        <f>#REF!-G47</f>
        <v>#REF!</v>
      </c>
      <c r="H57" s="63" t="e">
        <f>#REF!-H47</f>
        <v>#REF!</v>
      </c>
      <c r="I57" s="61" t="e">
        <f>#REF!-I47</f>
        <v>#REF!</v>
      </c>
      <c r="J57" s="62" t="e">
        <f>#REF!-J47</f>
        <v>#REF!</v>
      </c>
      <c r="K57" s="63" t="e">
        <f>#REF!-K47</f>
        <v>#REF!</v>
      </c>
    </row>
    <row r="58" ht="22.5" customHeight="1" spans="1:11">
      <c r="A58" s="29" t="s">
        <v>22</v>
      </c>
      <c r="B58" s="30">
        <f t="shared" ref="B58:H58" si="30">B44/B45</f>
        <v>10080779.659114</v>
      </c>
      <c r="C58" s="31">
        <f t="shared" si="30"/>
        <v>10080779.659114</v>
      </c>
      <c r="D58" s="31">
        <f t="shared" si="30"/>
        <v>11007992.7292772</v>
      </c>
      <c r="E58" s="31">
        <f t="shared" si="30"/>
        <v>11211545.8029781</v>
      </c>
      <c r="F58" s="31">
        <f t="shared" si="30"/>
        <v>11893149.6111036</v>
      </c>
      <c r="G58" s="31">
        <f t="shared" si="30"/>
        <v>13235162.2219781</v>
      </c>
      <c r="H58" s="32">
        <f t="shared" si="30"/>
        <v>11132153.1486518</v>
      </c>
      <c r="I58" s="30">
        <f>(I44/12)/I45</f>
        <v>10659230.5367877</v>
      </c>
      <c r="J58" s="31">
        <f>(J44/12)/J45</f>
        <v>4971143.99386489</v>
      </c>
      <c r="K58" s="32">
        <f>(K44/12)/K45</f>
        <v>2418691.76349982</v>
      </c>
    </row>
    <row r="59" ht="22.5" customHeight="1" spans="1:11">
      <c r="A59" s="29" t="s">
        <v>23</v>
      </c>
      <c r="B59" s="30">
        <f t="shared" ref="B59:H59" si="31">B44/B47</f>
        <v>1041680.56477511</v>
      </c>
      <c r="C59" s="31">
        <f t="shared" si="31"/>
        <v>1041680.56477511</v>
      </c>
      <c r="D59" s="31">
        <f t="shared" si="31"/>
        <v>1427657.76011103</v>
      </c>
      <c r="E59" s="31">
        <f t="shared" si="31"/>
        <v>1401443.22537226</v>
      </c>
      <c r="F59" s="31">
        <f t="shared" si="31"/>
        <v>1329445.72692095</v>
      </c>
      <c r="G59" s="31">
        <f t="shared" si="31"/>
        <v>1424748.34117611</v>
      </c>
      <c r="H59" s="32">
        <f t="shared" si="31"/>
        <v>1181625.19454963</v>
      </c>
      <c r="I59" s="30">
        <f>(I44/12)/I47</f>
        <v>1382425.80340592</v>
      </c>
      <c r="J59" s="31">
        <f>(J44/12)/J47</f>
        <v>540040.712425434</v>
      </c>
      <c r="K59" s="32">
        <f>(K44/12)/K47</f>
        <v>567514.268530684</v>
      </c>
    </row>
    <row r="60" ht="22.5" customHeight="1" spans="1:11">
      <c r="A60" s="29" t="s">
        <v>24</v>
      </c>
      <c r="B60" s="37">
        <f t="shared" ref="B60:K60" si="32">B44/B43</f>
        <v>0.47933825801586</v>
      </c>
      <c r="C60" s="38">
        <f t="shared" si="32"/>
        <v>0.47933825801586</v>
      </c>
      <c r="D60" s="38">
        <f t="shared" si="32"/>
        <v>0.641620169772492</v>
      </c>
      <c r="E60" s="38">
        <f t="shared" si="32"/>
        <v>0.401560603736514</v>
      </c>
      <c r="F60" s="38">
        <f t="shared" si="32"/>
        <v>0.22110340355981</v>
      </c>
      <c r="G60" s="38">
        <f t="shared" si="32"/>
        <v>0.226274783636819</v>
      </c>
      <c r="H60" s="39">
        <f t="shared" si="32"/>
        <v>1.05603564687321</v>
      </c>
      <c r="I60" s="37">
        <f t="shared" si="32"/>
        <v>0.412880159396996</v>
      </c>
      <c r="J60" s="38">
        <f t="shared" si="32"/>
        <v>0.266725465048017</v>
      </c>
      <c r="K60" s="39">
        <f t="shared" si="32"/>
        <v>0.112383345296191</v>
      </c>
    </row>
    <row r="61" ht="22.5" customHeight="1" spans="1:11">
      <c r="A61" s="47" t="s">
        <v>25</v>
      </c>
      <c r="B61" s="48">
        <f t="shared" ref="B61:G62" si="33">(B44-C44)/C44</f>
        <v>0</v>
      </c>
      <c r="C61" s="49">
        <f t="shared" si="33"/>
        <v>-0.252925203106027</v>
      </c>
      <c r="D61" s="49">
        <f t="shared" si="33"/>
        <v>-0.0181556653540876</v>
      </c>
      <c r="E61" s="49">
        <f t="shared" si="33"/>
        <v>-0.0318325312531358</v>
      </c>
      <c r="F61" s="49">
        <f t="shared" si="33"/>
        <v>-0.125044952563639</v>
      </c>
      <c r="G61" s="49">
        <f t="shared" si="33"/>
        <v>0.188913056193538</v>
      </c>
      <c r="H61" s="50">
        <f>((H44)-(J44/12))/(J44/12)</f>
        <v>1.18193505110972</v>
      </c>
      <c r="I61" s="73">
        <f>(I44-K44)/K44</f>
        <v>2.98730663795103</v>
      </c>
      <c r="J61" s="49">
        <f>(J44-K44)/K44</f>
        <v>0.908495472502047</v>
      </c>
      <c r="K61" s="50">
        <v>1</v>
      </c>
    </row>
    <row r="62" ht="22.5" customHeight="1" spans="1:11">
      <c r="A62" s="47" t="s">
        <v>26</v>
      </c>
      <c r="B62" s="48">
        <f t="shared" si="33"/>
        <v>0</v>
      </c>
      <c r="C62" s="48">
        <f t="shared" si="33"/>
        <v>-0.184210526315789</v>
      </c>
      <c r="D62" s="48">
        <f t="shared" si="33"/>
        <v>0</v>
      </c>
      <c r="E62" s="48">
        <f t="shared" si="33"/>
        <v>0.027027027027027</v>
      </c>
      <c r="F62" s="48">
        <f t="shared" si="33"/>
        <v>-0.0263157894736842</v>
      </c>
      <c r="G62" s="48">
        <f t="shared" si="33"/>
        <v>0</v>
      </c>
      <c r="H62" s="51">
        <f>(H45-J45)/J45</f>
        <v>-0.0256410256410256</v>
      </c>
      <c r="I62" s="73">
        <f>(I45-K45)/K45</f>
        <v>-0.0952380952380952</v>
      </c>
      <c r="J62" s="48">
        <f>(J45-K45)/K45</f>
        <v>-0.0714285714285714</v>
      </c>
      <c r="K62" s="51">
        <v>1</v>
      </c>
    </row>
    <row r="63" ht="22.5" customHeight="1" spans="1:11">
      <c r="A63" s="52" t="s">
        <v>27</v>
      </c>
      <c r="B63" s="53">
        <f t="shared" ref="B63:G63" si="34">(B43-C43)/C43</f>
        <v>0</v>
      </c>
      <c r="C63" s="54">
        <f t="shared" si="34"/>
        <v>0</v>
      </c>
      <c r="D63" s="54">
        <f t="shared" si="34"/>
        <v>-0.385508713144896</v>
      </c>
      <c r="E63" s="54">
        <f t="shared" si="34"/>
        <v>-0.466917021829468</v>
      </c>
      <c r="F63" s="54">
        <f t="shared" si="34"/>
        <v>-0.104580658356759</v>
      </c>
      <c r="G63" s="54">
        <f t="shared" si="34"/>
        <v>4.54871624753618</v>
      </c>
      <c r="H63" s="55">
        <f>(H43*12-J43)/J43</f>
        <v>-0.448903412555277</v>
      </c>
      <c r="I63" s="84">
        <f>(I43-K43)/K43</f>
        <v>0.0853194286426781</v>
      </c>
      <c r="J63" s="54">
        <f>(J43-K43)/K43</f>
        <v>-0.195865660431773</v>
      </c>
      <c r="K63" s="55">
        <v>1</v>
      </c>
    </row>
    <row r="64" s="8" customFormat="1" ht="8.25" customHeight="1"/>
    <row r="65" s="8" customFormat="1" ht="8.25" customHeight="1"/>
    <row r="66" ht="22.5" hidden="1" customHeight="1" spans="1:11">
      <c r="A66" s="9" t="s">
        <v>0</v>
      </c>
      <c r="B66" s="10" t="s">
        <v>1</v>
      </c>
      <c r="C66" s="11" t="s">
        <v>2</v>
      </c>
      <c r="D66" s="11" t="s">
        <v>3</v>
      </c>
      <c r="E66" s="11" t="s">
        <v>4</v>
      </c>
      <c r="F66" s="11" t="s">
        <v>5</v>
      </c>
      <c r="G66" s="11" t="s">
        <v>6</v>
      </c>
      <c r="H66" s="44" t="s">
        <v>7</v>
      </c>
      <c r="I66" s="10" t="s">
        <v>8</v>
      </c>
      <c r="J66" s="11" t="s">
        <v>9</v>
      </c>
      <c r="K66" s="44" t="s">
        <v>10</v>
      </c>
    </row>
    <row r="67" ht="22.5" customHeight="1" spans="1:11">
      <c r="A67" s="13" t="s">
        <v>35</v>
      </c>
      <c r="B67" s="14" t="str">
        <f>TEXT("7/1/2024","mmm-yy")</f>
        <v>Jul-24</v>
      </c>
      <c r="C67" s="14" t="str">
        <f>TEXT("6/1/2024","mmm-yy")</f>
        <v>Jun-24</v>
      </c>
      <c r="D67" s="14" t="str">
        <f>TEXT("5/1/2024","mmm-yy")</f>
        <v>May-24</v>
      </c>
      <c r="E67" s="14" t="str">
        <f>TEXT("4/1/2024","mmm-yy")</f>
        <v>Apr-24</v>
      </c>
      <c r="F67" s="14" t="str">
        <f>TEXT("3/1/2024","mmm-yy")</f>
        <v>Mar-24</v>
      </c>
      <c r="G67" s="14" t="str">
        <f>TEXT("2/1/2024","mmm-yy")</f>
        <v>Feb-24</v>
      </c>
      <c r="H67" s="14" t="str">
        <f>TEXT("1/1/2024","mmm-yy")</f>
        <v>Jan-24</v>
      </c>
      <c r="I67" s="64">
        <f>YEAR(DATE(2024,12,1))</f>
        <v>2024</v>
      </c>
      <c r="J67" s="64">
        <f>YEAR(DATE(2023,12,1))</f>
        <v>2023</v>
      </c>
      <c r="K67" s="64">
        <f>YEAR(DATE(2022,12,1))</f>
        <v>2022</v>
      </c>
    </row>
    <row r="68" ht="22.5" customHeight="1" spans="1:11">
      <c r="A68" s="15" t="s">
        <v>12</v>
      </c>
      <c r="B68" s="16">
        <f>D68</f>
        <v>2804192554.128</v>
      </c>
      <c r="C68" s="17">
        <f>D68</f>
        <v>2804192554.128</v>
      </c>
      <c r="D68" s="17">
        <v>2804192554.128</v>
      </c>
      <c r="E68" s="17">
        <v>2340529885.945</v>
      </c>
      <c r="F68" s="17">
        <v>5358562732.7584</v>
      </c>
      <c r="G68" s="17">
        <v>2067401395.9794</v>
      </c>
      <c r="H68" s="18">
        <v>3965811815.3749</v>
      </c>
      <c r="I68" s="16">
        <f>AVERAGE(B68:H68)*12*0.9</f>
        <v>34166391674.0529</v>
      </c>
      <c r="J68" s="17">
        <v>27113688573.5009</v>
      </c>
      <c r="K68" s="18">
        <v>11470436560.0961</v>
      </c>
    </row>
    <row r="69" ht="22.5" customHeight="1" spans="1:11">
      <c r="A69" s="15" t="s">
        <v>13</v>
      </c>
      <c r="B69" s="56">
        <f>ESW[[#This Row],[Column3]]</f>
        <v>46281263.39</v>
      </c>
      <c r="C69" s="45">
        <f>ESW[[#This Row],[Column4]]+(C70-D70)*200000</f>
        <v>46281263.39</v>
      </c>
      <c r="D69" s="45">
        <v>45481263.39</v>
      </c>
      <c r="E69" s="45">
        <v>45481263.39</v>
      </c>
      <c r="F69" s="45">
        <v>45481263.39</v>
      </c>
      <c r="G69" s="45">
        <v>44481263.39</v>
      </c>
      <c r="H69" s="46">
        <v>43481263.39</v>
      </c>
      <c r="I69" s="56">
        <f>AVERAGE(B69:H69)*12</f>
        <v>543375160.68</v>
      </c>
      <c r="J69" s="45">
        <v>243500000</v>
      </c>
      <c r="K69" s="46">
        <v>189300000</v>
      </c>
    </row>
    <row r="70" ht="22.5" customHeight="1" spans="1:11">
      <c r="A70" s="22" t="s">
        <v>14</v>
      </c>
      <c r="B70" s="28">
        <f>ESW[[#This Row],[Column3]]</f>
        <v>56</v>
      </c>
      <c r="C70" s="25">
        <f>ESW[[#This Row],[Column4]]+4</f>
        <v>56</v>
      </c>
      <c r="D70" s="3">
        <v>52</v>
      </c>
      <c r="E70" s="3">
        <v>47</v>
      </c>
      <c r="F70" s="3">
        <v>46</v>
      </c>
      <c r="G70" s="3">
        <v>44</v>
      </c>
      <c r="H70" s="27">
        <v>41</v>
      </c>
      <c r="I70" s="23">
        <f>MAX(B70:H70)</f>
        <v>56</v>
      </c>
      <c r="J70" s="24">
        <v>42</v>
      </c>
      <c r="K70" s="83">
        <v>37</v>
      </c>
    </row>
    <row r="71" ht="22.5" customHeight="1" spans="1:11">
      <c r="A71" s="22" t="s">
        <v>15</v>
      </c>
      <c r="B71" s="85">
        <f>ESW[[#This Row],[Column3]]</f>
        <v>24</v>
      </c>
      <c r="C71" s="3">
        <v>24</v>
      </c>
      <c r="D71" s="3">
        <v>27</v>
      </c>
      <c r="E71" s="3">
        <v>24</v>
      </c>
      <c r="F71" s="3">
        <v>27</v>
      </c>
      <c r="G71" s="3">
        <v>33</v>
      </c>
      <c r="H71" s="27">
        <v>32</v>
      </c>
      <c r="I71" s="23">
        <f>MIN(B71:H71)</f>
        <v>24</v>
      </c>
      <c r="J71" s="24">
        <v>45</v>
      </c>
      <c r="K71" s="83">
        <v>46</v>
      </c>
    </row>
    <row r="72" ht="22.5" customHeight="1" spans="1:11">
      <c r="A72" s="22" t="s">
        <v>16</v>
      </c>
      <c r="B72" s="28">
        <f t="shared" ref="B72:K72" si="35">B71+B70</f>
        <v>80</v>
      </c>
      <c r="C72" s="25">
        <f t="shared" si="35"/>
        <v>80</v>
      </c>
      <c r="D72" s="25">
        <f t="shared" si="35"/>
        <v>79</v>
      </c>
      <c r="E72" s="25">
        <f t="shared" si="35"/>
        <v>71</v>
      </c>
      <c r="F72" s="25">
        <f t="shared" si="35"/>
        <v>73</v>
      </c>
      <c r="G72" s="25">
        <f t="shared" si="35"/>
        <v>77</v>
      </c>
      <c r="H72" s="26">
        <f t="shared" si="35"/>
        <v>73</v>
      </c>
      <c r="I72" s="23">
        <f t="shared" si="35"/>
        <v>80</v>
      </c>
      <c r="J72" s="24">
        <f t="shared" si="35"/>
        <v>87</v>
      </c>
      <c r="K72" s="83">
        <f t="shared" si="35"/>
        <v>83</v>
      </c>
    </row>
    <row r="73" ht="22.5" hidden="1" customHeight="1" spans="1:11">
      <c r="A73" s="86" t="s">
        <v>36</v>
      </c>
      <c r="B73" s="87">
        <f t="shared" ref="B73:K73" si="36">B68/B78</f>
        <v>108.54525784696</v>
      </c>
      <c r="C73" s="88">
        <f t="shared" si="36"/>
        <v>108.54525784696</v>
      </c>
      <c r="D73" s="88">
        <f t="shared" si="36"/>
        <v>108.54525784696</v>
      </c>
      <c r="E73" s="88">
        <f t="shared" si="36"/>
        <v>90.5977086325364</v>
      </c>
      <c r="F73" s="88">
        <f t="shared" si="36"/>
        <v>207.420340183181</v>
      </c>
      <c r="G73" s="88">
        <f t="shared" si="36"/>
        <v>80.0253952851436</v>
      </c>
      <c r="H73" s="89">
        <f t="shared" si="36"/>
        <v>153.509453350022</v>
      </c>
      <c r="I73" s="87">
        <f t="shared" si="36"/>
        <v>110.209971984655</v>
      </c>
      <c r="J73" s="88">
        <f t="shared" si="36"/>
        <v>87.4601827021594</v>
      </c>
      <c r="K73" s="89">
        <f t="shared" si="36"/>
        <v>37</v>
      </c>
    </row>
    <row r="74" ht="22.5" hidden="1" customHeight="1" spans="1:11">
      <c r="A74" s="86" t="s">
        <v>37</v>
      </c>
      <c r="B74" s="87">
        <f t="shared" ref="B74:K74" si="37">B68/B79</f>
        <v>243.493416251289</v>
      </c>
      <c r="C74" s="88">
        <f t="shared" si="37"/>
        <v>243.493416251289</v>
      </c>
      <c r="D74" s="88">
        <f t="shared" si="37"/>
        <v>243.493416251289</v>
      </c>
      <c r="E74" s="88">
        <f t="shared" si="37"/>
        <v>203.232697743257</v>
      </c>
      <c r="F74" s="88">
        <f t="shared" si="37"/>
        <v>465.294276627136</v>
      </c>
      <c r="G74" s="88">
        <f t="shared" si="37"/>
        <v>179.516427261268</v>
      </c>
      <c r="H74" s="89">
        <f t="shared" si="37"/>
        <v>344.3590440014</v>
      </c>
      <c r="I74" s="87">
        <f t="shared" si="37"/>
        <v>247.227774992605</v>
      </c>
      <c r="J74" s="88">
        <f t="shared" si="37"/>
        <v>196.194463899439</v>
      </c>
      <c r="K74" s="89">
        <f t="shared" si="37"/>
        <v>83</v>
      </c>
    </row>
    <row r="75" ht="22.5" customHeight="1" spans="1:11">
      <c r="A75" s="29" t="s">
        <v>17</v>
      </c>
      <c r="B75" s="30">
        <f t="shared" ref="B75:K75" si="38">B68/B70</f>
        <v>50074867.038</v>
      </c>
      <c r="C75" s="31">
        <f t="shared" si="38"/>
        <v>50074867.038</v>
      </c>
      <c r="D75" s="31">
        <f t="shared" si="38"/>
        <v>53926779.8870769</v>
      </c>
      <c r="E75" s="31">
        <f t="shared" si="38"/>
        <v>49798508.2115958</v>
      </c>
      <c r="F75" s="31">
        <f t="shared" si="38"/>
        <v>116490494.1904</v>
      </c>
      <c r="G75" s="31">
        <f t="shared" si="38"/>
        <v>46986395.3631682</v>
      </c>
      <c r="H75" s="32">
        <f t="shared" si="38"/>
        <v>96727117.4481683</v>
      </c>
      <c r="I75" s="30">
        <f t="shared" si="38"/>
        <v>610114137.036659</v>
      </c>
      <c r="J75" s="31">
        <f t="shared" si="38"/>
        <v>645564013.654783</v>
      </c>
      <c r="K75" s="32">
        <f t="shared" si="38"/>
        <v>310011798.921516</v>
      </c>
    </row>
    <row r="76" ht="22.5" customHeight="1" spans="1:11">
      <c r="A76" s="29" t="s">
        <v>18</v>
      </c>
      <c r="B76" s="30">
        <f t="shared" ref="B76:K76" si="39">B68/B71</f>
        <v>116841356.422</v>
      </c>
      <c r="C76" s="31">
        <f t="shared" si="39"/>
        <v>116841356.422</v>
      </c>
      <c r="D76" s="31">
        <f t="shared" si="39"/>
        <v>103858983.486222</v>
      </c>
      <c r="E76" s="31">
        <f t="shared" si="39"/>
        <v>97522078.5810417</v>
      </c>
      <c r="F76" s="31">
        <f t="shared" si="39"/>
        <v>198465286.398459</v>
      </c>
      <c r="G76" s="31">
        <f t="shared" si="39"/>
        <v>62648527.1508909</v>
      </c>
      <c r="H76" s="32">
        <f t="shared" si="39"/>
        <v>123931619.230466</v>
      </c>
      <c r="I76" s="30">
        <f t="shared" si="39"/>
        <v>1423599653.08554</v>
      </c>
      <c r="J76" s="31">
        <f t="shared" si="39"/>
        <v>602526412.744464</v>
      </c>
      <c r="K76" s="32">
        <f t="shared" si="39"/>
        <v>249357316.523828</v>
      </c>
    </row>
    <row r="77" ht="22.5" customHeight="1" spans="1:11">
      <c r="A77" s="29" t="s">
        <v>19</v>
      </c>
      <c r="B77" s="30">
        <f t="shared" ref="B77:K77" si="40">B68/B72</f>
        <v>35052406.9266</v>
      </c>
      <c r="C77" s="31">
        <f t="shared" si="40"/>
        <v>35052406.9266</v>
      </c>
      <c r="D77" s="31">
        <f t="shared" si="40"/>
        <v>35496108.2801013</v>
      </c>
      <c r="E77" s="31">
        <f t="shared" si="40"/>
        <v>32965209.6611972</v>
      </c>
      <c r="F77" s="31">
        <f t="shared" si="40"/>
        <v>73404968.9418959</v>
      </c>
      <c r="G77" s="31">
        <f t="shared" si="40"/>
        <v>26849368.7789532</v>
      </c>
      <c r="H77" s="32">
        <f t="shared" si="40"/>
        <v>54326189.251711</v>
      </c>
      <c r="I77" s="30">
        <f t="shared" si="40"/>
        <v>427079895.925661</v>
      </c>
      <c r="J77" s="31">
        <f t="shared" si="40"/>
        <v>311651592.798861</v>
      </c>
      <c r="K77" s="32">
        <f t="shared" si="40"/>
        <v>138198030.844531</v>
      </c>
    </row>
    <row r="78" ht="22.5" customHeight="1" spans="1:11">
      <c r="A78" s="33" t="s">
        <v>20</v>
      </c>
      <c r="B78" s="34">
        <f>K75/12</f>
        <v>25834316.576793</v>
      </c>
      <c r="C78" s="35">
        <f t="shared" ref="C78:H79" si="41">B78</f>
        <v>25834316.576793</v>
      </c>
      <c r="D78" s="35">
        <f t="shared" si="41"/>
        <v>25834316.576793</v>
      </c>
      <c r="E78" s="35">
        <f t="shared" si="41"/>
        <v>25834316.576793</v>
      </c>
      <c r="F78" s="35">
        <f t="shared" si="41"/>
        <v>25834316.576793</v>
      </c>
      <c r="G78" s="35">
        <f t="shared" si="41"/>
        <v>25834316.576793</v>
      </c>
      <c r="H78" s="36">
        <f t="shared" si="41"/>
        <v>25834316.576793</v>
      </c>
      <c r="I78" s="34">
        <f>K75</f>
        <v>310011798.921516</v>
      </c>
      <c r="J78" s="35">
        <f>I78</f>
        <v>310011798.921516</v>
      </c>
      <c r="K78" s="36">
        <f>J78</f>
        <v>310011798.921516</v>
      </c>
    </row>
    <row r="79" ht="22.5" customHeight="1" spans="1:11">
      <c r="A79" s="33" t="s">
        <v>21</v>
      </c>
      <c r="B79" s="34">
        <f>K77/12</f>
        <v>11516502.5703776</v>
      </c>
      <c r="C79" s="35">
        <f t="shared" si="41"/>
        <v>11516502.5703776</v>
      </c>
      <c r="D79" s="35">
        <f t="shared" si="41"/>
        <v>11516502.5703776</v>
      </c>
      <c r="E79" s="35">
        <f t="shared" si="41"/>
        <v>11516502.5703776</v>
      </c>
      <c r="F79" s="35">
        <f t="shared" si="41"/>
        <v>11516502.5703776</v>
      </c>
      <c r="G79" s="35">
        <f t="shared" si="41"/>
        <v>11516502.5703776</v>
      </c>
      <c r="H79" s="36">
        <f t="shared" si="41"/>
        <v>11516502.5703776</v>
      </c>
      <c r="I79" s="34">
        <f>K77</f>
        <v>138198030.844531</v>
      </c>
      <c r="J79" s="35">
        <f>I79</f>
        <v>138198030.844531</v>
      </c>
      <c r="K79" s="36">
        <f>J79</f>
        <v>138198030.844531</v>
      </c>
    </row>
    <row r="80" ht="22.5" customHeight="1" spans="1:11">
      <c r="A80" s="29" t="s">
        <v>22</v>
      </c>
      <c r="B80" s="30">
        <f t="shared" ref="B80:H80" si="42">B69/B70</f>
        <v>826451.131964286</v>
      </c>
      <c r="C80" s="31">
        <f t="shared" si="42"/>
        <v>826451.131964286</v>
      </c>
      <c r="D80" s="31">
        <f t="shared" si="42"/>
        <v>874639.680576923</v>
      </c>
      <c r="E80" s="31">
        <f t="shared" si="42"/>
        <v>967686.455106383</v>
      </c>
      <c r="F80" s="31">
        <f t="shared" si="42"/>
        <v>988723.117173913</v>
      </c>
      <c r="G80" s="31">
        <f t="shared" si="42"/>
        <v>1010937.80431818</v>
      </c>
      <c r="H80" s="32">
        <f t="shared" si="42"/>
        <v>1060518.61926829</v>
      </c>
      <c r="I80" s="30">
        <f>(I69/12)/I70</f>
        <v>808593.989107143</v>
      </c>
      <c r="J80" s="31">
        <f>(J69/12)/J70</f>
        <v>483134.920634921</v>
      </c>
      <c r="K80" s="32">
        <f>(K69/12)/K70</f>
        <v>426351.351351351</v>
      </c>
    </row>
    <row r="81" ht="22.5" customHeight="1" spans="1:11">
      <c r="A81" s="29" t="s">
        <v>23</v>
      </c>
      <c r="B81" s="30">
        <f t="shared" ref="B81:H81" si="43">B69/B72</f>
        <v>578515.792375</v>
      </c>
      <c r="C81" s="31">
        <f t="shared" si="43"/>
        <v>578515.792375</v>
      </c>
      <c r="D81" s="31">
        <f t="shared" si="43"/>
        <v>575712.194810127</v>
      </c>
      <c r="E81" s="31">
        <f t="shared" si="43"/>
        <v>640581.174507042</v>
      </c>
      <c r="F81" s="31">
        <f t="shared" si="43"/>
        <v>623031.005342466</v>
      </c>
      <c r="G81" s="31">
        <f t="shared" si="43"/>
        <v>577678.745324675</v>
      </c>
      <c r="H81" s="32">
        <f t="shared" si="43"/>
        <v>595633.745068493</v>
      </c>
      <c r="I81" s="30">
        <f>(I69/12)/I72</f>
        <v>566015.792375</v>
      </c>
      <c r="J81" s="31">
        <f>(J69/12)/J72</f>
        <v>233237.54789272</v>
      </c>
      <c r="K81" s="32">
        <f>(K69/12)/K72</f>
        <v>190060.240963855</v>
      </c>
    </row>
    <row r="82" ht="22.5" customHeight="1" spans="1:11">
      <c r="A82" s="29" t="s">
        <v>24</v>
      </c>
      <c r="B82" s="37">
        <f t="shared" ref="B82:K82" si="44">B69/B68</f>
        <v>0.0165043100631125</v>
      </c>
      <c r="C82" s="38">
        <f t="shared" si="44"/>
        <v>0.0165043100631125</v>
      </c>
      <c r="D82" s="38">
        <f t="shared" si="44"/>
        <v>0.0162190229494219</v>
      </c>
      <c r="E82" s="38">
        <f t="shared" si="44"/>
        <v>0.0194320370199574</v>
      </c>
      <c r="F82" s="38">
        <f t="shared" si="44"/>
        <v>0.00848758625367214</v>
      </c>
      <c r="G82" s="38">
        <f t="shared" si="44"/>
        <v>0.0215155428822412</v>
      </c>
      <c r="H82" s="39">
        <f t="shared" si="44"/>
        <v>0.0109640258827787</v>
      </c>
      <c r="I82" s="37">
        <f t="shared" si="44"/>
        <v>0.0159037912421011</v>
      </c>
      <c r="J82" s="38">
        <f t="shared" si="44"/>
        <v>0.00898070357855997</v>
      </c>
      <c r="K82" s="39">
        <f t="shared" si="44"/>
        <v>0.0165032951455872</v>
      </c>
    </row>
    <row r="83" ht="22.5" customHeight="1" spans="1:11">
      <c r="A83" s="47" t="s">
        <v>25</v>
      </c>
      <c r="B83" s="48">
        <f t="shared" ref="B83:G84" si="45">(B69-C69)/C69</f>
        <v>0</v>
      </c>
      <c r="C83" s="49">
        <f t="shared" si="45"/>
        <v>0.0175896608926633</v>
      </c>
      <c r="D83" s="49">
        <f t="shared" si="45"/>
        <v>0</v>
      </c>
      <c r="E83" s="49">
        <f t="shared" si="45"/>
        <v>0</v>
      </c>
      <c r="F83" s="49">
        <f t="shared" si="45"/>
        <v>0.022481375837558</v>
      </c>
      <c r="G83" s="49">
        <f t="shared" si="45"/>
        <v>0.0229984117763695</v>
      </c>
      <c r="H83" s="50">
        <f>((H69)-(J69/12))/(J69/12)</f>
        <v>1.14281380156057</v>
      </c>
      <c r="I83" s="73">
        <f>(I69-K69)/K69</f>
        <v>1.8704445889065</v>
      </c>
      <c r="J83" s="49">
        <f>(J69-K69)/K69</f>
        <v>0.286318013734812</v>
      </c>
      <c r="K83" s="50">
        <v>0</v>
      </c>
    </row>
    <row r="84" ht="22.5" customHeight="1" spans="1:11">
      <c r="A84" s="47" t="s">
        <v>26</v>
      </c>
      <c r="B84" s="48">
        <f t="shared" si="45"/>
        <v>0</v>
      </c>
      <c r="C84" s="48">
        <f t="shared" si="45"/>
        <v>0.0769230769230769</v>
      </c>
      <c r="D84" s="48">
        <f t="shared" si="45"/>
        <v>0.106382978723404</v>
      </c>
      <c r="E84" s="48">
        <f t="shared" si="45"/>
        <v>0.0217391304347826</v>
      </c>
      <c r="F84" s="48">
        <f t="shared" si="45"/>
        <v>0.0454545454545455</v>
      </c>
      <c r="G84" s="48">
        <f t="shared" si="45"/>
        <v>0.0731707317073171</v>
      </c>
      <c r="H84" s="51">
        <f>(H70-J70)/J70</f>
        <v>-0.0238095238095238</v>
      </c>
      <c r="I84" s="73">
        <f>(I70-K70)/K70</f>
        <v>0.513513513513513</v>
      </c>
      <c r="J84" s="48">
        <f>(J70-K70)/K70</f>
        <v>0.135135135135135</v>
      </c>
      <c r="K84" s="51">
        <v>0</v>
      </c>
    </row>
    <row r="85" ht="22.5" customHeight="1" spans="1:11">
      <c r="A85" s="52" t="s">
        <v>27</v>
      </c>
      <c r="B85" s="53">
        <f t="shared" ref="B85:G85" si="46">(B68-C68)/C68</f>
        <v>0</v>
      </c>
      <c r="C85" s="54">
        <f t="shared" si="46"/>
        <v>0</v>
      </c>
      <c r="D85" s="54">
        <f t="shared" si="46"/>
        <v>0.198101579888946</v>
      </c>
      <c r="E85" s="54">
        <f t="shared" si="46"/>
        <v>-0.563216854467956</v>
      </c>
      <c r="F85" s="54">
        <f t="shared" si="46"/>
        <v>1.59193146680636</v>
      </c>
      <c r="G85" s="54">
        <f t="shared" si="46"/>
        <v>-0.478694024773346</v>
      </c>
      <c r="H85" s="55">
        <f>(H68*12-J68)/J68</f>
        <v>0.755192461383134</v>
      </c>
      <c r="I85" s="84">
        <f>(I68-K68)/K68</f>
        <v>1.97864789147717</v>
      </c>
      <c r="J85" s="54">
        <f>(J68-K68)/K68</f>
        <v>1.36378872167998</v>
      </c>
      <c r="K85" s="55">
        <v>0.735994833615829</v>
      </c>
    </row>
    <row r="86" s="8" customFormat="1" ht="30" customHeight="1"/>
    <row r="87" ht="22.5" customHeight="1" spans="1:11">
      <c r="A87" s="9" t="s">
        <v>0</v>
      </c>
      <c r="B87" s="10" t="s">
        <v>1</v>
      </c>
      <c r="C87" s="11" t="s">
        <v>2</v>
      </c>
      <c r="D87" s="11" t="s">
        <v>3</v>
      </c>
      <c r="E87" s="11" t="s">
        <v>4</v>
      </c>
      <c r="F87" s="11" t="s">
        <v>5</v>
      </c>
      <c r="G87" s="11" t="s">
        <v>6</v>
      </c>
      <c r="H87" s="44" t="s">
        <v>7</v>
      </c>
      <c r="I87" s="10" t="s">
        <v>8</v>
      </c>
      <c r="J87" s="11" t="s">
        <v>9</v>
      </c>
      <c r="K87" s="44" t="s">
        <v>10</v>
      </c>
    </row>
    <row r="88" ht="22.5" customHeight="1" spans="1:11">
      <c r="A88" s="13" t="s">
        <v>38</v>
      </c>
      <c r="B88" s="14" t="str">
        <f>TEXT("7/1/2024","mmm-yy")</f>
        <v>Jul-24</v>
      </c>
      <c r="C88" s="14" t="str">
        <f>TEXT("6/1/2024","mmm-yy")</f>
        <v>Jun-24</v>
      </c>
      <c r="D88" s="14" t="str">
        <f>TEXT("5/1/2024","mmm-yy")</f>
        <v>May-24</v>
      </c>
      <c r="E88" s="14" t="str">
        <f>TEXT("4/1/2024","mmm-yy")</f>
        <v>Apr-24</v>
      </c>
      <c r="F88" s="14" t="str">
        <f>TEXT("3/1/2024","mmm-yy")</f>
        <v>Mar-24</v>
      </c>
      <c r="G88" s="14" t="str">
        <f>TEXT("2/1/2024","mmm-yy")</f>
        <v>Feb-24</v>
      </c>
      <c r="H88" s="14" t="str">
        <f>TEXT("1/1/2024","mmm-yy")</f>
        <v>Jan-24</v>
      </c>
      <c r="I88" s="64">
        <f>YEAR(DATE(2024,12,1))</f>
        <v>2024</v>
      </c>
      <c r="J88" s="64">
        <f>YEAR(DATE(2023,12,1))</f>
        <v>2023</v>
      </c>
      <c r="K88" s="64">
        <f>YEAR(DATE(2022,12,1))</f>
        <v>2022</v>
      </c>
    </row>
    <row r="89" ht="22.5" customHeight="1" spans="1:11">
      <c r="A89" s="15" t="s">
        <v>12</v>
      </c>
      <c r="B89" s="16">
        <f>D89</f>
        <v>280128892.3692</v>
      </c>
      <c r="C89" s="17">
        <f>D89</f>
        <v>280128892.3692</v>
      </c>
      <c r="D89" s="17">
        <v>280128892.3692</v>
      </c>
      <c r="E89" s="17">
        <v>2879365314.165</v>
      </c>
      <c r="F89" s="17">
        <v>2500233560.6688</v>
      </c>
      <c r="G89" s="17">
        <v>754564105.0766</v>
      </c>
      <c r="H89" s="18">
        <v>548310832.0727</v>
      </c>
      <c r="I89" s="16">
        <f>AVERAGE(B89:H89)*12*0.9</f>
        <v>11606699040.3114</v>
      </c>
      <c r="J89" s="17">
        <v>6961906352.14244</v>
      </c>
      <c r="K89" s="18">
        <v>5988403836.49504</v>
      </c>
    </row>
    <row r="90" ht="22.5" customHeight="1" spans="1:11">
      <c r="A90" s="15" t="s">
        <v>13</v>
      </c>
      <c r="B90" s="56">
        <f>Drilling[[#This Row],[Column3]]</f>
        <v>12715686.42</v>
      </c>
      <c r="C90" s="45">
        <f>D90+((C91-D91)*1400000)</f>
        <v>12715686.42</v>
      </c>
      <c r="D90" s="45">
        <v>9915686.42</v>
      </c>
      <c r="E90" s="45">
        <v>8915686.42</v>
      </c>
      <c r="F90" s="45">
        <v>8915686.42</v>
      </c>
      <c r="G90" s="45">
        <v>8915686.42</v>
      </c>
      <c r="H90" s="46">
        <v>8912686.42</v>
      </c>
      <c r="I90" s="56">
        <f>AVERAGE(B90:H90)*12</f>
        <v>121725951.325714</v>
      </c>
      <c r="J90" s="45">
        <v>58800000</v>
      </c>
      <c r="K90" s="46">
        <v>30000000</v>
      </c>
    </row>
    <row r="91" ht="22.5" customHeight="1" spans="1:11">
      <c r="A91" s="22" t="s">
        <v>14</v>
      </c>
      <c r="B91" s="28">
        <v>6</v>
      </c>
      <c r="C91" s="25">
        <v>6</v>
      </c>
      <c r="D91" s="25">
        <v>4</v>
      </c>
      <c r="E91" s="25">
        <v>4</v>
      </c>
      <c r="F91" s="25">
        <v>4</v>
      </c>
      <c r="G91" s="25">
        <v>3</v>
      </c>
      <c r="H91" s="26">
        <v>3</v>
      </c>
      <c r="I91" s="23">
        <f>MAX(B91:H91)</f>
        <v>6</v>
      </c>
      <c r="J91" s="24">
        <v>5</v>
      </c>
      <c r="K91" s="83">
        <v>8</v>
      </c>
    </row>
    <row r="92" ht="22.5" customHeight="1" spans="1:11">
      <c r="A92" s="22" t="s">
        <v>15</v>
      </c>
      <c r="B92" s="28">
        <f>D92</f>
        <v>7</v>
      </c>
      <c r="C92" s="25">
        <f>E92</f>
        <v>7</v>
      </c>
      <c r="D92" s="3">
        <v>7</v>
      </c>
      <c r="E92" s="3">
        <v>7</v>
      </c>
      <c r="F92" s="3">
        <v>6</v>
      </c>
      <c r="G92" s="3">
        <v>3</v>
      </c>
      <c r="H92" s="27">
        <v>5</v>
      </c>
      <c r="I92" s="23">
        <f>MIN(B92:H92)</f>
        <v>3</v>
      </c>
      <c r="J92" s="24">
        <v>9</v>
      </c>
      <c r="K92" s="83">
        <v>9</v>
      </c>
    </row>
    <row r="93" ht="22.5" customHeight="1" spans="1:11">
      <c r="A93" s="22" t="s">
        <v>16</v>
      </c>
      <c r="B93" s="28">
        <f t="shared" ref="B93:K93" si="47">B92+B91</f>
        <v>13</v>
      </c>
      <c r="C93" s="25">
        <f t="shared" si="47"/>
        <v>13</v>
      </c>
      <c r="D93" s="25">
        <f t="shared" si="47"/>
        <v>11</v>
      </c>
      <c r="E93" s="25">
        <f t="shared" si="47"/>
        <v>11</v>
      </c>
      <c r="F93" s="25">
        <f t="shared" si="47"/>
        <v>10</v>
      </c>
      <c r="G93" s="25">
        <f t="shared" si="47"/>
        <v>6</v>
      </c>
      <c r="H93" s="26">
        <f t="shared" si="47"/>
        <v>8</v>
      </c>
      <c r="I93" s="23">
        <f t="shared" si="47"/>
        <v>9</v>
      </c>
      <c r="J93" s="24">
        <f t="shared" si="47"/>
        <v>14</v>
      </c>
      <c r="K93" s="83">
        <f t="shared" si="47"/>
        <v>17</v>
      </c>
    </row>
    <row r="94" ht="22.5" customHeight="1" spans="1:11">
      <c r="A94" s="29" t="s">
        <v>17</v>
      </c>
      <c r="B94" s="30">
        <f t="shared" ref="B94:K94" si="48">B89/B91</f>
        <v>46688148.7282</v>
      </c>
      <c r="C94" s="31">
        <f t="shared" si="48"/>
        <v>46688148.7282</v>
      </c>
      <c r="D94" s="31">
        <f t="shared" si="48"/>
        <v>70032223.0923</v>
      </c>
      <c r="E94" s="31">
        <f t="shared" si="48"/>
        <v>719841328.54125</v>
      </c>
      <c r="F94" s="31">
        <f t="shared" si="48"/>
        <v>625058390.1672</v>
      </c>
      <c r="G94" s="31">
        <f t="shared" si="48"/>
        <v>251521368.358867</v>
      </c>
      <c r="H94" s="32">
        <f t="shared" si="48"/>
        <v>182770277.357567</v>
      </c>
      <c r="I94" s="30">
        <f t="shared" si="48"/>
        <v>1934449840.05189</v>
      </c>
      <c r="J94" s="31">
        <f t="shared" si="48"/>
        <v>1392381270.42849</v>
      </c>
      <c r="K94" s="32">
        <f t="shared" si="48"/>
        <v>748550479.56188</v>
      </c>
    </row>
    <row r="95" ht="22.5" customHeight="1" spans="1:11">
      <c r="A95" s="29" t="s">
        <v>18</v>
      </c>
      <c r="B95" s="30">
        <f t="shared" ref="B95:K95" si="49">B89/B92</f>
        <v>40018413.1956</v>
      </c>
      <c r="C95" s="31">
        <f t="shared" si="49"/>
        <v>40018413.1956</v>
      </c>
      <c r="D95" s="31">
        <f t="shared" si="49"/>
        <v>40018413.1956</v>
      </c>
      <c r="E95" s="31">
        <f t="shared" si="49"/>
        <v>411337902.023571</v>
      </c>
      <c r="F95" s="31">
        <f t="shared" si="49"/>
        <v>416705593.4448</v>
      </c>
      <c r="G95" s="31">
        <f t="shared" si="49"/>
        <v>251521368.358867</v>
      </c>
      <c r="H95" s="32">
        <f t="shared" si="49"/>
        <v>109662166.41454</v>
      </c>
      <c r="I95" s="30">
        <f t="shared" si="49"/>
        <v>3868899680.10379</v>
      </c>
      <c r="J95" s="31">
        <f t="shared" si="49"/>
        <v>773545150.238049</v>
      </c>
      <c r="K95" s="32">
        <f t="shared" si="49"/>
        <v>665378204.055004</v>
      </c>
    </row>
    <row r="96" ht="22.5" customHeight="1" spans="1:11">
      <c r="A96" s="29" t="s">
        <v>19</v>
      </c>
      <c r="B96" s="30">
        <f t="shared" ref="B96:K96" si="50">B89/B93</f>
        <v>21548376.3360923</v>
      </c>
      <c r="C96" s="31">
        <f t="shared" si="50"/>
        <v>21548376.3360923</v>
      </c>
      <c r="D96" s="31">
        <f t="shared" si="50"/>
        <v>25466262.9426545</v>
      </c>
      <c r="E96" s="31">
        <f t="shared" si="50"/>
        <v>261760483.105909</v>
      </c>
      <c r="F96" s="31">
        <f t="shared" si="50"/>
        <v>250023356.06688</v>
      </c>
      <c r="G96" s="31">
        <f t="shared" si="50"/>
        <v>125760684.179433</v>
      </c>
      <c r="H96" s="32">
        <f t="shared" si="50"/>
        <v>68538854.0090875</v>
      </c>
      <c r="I96" s="30">
        <f t="shared" si="50"/>
        <v>1289633226.70126</v>
      </c>
      <c r="J96" s="31">
        <f t="shared" si="50"/>
        <v>497279025.153031</v>
      </c>
      <c r="K96" s="32">
        <f t="shared" si="50"/>
        <v>352259049.205591</v>
      </c>
    </row>
    <row r="97" ht="22.5" customHeight="1" spans="1:11">
      <c r="A97" s="33" t="s">
        <v>20</v>
      </c>
      <c r="B97" s="34">
        <f>K94/12</f>
        <v>62379206.6301567</v>
      </c>
      <c r="C97" s="35">
        <f t="shared" ref="C97:H98" si="51">B97</f>
        <v>62379206.6301567</v>
      </c>
      <c r="D97" s="35">
        <f t="shared" si="51"/>
        <v>62379206.6301567</v>
      </c>
      <c r="E97" s="35">
        <f t="shared" si="51"/>
        <v>62379206.6301567</v>
      </c>
      <c r="F97" s="35">
        <f t="shared" si="51"/>
        <v>62379206.6301567</v>
      </c>
      <c r="G97" s="35">
        <f t="shared" si="51"/>
        <v>62379206.6301567</v>
      </c>
      <c r="H97" s="36">
        <f t="shared" si="51"/>
        <v>62379206.6301567</v>
      </c>
      <c r="I97" s="34">
        <f>K94</f>
        <v>748550479.56188</v>
      </c>
      <c r="J97" s="35">
        <f>I97</f>
        <v>748550479.56188</v>
      </c>
      <c r="K97" s="36">
        <f>J97</f>
        <v>748550479.56188</v>
      </c>
    </row>
    <row r="98" ht="22.5" customHeight="1" spans="1:11">
      <c r="A98" s="33" t="s">
        <v>21</v>
      </c>
      <c r="B98" s="34">
        <f>K96/12</f>
        <v>29354920.7671326</v>
      </c>
      <c r="C98" s="35">
        <f t="shared" si="51"/>
        <v>29354920.7671326</v>
      </c>
      <c r="D98" s="35">
        <f t="shared" si="51"/>
        <v>29354920.7671326</v>
      </c>
      <c r="E98" s="35">
        <f t="shared" si="51"/>
        <v>29354920.7671326</v>
      </c>
      <c r="F98" s="35">
        <f t="shared" si="51"/>
        <v>29354920.7671326</v>
      </c>
      <c r="G98" s="35">
        <f t="shared" si="51"/>
        <v>29354920.7671326</v>
      </c>
      <c r="H98" s="36">
        <f t="shared" si="51"/>
        <v>29354920.7671326</v>
      </c>
      <c r="I98" s="34">
        <f>K96</f>
        <v>352259049.205591</v>
      </c>
      <c r="J98" s="35">
        <f>I98</f>
        <v>352259049.205591</v>
      </c>
      <c r="K98" s="36">
        <f>J98</f>
        <v>352259049.205591</v>
      </c>
    </row>
    <row r="99" ht="22.5" customHeight="1" spans="1:11">
      <c r="A99" s="29" t="s">
        <v>22</v>
      </c>
      <c r="B99" s="30">
        <f t="shared" ref="B99:H99" si="52">B90/B91</f>
        <v>2119281.07</v>
      </c>
      <c r="C99" s="31">
        <f t="shared" si="52"/>
        <v>2119281.07</v>
      </c>
      <c r="D99" s="31">
        <f t="shared" si="52"/>
        <v>2478921.605</v>
      </c>
      <c r="E99" s="31">
        <f t="shared" si="52"/>
        <v>2228921.605</v>
      </c>
      <c r="F99" s="31">
        <f t="shared" si="52"/>
        <v>2228921.605</v>
      </c>
      <c r="G99" s="31">
        <f t="shared" si="52"/>
        <v>2971895.47333333</v>
      </c>
      <c r="H99" s="32">
        <f t="shared" si="52"/>
        <v>2970895.47333333</v>
      </c>
      <c r="I99" s="30">
        <f>(I90/12)/I91</f>
        <v>1690638.21285714</v>
      </c>
      <c r="J99" s="31">
        <f>(J90/12)/J91</f>
        <v>980000</v>
      </c>
      <c r="K99" s="32">
        <f>(K90/12)/K91</f>
        <v>312500</v>
      </c>
    </row>
    <row r="100" ht="22.5" customHeight="1" spans="1:11">
      <c r="A100" s="29" t="s">
        <v>23</v>
      </c>
      <c r="B100" s="30">
        <f t="shared" ref="B100:H100" si="53">B90/B93</f>
        <v>978129.724615385</v>
      </c>
      <c r="C100" s="31">
        <f t="shared" si="53"/>
        <v>978129.724615385</v>
      </c>
      <c r="D100" s="31">
        <f t="shared" si="53"/>
        <v>901426.038181818</v>
      </c>
      <c r="E100" s="31">
        <f t="shared" si="53"/>
        <v>810516.947272727</v>
      </c>
      <c r="F100" s="31">
        <f t="shared" si="53"/>
        <v>891568.642</v>
      </c>
      <c r="G100" s="31">
        <f t="shared" si="53"/>
        <v>1485947.73666667</v>
      </c>
      <c r="H100" s="32">
        <f t="shared" si="53"/>
        <v>1114085.8025</v>
      </c>
      <c r="I100" s="30">
        <f>(I90/12)/I93</f>
        <v>1127092.14190476</v>
      </c>
      <c r="J100" s="31">
        <f>(J90/12)/J93</f>
        <v>350000</v>
      </c>
      <c r="K100" s="32">
        <f>(K90/12)/K93</f>
        <v>147058.823529412</v>
      </c>
    </row>
    <row r="101" ht="22.5" customHeight="1" spans="1:11">
      <c r="A101" s="29" t="s">
        <v>24</v>
      </c>
      <c r="B101" s="37">
        <f t="shared" ref="B101:K101" si="54">B90/B89</f>
        <v>0.0453922703668894</v>
      </c>
      <c r="C101" s="38">
        <f t="shared" si="54"/>
        <v>0.0453922703668894</v>
      </c>
      <c r="D101" s="38">
        <f t="shared" si="54"/>
        <v>0.0353968715477284</v>
      </c>
      <c r="E101" s="38">
        <f t="shared" si="54"/>
        <v>0.00309640682831713</v>
      </c>
      <c r="F101" s="38">
        <f t="shared" si="54"/>
        <v>0.00356594142253458</v>
      </c>
      <c r="G101" s="38">
        <f t="shared" si="54"/>
        <v>0.0118156778993548</v>
      </c>
      <c r="H101" s="39">
        <f t="shared" si="54"/>
        <v>0.0162548063956874</v>
      </c>
      <c r="I101" s="37">
        <f t="shared" si="54"/>
        <v>0.0104875598913133</v>
      </c>
      <c r="J101" s="38">
        <f t="shared" si="54"/>
        <v>0.00844596250305852</v>
      </c>
      <c r="K101" s="39">
        <f t="shared" si="54"/>
        <v>0.00500968218228227</v>
      </c>
    </row>
    <row r="102" ht="22.5" customHeight="1" spans="1:11">
      <c r="A102" s="47" t="s">
        <v>25</v>
      </c>
      <c r="B102" s="48">
        <f t="shared" ref="B102:G103" si="55">(B90-C90)/C90</f>
        <v>0</v>
      </c>
      <c r="C102" s="49">
        <f t="shared" si="55"/>
        <v>0.282380854073036</v>
      </c>
      <c r="D102" s="49">
        <f t="shared" si="55"/>
        <v>0.112161863135604</v>
      </c>
      <c r="E102" s="49">
        <f t="shared" si="55"/>
        <v>0</v>
      </c>
      <c r="F102" s="49">
        <f t="shared" si="55"/>
        <v>0</v>
      </c>
      <c r="G102" s="49">
        <f t="shared" si="55"/>
        <v>0.00033659885006927</v>
      </c>
      <c r="H102" s="50">
        <f>((H90)-(J90/12))/(J90/12)</f>
        <v>0.818915595918367</v>
      </c>
      <c r="I102" s="73">
        <f>(I90-K90)/K90</f>
        <v>3.05753171085714</v>
      </c>
      <c r="J102" s="49">
        <f>(J90-K90)/K90</f>
        <v>0.96</v>
      </c>
      <c r="K102" s="50">
        <v>0.333333333333333</v>
      </c>
    </row>
    <row r="103" ht="22.5" customHeight="1" spans="1:11">
      <c r="A103" s="47" t="s">
        <v>26</v>
      </c>
      <c r="B103" s="48">
        <f t="shared" si="55"/>
        <v>0</v>
      </c>
      <c r="C103" s="48">
        <f t="shared" si="55"/>
        <v>0.5</v>
      </c>
      <c r="D103" s="48">
        <f t="shared" si="55"/>
        <v>0</v>
      </c>
      <c r="E103" s="48">
        <f t="shared" si="55"/>
        <v>0</v>
      </c>
      <c r="F103" s="48">
        <f t="shared" si="55"/>
        <v>0.333333333333333</v>
      </c>
      <c r="G103" s="48">
        <f t="shared" si="55"/>
        <v>0</v>
      </c>
      <c r="H103" s="51">
        <f>(H91-J91)/J91</f>
        <v>-0.4</v>
      </c>
      <c r="I103" s="73">
        <f>(I91-K91)/K91</f>
        <v>-0.25</v>
      </c>
      <c r="J103" s="48">
        <f>(J91-K91)/K91</f>
        <v>-0.375</v>
      </c>
      <c r="K103" s="51">
        <v>0.333333333333333</v>
      </c>
    </row>
    <row r="104" ht="22.5" customHeight="1" spans="1:11">
      <c r="A104" s="52" t="s">
        <v>27</v>
      </c>
      <c r="B104" s="53">
        <f t="shared" ref="B104:G104" si="56">(B89-C89)/C89</f>
        <v>0</v>
      </c>
      <c r="C104" s="54">
        <f t="shared" si="56"/>
        <v>0</v>
      </c>
      <c r="D104" s="54">
        <f t="shared" si="56"/>
        <v>-0.902711583350987</v>
      </c>
      <c r="E104" s="54">
        <f t="shared" si="56"/>
        <v>0.15163853467945</v>
      </c>
      <c r="F104" s="54">
        <f t="shared" si="56"/>
        <v>2.31348064908943</v>
      </c>
      <c r="G104" s="54">
        <f t="shared" si="56"/>
        <v>0.376161222685006</v>
      </c>
      <c r="H104" s="55">
        <f>(H89*12-J89)/J89</f>
        <v>-0.0548953616924809</v>
      </c>
      <c r="I104" s="84">
        <f>(I89-K89)/K89</f>
        <v>0.938195779245353</v>
      </c>
      <c r="J104" s="54">
        <f>(J89-K89)/K89</f>
        <v>0.162564606901525</v>
      </c>
      <c r="K104" s="55">
        <v>0.451892006918826</v>
      </c>
    </row>
    <row r="105" s="8" customFormat="1" ht="8.25" customHeight="1"/>
    <row r="106" s="8" customFormat="1" ht="8.25" customHeight="1"/>
    <row r="107" ht="22.5" customHeight="1" spans="1:11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</row>
    <row r="108" ht="22.5" customHeight="1" spans="1:11">
      <c r="A108" s="90" t="s">
        <v>39</v>
      </c>
      <c r="B108" s="14" t="str">
        <f>TEXT("7/1/2024","mmm-yy")</f>
        <v>Jul-24</v>
      </c>
      <c r="C108" s="14" t="str">
        <f>TEXT("6/1/2024","mmm-yy")</f>
        <v>Jun-24</v>
      </c>
      <c r="D108" s="14" t="str">
        <f>TEXT("5/1/2024","mmm-yy")</f>
        <v>May-24</v>
      </c>
      <c r="E108" s="14" t="str">
        <f>TEXT("4/1/2024","mmm-yy")</f>
        <v>Apr-24</v>
      </c>
      <c r="F108" s="14" t="str">
        <f>TEXT("3/1/2024","mmm-yy")</f>
        <v>Mar-24</v>
      </c>
      <c r="G108" s="14" t="str">
        <f>TEXT("2/1/2024","mmm-yy")</f>
        <v>Feb-24</v>
      </c>
      <c r="H108" s="14" t="str">
        <f>TEXT("1/1/2024","mmm-yy")</f>
        <v>Jan-24</v>
      </c>
      <c r="I108" s="64">
        <f>YEAR(DATE(2024,12,1))</f>
        <v>2024</v>
      </c>
      <c r="J108" s="64">
        <f>YEAR(DATE(2023,12,1))</f>
        <v>2023</v>
      </c>
      <c r="K108" s="64">
        <f>YEAR(DATE(2022,12,1))</f>
        <v>2022</v>
      </c>
    </row>
    <row r="109" ht="22.5" customHeight="1" spans="1:11">
      <c r="A109" s="91" t="s">
        <v>12</v>
      </c>
      <c r="B109" s="92">
        <f>D109</f>
        <v>720790000</v>
      </c>
      <c r="C109" s="93">
        <f>D109</f>
        <v>720790000</v>
      </c>
      <c r="D109" s="93">
        <v>720790000</v>
      </c>
      <c r="E109" s="93">
        <v>812272865.175</v>
      </c>
      <c r="F109" s="93">
        <v>1901834696.3616</v>
      </c>
      <c r="G109" s="93">
        <v>606668565.4796</v>
      </c>
      <c r="H109" s="94">
        <v>5069423691.4039</v>
      </c>
      <c r="I109" s="65">
        <f>AVERAGE(B109:H109)*12*0.9</f>
        <v>16281107719.8482</v>
      </c>
      <c r="J109" s="66">
        <v>8581841495.75775</v>
      </c>
      <c r="K109" s="67">
        <v>2323887967.85725</v>
      </c>
    </row>
    <row r="110" ht="22.5" customHeight="1" spans="1:11">
      <c r="A110" s="91" t="s">
        <v>13</v>
      </c>
      <c r="B110" s="56">
        <v>134340566.81</v>
      </c>
      <c r="C110" s="45">
        <v>134340566.81</v>
      </c>
      <c r="D110" s="45">
        <v>14348072.38</v>
      </c>
      <c r="E110" s="45">
        <v>14348072.38</v>
      </c>
      <c r="F110" s="45">
        <v>14248072.38</v>
      </c>
      <c r="G110" s="45">
        <v>14248072.38</v>
      </c>
      <c r="H110" s="95">
        <v>14248072.38</v>
      </c>
      <c r="I110" s="56">
        <f>AVERAGE(B110:H110)*12</f>
        <v>583065420.891428</v>
      </c>
      <c r="J110" s="45">
        <v>58400000</v>
      </c>
      <c r="K110" s="95">
        <v>45800000</v>
      </c>
    </row>
    <row r="111" ht="22.5" customHeight="1" spans="1:11">
      <c r="A111" s="96" t="s">
        <v>14</v>
      </c>
      <c r="B111" s="28">
        <v>22</v>
      </c>
      <c r="C111" s="25">
        <v>22</v>
      </c>
      <c r="D111" s="25">
        <v>20</v>
      </c>
      <c r="E111" s="25">
        <v>21</v>
      </c>
      <c r="F111" s="25">
        <v>18</v>
      </c>
      <c r="G111" s="25">
        <v>18</v>
      </c>
      <c r="H111" s="69">
        <v>18</v>
      </c>
      <c r="I111" s="23">
        <f>MAX(B111:H111)</f>
        <v>22</v>
      </c>
      <c r="J111" s="24">
        <v>18</v>
      </c>
      <c r="K111" s="106">
        <v>11</v>
      </c>
    </row>
    <row r="112" ht="22.5" customHeight="1" spans="1:11">
      <c r="A112" s="96" t="s">
        <v>15</v>
      </c>
      <c r="B112" s="28">
        <v>6</v>
      </c>
      <c r="C112" s="25">
        <v>6</v>
      </c>
      <c r="D112" s="3">
        <v>2</v>
      </c>
      <c r="E112" s="3">
        <v>10</v>
      </c>
      <c r="F112" s="3">
        <v>10</v>
      </c>
      <c r="G112" s="3">
        <v>6</v>
      </c>
      <c r="H112" s="97">
        <v>1</v>
      </c>
      <c r="I112" s="23">
        <f>MIN(B112:H112)</f>
        <v>1</v>
      </c>
      <c r="J112" s="24">
        <v>6</v>
      </c>
      <c r="K112" s="106">
        <v>6</v>
      </c>
    </row>
    <row r="113" ht="22.5" customHeight="1" spans="1:11">
      <c r="A113" s="96" t="s">
        <v>16</v>
      </c>
      <c r="B113" s="28">
        <f t="shared" ref="B113:K113" si="57">B112+B111</f>
        <v>28</v>
      </c>
      <c r="C113" s="25">
        <f t="shared" si="57"/>
        <v>28</v>
      </c>
      <c r="D113" s="25">
        <f t="shared" si="57"/>
        <v>22</v>
      </c>
      <c r="E113" s="25">
        <f t="shared" si="57"/>
        <v>31</v>
      </c>
      <c r="F113" s="25">
        <f t="shared" si="57"/>
        <v>28</v>
      </c>
      <c r="G113" s="25">
        <f t="shared" si="57"/>
        <v>24</v>
      </c>
      <c r="H113" s="69">
        <f t="shared" si="57"/>
        <v>19</v>
      </c>
      <c r="I113" s="23">
        <f t="shared" si="57"/>
        <v>23</v>
      </c>
      <c r="J113" s="24">
        <f t="shared" si="57"/>
        <v>24</v>
      </c>
      <c r="K113" s="106">
        <f t="shared" si="57"/>
        <v>17</v>
      </c>
    </row>
    <row r="114" ht="22.5" customHeight="1" spans="1:11">
      <c r="A114" s="98" t="s">
        <v>17</v>
      </c>
      <c r="B114" s="30">
        <f t="shared" ref="B114:K114" si="58">B109/B111</f>
        <v>32763181.8181818</v>
      </c>
      <c r="C114" s="31">
        <f t="shared" si="58"/>
        <v>32763181.8181818</v>
      </c>
      <c r="D114" s="31">
        <f t="shared" si="58"/>
        <v>36039500</v>
      </c>
      <c r="E114" s="31">
        <f t="shared" si="58"/>
        <v>38679660.2464286</v>
      </c>
      <c r="F114" s="31">
        <f t="shared" si="58"/>
        <v>105657483.1312</v>
      </c>
      <c r="G114" s="31">
        <f t="shared" si="58"/>
        <v>33703809.1933111</v>
      </c>
      <c r="H114" s="70">
        <f t="shared" si="58"/>
        <v>281634649.522439</v>
      </c>
      <c r="I114" s="30">
        <f t="shared" si="58"/>
        <v>740050350.902189</v>
      </c>
      <c r="J114" s="31">
        <f t="shared" si="58"/>
        <v>476768971.986542</v>
      </c>
      <c r="K114" s="70">
        <f t="shared" si="58"/>
        <v>211262542.532477</v>
      </c>
    </row>
    <row r="115" ht="22.5" customHeight="1" spans="1:11">
      <c r="A115" s="98" t="s">
        <v>18</v>
      </c>
      <c r="B115" s="30">
        <f t="shared" ref="B115:K115" si="59">B109/B112</f>
        <v>120131666.666667</v>
      </c>
      <c r="C115" s="31">
        <f t="shared" si="59"/>
        <v>120131666.666667</v>
      </c>
      <c r="D115" s="31">
        <f t="shared" si="59"/>
        <v>360395000</v>
      </c>
      <c r="E115" s="31">
        <f t="shared" si="59"/>
        <v>81227286.5175</v>
      </c>
      <c r="F115" s="31">
        <f t="shared" si="59"/>
        <v>190183469.63616</v>
      </c>
      <c r="G115" s="31">
        <f t="shared" si="59"/>
        <v>101111427.579933</v>
      </c>
      <c r="H115" s="70">
        <f t="shared" si="59"/>
        <v>5069423691.4039</v>
      </c>
      <c r="I115" s="30">
        <f t="shared" si="59"/>
        <v>16281107719.8482</v>
      </c>
      <c r="J115" s="31">
        <f t="shared" si="59"/>
        <v>1430306915.95963</v>
      </c>
      <c r="K115" s="70">
        <f t="shared" si="59"/>
        <v>387314661.309542</v>
      </c>
    </row>
    <row r="116" ht="22.5" customHeight="1" spans="1:11">
      <c r="A116" s="98" t="s">
        <v>19</v>
      </c>
      <c r="B116" s="30">
        <f t="shared" ref="B116:K116" si="60">B109/B113</f>
        <v>25742500</v>
      </c>
      <c r="C116" s="31">
        <f t="shared" si="60"/>
        <v>25742500</v>
      </c>
      <c r="D116" s="31">
        <f t="shared" si="60"/>
        <v>32763181.8181818</v>
      </c>
      <c r="E116" s="31">
        <f t="shared" si="60"/>
        <v>26202350.4895161</v>
      </c>
      <c r="F116" s="31">
        <f t="shared" si="60"/>
        <v>67922667.7272</v>
      </c>
      <c r="G116" s="31">
        <f t="shared" si="60"/>
        <v>25277856.8949833</v>
      </c>
      <c r="H116" s="70">
        <f t="shared" si="60"/>
        <v>266811773.231784</v>
      </c>
      <c r="I116" s="30">
        <f t="shared" si="60"/>
        <v>707874248.68905</v>
      </c>
      <c r="J116" s="31">
        <f t="shared" si="60"/>
        <v>357576728.989906</v>
      </c>
      <c r="K116" s="70">
        <f t="shared" si="60"/>
        <v>136699292.226897</v>
      </c>
    </row>
    <row r="117" ht="22.5" customHeight="1" spans="1:11">
      <c r="A117" s="99" t="s">
        <v>20</v>
      </c>
      <c r="B117" s="34">
        <f>K114/12</f>
        <v>17605211.8777064</v>
      </c>
      <c r="C117" s="35">
        <f t="shared" ref="C117:H118" si="61">B117</f>
        <v>17605211.8777064</v>
      </c>
      <c r="D117" s="35">
        <f t="shared" si="61"/>
        <v>17605211.8777064</v>
      </c>
      <c r="E117" s="35">
        <f t="shared" si="61"/>
        <v>17605211.8777064</v>
      </c>
      <c r="F117" s="35">
        <f t="shared" si="61"/>
        <v>17605211.8777064</v>
      </c>
      <c r="G117" s="35">
        <f t="shared" si="61"/>
        <v>17605211.8777064</v>
      </c>
      <c r="H117" s="71">
        <f t="shared" si="61"/>
        <v>17605211.8777064</v>
      </c>
      <c r="I117" s="34">
        <f>K114</f>
        <v>211262542.532477</v>
      </c>
      <c r="J117" s="35">
        <f>I117</f>
        <v>211262542.532477</v>
      </c>
      <c r="K117" s="71">
        <f>J117</f>
        <v>211262542.532477</v>
      </c>
    </row>
    <row r="118" ht="22.5" customHeight="1" spans="1:11">
      <c r="A118" s="99" t="s">
        <v>21</v>
      </c>
      <c r="B118" s="34">
        <f>K116/12</f>
        <v>11391607.6855748</v>
      </c>
      <c r="C118" s="35">
        <f t="shared" si="61"/>
        <v>11391607.6855748</v>
      </c>
      <c r="D118" s="35">
        <f t="shared" si="61"/>
        <v>11391607.6855748</v>
      </c>
      <c r="E118" s="35">
        <f t="shared" si="61"/>
        <v>11391607.6855748</v>
      </c>
      <c r="F118" s="35">
        <f t="shared" si="61"/>
        <v>11391607.6855748</v>
      </c>
      <c r="G118" s="35">
        <f t="shared" si="61"/>
        <v>11391607.6855748</v>
      </c>
      <c r="H118" s="71">
        <f t="shared" si="61"/>
        <v>11391607.6855748</v>
      </c>
      <c r="I118" s="34">
        <f>K116</f>
        <v>136699292.226897</v>
      </c>
      <c r="J118" s="35">
        <f>I118</f>
        <v>136699292.226897</v>
      </c>
      <c r="K118" s="71">
        <f>J118</f>
        <v>136699292.226897</v>
      </c>
    </row>
    <row r="119" ht="22.5" customHeight="1" spans="1:11">
      <c r="A119" s="98" t="s">
        <v>22</v>
      </c>
      <c r="B119" s="30">
        <f t="shared" ref="B119:H119" si="62">B110/B111</f>
        <v>6106389.40045455</v>
      </c>
      <c r="C119" s="31">
        <f t="shared" si="62"/>
        <v>6106389.40045455</v>
      </c>
      <c r="D119" s="31">
        <f t="shared" si="62"/>
        <v>717403.619</v>
      </c>
      <c r="E119" s="31">
        <f t="shared" si="62"/>
        <v>683241.541904762</v>
      </c>
      <c r="F119" s="31">
        <f t="shared" si="62"/>
        <v>791559.576666667</v>
      </c>
      <c r="G119" s="31">
        <f t="shared" si="62"/>
        <v>791559.576666667</v>
      </c>
      <c r="H119" s="70">
        <f t="shared" si="62"/>
        <v>791559.576666667</v>
      </c>
      <c r="I119" s="30">
        <f>(I110/12)/I111</f>
        <v>2208581.13974026</v>
      </c>
      <c r="J119" s="31">
        <f>(J110/12)/J111</f>
        <v>270370.37037037</v>
      </c>
      <c r="K119" s="70">
        <f>(K110/12)/K111</f>
        <v>346969.696969697</v>
      </c>
    </row>
    <row r="120" ht="22.5" customHeight="1" spans="1:11">
      <c r="A120" s="98" t="s">
        <v>23</v>
      </c>
      <c r="B120" s="30">
        <f t="shared" ref="B120:H120" si="63">B110/B113</f>
        <v>4797877.38607143</v>
      </c>
      <c r="C120" s="31">
        <f t="shared" si="63"/>
        <v>4797877.38607143</v>
      </c>
      <c r="D120" s="31">
        <f t="shared" si="63"/>
        <v>652185.108181818</v>
      </c>
      <c r="E120" s="31">
        <f t="shared" si="63"/>
        <v>462841.044516129</v>
      </c>
      <c r="F120" s="31">
        <f t="shared" si="63"/>
        <v>508859.727857143</v>
      </c>
      <c r="G120" s="31">
        <f t="shared" si="63"/>
        <v>593669.6825</v>
      </c>
      <c r="H120" s="70">
        <f t="shared" si="63"/>
        <v>749898.54631579</v>
      </c>
      <c r="I120" s="30">
        <f>(I110/12)/I113</f>
        <v>2112555.87279503</v>
      </c>
      <c r="J120" s="31">
        <f>(J110/12)/J113</f>
        <v>202777.777777778</v>
      </c>
      <c r="K120" s="70">
        <f>(K110/12)/K113</f>
        <v>224509.803921569</v>
      </c>
    </row>
    <row r="121" ht="22.5" customHeight="1" spans="1:11">
      <c r="A121" s="98" t="s">
        <v>24</v>
      </c>
      <c r="B121" s="37">
        <f t="shared" ref="B121:K121" si="64">B110/B109</f>
        <v>0.186379620707834</v>
      </c>
      <c r="C121" s="38">
        <f t="shared" si="64"/>
        <v>0.186379620707834</v>
      </c>
      <c r="D121" s="38">
        <f t="shared" si="64"/>
        <v>0.0199060369594473</v>
      </c>
      <c r="E121" s="38">
        <f t="shared" si="64"/>
        <v>0.0176641040162148</v>
      </c>
      <c r="F121" s="38">
        <f t="shared" si="64"/>
        <v>0.00749175120595811</v>
      </c>
      <c r="G121" s="38">
        <f t="shared" si="64"/>
        <v>0.0234857600850577</v>
      </c>
      <c r="H121" s="72">
        <f t="shared" si="64"/>
        <v>0.00281059016711507</v>
      </c>
      <c r="I121" s="37">
        <f t="shared" si="64"/>
        <v>0.0358123925548763</v>
      </c>
      <c r="J121" s="38">
        <f t="shared" si="64"/>
        <v>0.0068050662586659</v>
      </c>
      <c r="K121" s="72">
        <f t="shared" si="64"/>
        <v>0.0197083511053375</v>
      </c>
    </row>
    <row r="122" ht="22.5" customHeight="1" spans="1:11">
      <c r="A122" s="100" t="s">
        <v>25</v>
      </c>
      <c r="B122" s="48">
        <f t="shared" ref="B122:G123" si="65">(B110-C110)/C110</f>
        <v>0</v>
      </c>
      <c r="C122" s="49">
        <f t="shared" si="65"/>
        <v>8.3629696904275</v>
      </c>
      <c r="D122" s="49">
        <f t="shared" si="65"/>
        <v>0</v>
      </c>
      <c r="E122" s="49">
        <f t="shared" si="65"/>
        <v>0.00701849326231455</v>
      </c>
      <c r="F122" s="49">
        <f t="shared" si="65"/>
        <v>0</v>
      </c>
      <c r="G122" s="49">
        <f t="shared" si="65"/>
        <v>0</v>
      </c>
      <c r="H122" s="101">
        <f>((H110)-(J110/12))/(J110/12)</f>
        <v>1.92768610547945</v>
      </c>
      <c r="I122" s="73">
        <f>(I110-K110)/K110</f>
        <v>11.7306860456644</v>
      </c>
      <c r="J122" s="49">
        <f>(J110-K110)/K110</f>
        <v>0.275109170305677</v>
      </c>
      <c r="K122" s="101">
        <f>K123</f>
        <v>1.75</v>
      </c>
    </row>
    <row r="123" ht="22.5" customHeight="1" spans="1:11">
      <c r="A123" s="100" t="s">
        <v>26</v>
      </c>
      <c r="B123" s="48">
        <f t="shared" si="65"/>
        <v>0</v>
      </c>
      <c r="C123" s="48">
        <f t="shared" si="65"/>
        <v>0.1</v>
      </c>
      <c r="D123" s="48">
        <f t="shared" si="65"/>
        <v>-0.0476190476190476</v>
      </c>
      <c r="E123" s="48">
        <f t="shared" si="65"/>
        <v>0.166666666666667</v>
      </c>
      <c r="F123" s="48">
        <f t="shared" si="65"/>
        <v>0</v>
      </c>
      <c r="G123" s="48">
        <f t="shared" si="65"/>
        <v>0</v>
      </c>
      <c r="H123" s="102">
        <f>(H111-J111)/J111</f>
        <v>0</v>
      </c>
      <c r="I123" s="73">
        <f>(I111-K111)/K111</f>
        <v>1</v>
      </c>
      <c r="J123" s="48">
        <f>(J111-K111)/K111</f>
        <v>0.636363636363636</v>
      </c>
      <c r="K123" s="102">
        <v>1.75</v>
      </c>
    </row>
    <row r="124" ht="22.5" customHeight="1" spans="1:11">
      <c r="A124" s="103" t="s">
        <v>27</v>
      </c>
      <c r="B124" s="53">
        <f t="shared" ref="B124:G124" si="66">(B109-C109)/C109</f>
        <v>0</v>
      </c>
      <c r="C124" s="54">
        <f t="shared" si="66"/>
        <v>0</v>
      </c>
      <c r="D124" s="54">
        <f t="shared" si="66"/>
        <v>-0.112625780199232</v>
      </c>
      <c r="E124" s="54">
        <f t="shared" si="66"/>
        <v>-0.572900385754367</v>
      </c>
      <c r="F124" s="54">
        <f t="shared" si="66"/>
        <v>2.1348825447353</v>
      </c>
      <c r="G124" s="54">
        <f t="shared" si="66"/>
        <v>-0.880327902655224</v>
      </c>
      <c r="H124" s="104">
        <f>(H109*12-J109)/J109</f>
        <v>6.08858166710703</v>
      </c>
      <c r="I124" s="84">
        <f>(I109-K109)/K109</f>
        <v>6.00597788922683</v>
      </c>
      <c r="J124" s="54">
        <f>(J109-K109)/K109</f>
        <v>2.69288090237442</v>
      </c>
      <c r="K124" s="104">
        <v>1.10291666414639</v>
      </c>
    </row>
    <row r="125" s="8" customFormat="1" ht="8.25" customHeight="1"/>
    <row r="126" s="8" customFormat="1" ht="8.25" customHeight="1"/>
    <row r="127" ht="22.5" customHeight="1" spans="1:11">
      <c r="A127" s="9" t="s">
        <v>0</v>
      </c>
      <c r="B127" s="105" t="s">
        <v>1</v>
      </c>
      <c r="C127" s="11" t="s">
        <v>2</v>
      </c>
      <c r="D127" s="11" t="s">
        <v>3</v>
      </c>
      <c r="E127" s="11" t="s">
        <v>4</v>
      </c>
      <c r="F127" s="11" t="s">
        <v>5</v>
      </c>
      <c r="G127" s="11" t="s">
        <v>6</v>
      </c>
      <c r="H127" s="44" t="s">
        <v>7</v>
      </c>
      <c r="I127" s="10" t="s">
        <v>8</v>
      </c>
      <c r="J127" s="11" t="s">
        <v>9</v>
      </c>
      <c r="K127" s="44" t="s">
        <v>10</v>
      </c>
    </row>
    <row r="128" ht="22.5" customHeight="1" spans="1:11">
      <c r="A128" s="13" t="s">
        <v>40</v>
      </c>
      <c r="B128" s="14" t="str">
        <f>TEXT("7/1/2024","mmm-yy")</f>
        <v>Jul-24</v>
      </c>
      <c r="C128" s="14" t="str">
        <f>TEXT("6/1/2024","mmm-yy")</f>
        <v>Jun-24</v>
      </c>
      <c r="D128" s="14" t="str">
        <f>TEXT("5/1/2024","mmm-yy")</f>
        <v>May-24</v>
      </c>
      <c r="E128" s="14" t="str">
        <f>TEXT("4/1/2024","mmm-yy")</f>
        <v>Apr-24</v>
      </c>
      <c r="F128" s="14" t="str">
        <f>TEXT("3/1/2024","mmm-yy")</f>
        <v>Mar-24</v>
      </c>
      <c r="G128" s="14" t="str">
        <f>TEXT("2/1/2024","mmm-yy")</f>
        <v>Feb-24</v>
      </c>
      <c r="H128" s="14" t="str">
        <f>TEXT("1/1/2024","mmm-yy")</f>
        <v>Jan-24</v>
      </c>
      <c r="I128" s="64">
        <f>YEAR(DATE(2024,12,1))</f>
        <v>2024</v>
      </c>
      <c r="J128" s="64">
        <f>YEAR(DATE(2023,12,1))</f>
        <v>2023</v>
      </c>
      <c r="K128" s="64">
        <f>YEAR(DATE(2022,12,1))</f>
        <v>2022</v>
      </c>
    </row>
    <row r="129" ht="22.5" customHeight="1" spans="1:11">
      <c r="A129" s="15" t="s">
        <v>12</v>
      </c>
      <c r="B129" s="107">
        <f>D129</f>
        <v>8900000</v>
      </c>
      <c r="C129" s="108">
        <f>D129</f>
        <v>8900000</v>
      </c>
      <c r="D129" s="108">
        <v>8900000</v>
      </c>
      <c r="E129" s="108">
        <v>0</v>
      </c>
      <c r="F129" s="108">
        <v>0</v>
      </c>
      <c r="G129" s="108">
        <v>0</v>
      </c>
      <c r="H129" s="109">
        <v>0</v>
      </c>
      <c r="I129" s="16">
        <f>AVERAGE(B129:H129)*12*0.5</f>
        <v>22885714.2857143</v>
      </c>
      <c r="J129" s="17">
        <v>540035857.210702</v>
      </c>
      <c r="K129" s="18">
        <v>1306871.95</v>
      </c>
    </row>
    <row r="130" ht="22.5" customHeight="1" spans="1:11">
      <c r="A130" s="15" t="s">
        <v>13</v>
      </c>
      <c r="B130" s="45">
        <v>134340566.81</v>
      </c>
      <c r="C130" s="45">
        <v>134340566.81</v>
      </c>
      <c r="D130" s="45">
        <v>1682425.67</v>
      </c>
      <c r="E130" s="45">
        <v>1682425.67</v>
      </c>
      <c r="F130" s="45">
        <v>1682425.67</v>
      </c>
      <c r="G130" s="45">
        <v>1682425.67</v>
      </c>
      <c r="H130" s="95">
        <v>1582425.67</v>
      </c>
      <c r="I130" s="56">
        <f>AVERAGE(B130:H130)*12</f>
        <v>474845591.948572</v>
      </c>
      <c r="J130" s="45">
        <v>5400000</v>
      </c>
      <c r="K130" s="46">
        <v>11600000</v>
      </c>
    </row>
    <row r="131" ht="22.5" customHeight="1" spans="1:11">
      <c r="A131" s="22" t="s">
        <v>14</v>
      </c>
      <c r="B131" s="28">
        <v>2</v>
      </c>
      <c r="C131" s="25">
        <v>2</v>
      </c>
      <c r="D131" s="25">
        <v>2</v>
      </c>
      <c r="E131" s="25">
        <v>1</v>
      </c>
      <c r="F131" s="25">
        <v>1</v>
      </c>
      <c r="G131" s="25">
        <v>1</v>
      </c>
      <c r="H131" s="69">
        <v>1</v>
      </c>
      <c r="I131" s="23">
        <f>MAX(B131:H131)</f>
        <v>2</v>
      </c>
      <c r="J131" s="24">
        <v>1</v>
      </c>
      <c r="K131" s="83">
        <v>3</v>
      </c>
    </row>
    <row r="132" ht="22.5" customHeight="1" spans="1:11">
      <c r="A132" s="22" t="s">
        <v>15</v>
      </c>
      <c r="B132" s="28">
        <f>D132</f>
        <v>3</v>
      </c>
      <c r="C132" s="25">
        <v>3</v>
      </c>
      <c r="D132" s="3">
        <v>3</v>
      </c>
      <c r="E132" s="3">
        <v>3</v>
      </c>
      <c r="F132" s="3">
        <v>3</v>
      </c>
      <c r="G132" s="3">
        <v>3</v>
      </c>
      <c r="H132" s="97">
        <v>3</v>
      </c>
      <c r="I132" s="23">
        <f>MIN(B132:H132)</f>
        <v>3</v>
      </c>
      <c r="J132" s="24">
        <v>3</v>
      </c>
      <c r="K132" s="83">
        <v>3</v>
      </c>
    </row>
    <row r="133" ht="22.5" customHeight="1" spans="1:11">
      <c r="A133" s="22" t="s">
        <v>16</v>
      </c>
      <c r="B133" s="28">
        <f t="shared" ref="B133:K133" si="67">B132+B131</f>
        <v>5</v>
      </c>
      <c r="C133" s="25">
        <f t="shared" si="67"/>
        <v>5</v>
      </c>
      <c r="D133" s="25">
        <f t="shared" si="67"/>
        <v>5</v>
      </c>
      <c r="E133" s="25">
        <f t="shared" si="67"/>
        <v>4</v>
      </c>
      <c r="F133" s="25">
        <f t="shared" si="67"/>
        <v>4</v>
      </c>
      <c r="G133" s="25">
        <f t="shared" si="67"/>
        <v>4</v>
      </c>
      <c r="H133" s="69">
        <f t="shared" si="67"/>
        <v>4</v>
      </c>
      <c r="I133" s="23">
        <f t="shared" si="67"/>
        <v>5</v>
      </c>
      <c r="J133" s="24">
        <f t="shared" si="67"/>
        <v>4</v>
      </c>
      <c r="K133" s="83">
        <f t="shared" si="67"/>
        <v>6</v>
      </c>
    </row>
    <row r="134" ht="22.5" customHeight="1" spans="1:11">
      <c r="A134" s="29" t="s">
        <v>17</v>
      </c>
      <c r="B134" s="30">
        <f t="shared" ref="B134:K134" si="68">B129/B131</f>
        <v>4450000</v>
      </c>
      <c r="C134" s="31">
        <f t="shared" si="68"/>
        <v>4450000</v>
      </c>
      <c r="D134" s="31">
        <f t="shared" si="68"/>
        <v>4450000</v>
      </c>
      <c r="E134" s="31">
        <f t="shared" si="68"/>
        <v>0</v>
      </c>
      <c r="F134" s="31">
        <f t="shared" si="68"/>
        <v>0</v>
      </c>
      <c r="G134" s="31">
        <f t="shared" si="68"/>
        <v>0</v>
      </c>
      <c r="H134" s="70">
        <f t="shared" si="68"/>
        <v>0</v>
      </c>
      <c r="I134" s="30">
        <f t="shared" si="68"/>
        <v>11442857.1428571</v>
      </c>
      <c r="J134" s="31">
        <f t="shared" si="68"/>
        <v>540035857.210702</v>
      </c>
      <c r="K134" s="32">
        <f t="shared" si="68"/>
        <v>435623.983333333</v>
      </c>
    </row>
    <row r="135" ht="22.5" customHeight="1" spans="1:11">
      <c r="A135" s="29" t="s">
        <v>18</v>
      </c>
      <c r="B135" s="30">
        <f t="shared" ref="B135:K135" si="69">B129/B132</f>
        <v>2966666.66666667</v>
      </c>
      <c r="C135" s="31">
        <f t="shared" si="69"/>
        <v>2966666.66666667</v>
      </c>
      <c r="D135" s="31">
        <f t="shared" si="69"/>
        <v>2966666.66666667</v>
      </c>
      <c r="E135" s="31">
        <f t="shared" si="69"/>
        <v>0</v>
      </c>
      <c r="F135" s="31">
        <f t="shared" si="69"/>
        <v>0</v>
      </c>
      <c r="G135" s="31">
        <f t="shared" si="69"/>
        <v>0</v>
      </c>
      <c r="H135" s="70">
        <f t="shared" si="69"/>
        <v>0</v>
      </c>
      <c r="I135" s="30">
        <f t="shared" si="69"/>
        <v>7628571.42857143</v>
      </c>
      <c r="J135" s="31">
        <f t="shared" si="69"/>
        <v>180011952.403567</v>
      </c>
      <c r="K135" s="32">
        <f t="shared" si="69"/>
        <v>435623.983333333</v>
      </c>
    </row>
    <row r="136" ht="22.5" customHeight="1" spans="1:11">
      <c r="A136" s="29" t="s">
        <v>19</v>
      </c>
      <c r="B136" s="30">
        <f t="shared" ref="B136:K136" si="70">B129/B133</f>
        <v>1780000</v>
      </c>
      <c r="C136" s="31">
        <f t="shared" si="70"/>
        <v>1780000</v>
      </c>
      <c r="D136" s="31">
        <f t="shared" si="70"/>
        <v>1780000</v>
      </c>
      <c r="E136" s="31">
        <f t="shared" si="70"/>
        <v>0</v>
      </c>
      <c r="F136" s="31">
        <f t="shared" si="70"/>
        <v>0</v>
      </c>
      <c r="G136" s="31">
        <f t="shared" si="70"/>
        <v>0</v>
      </c>
      <c r="H136" s="70">
        <f t="shared" si="70"/>
        <v>0</v>
      </c>
      <c r="I136" s="30">
        <f t="shared" si="70"/>
        <v>4577142.85714286</v>
      </c>
      <c r="J136" s="31">
        <f t="shared" si="70"/>
        <v>135008964.302675</v>
      </c>
      <c r="K136" s="32">
        <f t="shared" si="70"/>
        <v>217811.991666667</v>
      </c>
    </row>
    <row r="137" ht="22.5" customHeight="1" spans="1:11">
      <c r="A137" s="33" t="s">
        <v>20</v>
      </c>
      <c r="B137" s="34">
        <f>K134/12</f>
        <v>36301.9986111111</v>
      </c>
      <c r="C137" s="35">
        <f t="shared" ref="C137:H138" si="71">B137</f>
        <v>36301.9986111111</v>
      </c>
      <c r="D137" s="35">
        <f t="shared" si="71"/>
        <v>36301.9986111111</v>
      </c>
      <c r="E137" s="35">
        <f t="shared" si="71"/>
        <v>36301.9986111111</v>
      </c>
      <c r="F137" s="35">
        <f t="shared" si="71"/>
        <v>36301.9986111111</v>
      </c>
      <c r="G137" s="35">
        <f t="shared" si="71"/>
        <v>36301.9986111111</v>
      </c>
      <c r="H137" s="71">
        <f t="shared" si="71"/>
        <v>36301.9986111111</v>
      </c>
      <c r="I137" s="34">
        <f>K134</f>
        <v>435623.983333333</v>
      </c>
      <c r="J137" s="35">
        <f>I137</f>
        <v>435623.983333333</v>
      </c>
      <c r="K137" s="36">
        <f>J137</f>
        <v>435623.983333333</v>
      </c>
    </row>
    <row r="138" ht="22.5" customHeight="1" spans="1:11">
      <c r="A138" s="33" t="s">
        <v>21</v>
      </c>
      <c r="B138" s="34">
        <f>K136/12</f>
        <v>18150.9993055556</v>
      </c>
      <c r="C138" s="35">
        <f t="shared" si="71"/>
        <v>18150.9993055556</v>
      </c>
      <c r="D138" s="35">
        <f t="shared" si="71"/>
        <v>18150.9993055556</v>
      </c>
      <c r="E138" s="35">
        <f t="shared" si="71"/>
        <v>18150.9993055556</v>
      </c>
      <c r="F138" s="35">
        <f t="shared" si="71"/>
        <v>18150.9993055556</v>
      </c>
      <c r="G138" s="35">
        <f t="shared" si="71"/>
        <v>18150.9993055556</v>
      </c>
      <c r="H138" s="71">
        <f t="shared" si="71"/>
        <v>18150.9993055556</v>
      </c>
      <c r="I138" s="34">
        <f>K136</f>
        <v>217811.991666667</v>
      </c>
      <c r="J138" s="35">
        <f>I138</f>
        <v>217811.991666667</v>
      </c>
      <c r="K138" s="36">
        <f>J138</f>
        <v>217811.991666667</v>
      </c>
    </row>
    <row r="139" ht="22.5" customHeight="1" spans="1:11">
      <c r="A139" s="29" t="s">
        <v>22</v>
      </c>
      <c r="B139" s="30">
        <f t="shared" ref="B139:H139" si="72">B130/B131</f>
        <v>67170283.405</v>
      </c>
      <c r="C139" s="31">
        <f t="shared" si="72"/>
        <v>67170283.405</v>
      </c>
      <c r="D139" s="31">
        <f t="shared" si="72"/>
        <v>841212.835</v>
      </c>
      <c r="E139" s="31">
        <f t="shared" si="72"/>
        <v>1682425.67</v>
      </c>
      <c r="F139" s="31">
        <f t="shared" si="72"/>
        <v>1682425.67</v>
      </c>
      <c r="G139" s="31">
        <f t="shared" si="72"/>
        <v>1682425.67</v>
      </c>
      <c r="H139" s="70">
        <f t="shared" si="72"/>
        <v>1582425.67</v>
      </c>
      <c r="I139" s="30">
        <f>(I130/12)/I131</f>
        <v>19785232.9978571</v>
      </c>
      <c r="J139" s="31">
        <f>(J130/12)/J131</f>
        <v>450000</v>
      </c>
      <c r="K139" s="32">
        <f>(K130/12)/K131</f>
        <v>322222.222222222</v>
      </c>
    </row>
    <row r="140" ht="22.5" customHeight="1" spans="1:11">
      <c r="A140" s="29" t="s">
        <v>23</v>
      </c>
      <c r="B140" s="30">
        <f t="shared" ref="B140:H140" si="73">B130/B133</f>
        <v>26868113.362</v>
      </c>
      <c r="C140" s="31">
        <f t="shared" si="73"/>
        <v>26868113.362</v>
      </c>
      <c r="D140" s="31">
        <f t="shared" si="73"/>
        <v>336485.134</v>
      </c>
      <c r="E140" s="31">
        <f t="shared" si="73"/>
        <v>420606.4175</v>
      </c>
      <c r="F140" s="31">
        <f t="shared" si="73"/>
        <v>420606.4175</v>
      </c>
      <c r="G140" s="31">
        <f t="shared" si="73"/>
        <v>420606.4175</v>
      </c>
      <c r="H140" s="70">
        <f t="shared" si="73"/>
        <v>395606.4175</v>
      </c>
      <c r="I140" s="30">
        <f>(I130/12)/I133</f>
        <v>7914093.19914286</v>
      </c>
      <c r="J140" s="31">
        <f>(J130/12)/J133</f>
        <v>112500</v>
      </c>
      <c r="K140" s="32">
        <f>(K130/12)/K133</f>
        <v>161111.111111111</v>
      </c>
    </row>
    <row r="141" ht="22.5" customHeight="1" spans="1:11">
      <c r="A141" s="29" t="s">
        <v>24</v>
      </c>
      <c r="B141" s="37">
        <f t="shared" ref="B141:K141" si="74">B130/B129</f>
        <v>15.0944457089888</v>
      </c>
      <c r="C141" s="38">
        <f t="shared" si="74"/>
        <v>15.0944457089888</v>
      </c>
      <c r="D141" s="38">
        <f t="shared" si="74"/>
        <v>0.189036592134831</v>
      </c>
      <c r="E141" s="38" t="e">
        <f t="shared" si="74"/>
        <v>#DIV/0!</v>
      </c>
      <c r="F141" s="38" t="e">
        <f t="shared" si="74"/>
        <v>#DIV/0!</v>
      </c>
      <c r="G141" s="38" t="e">
        <f t="shared" si="74"/>
        <v>#DIV/0!</v>
      </c>
      <c r="H141" s="72" t="e">
        <f t="shared" si="74"/>
        <v>#DIV/0!</v>
      </c>
      <c r="I141" s="37">
        <f t="shared" si="74"/>
        <v>20.7485589490637</v>
      </c>
      <c r="J141" s="38">
        <f t="shared" si="74"/>
        <v>0.00999933602166924</v>
      </c>
      <c r="K141" s="39">
        <f t="shared" si="74"/>
        <v>8.87615653545858</v>
      </c>
    </row>
    <row r="142" ht="22.5" customHeight="1" spans="1:11">
      <c r="A142" s="47" t="s">
        <v>25</v>
      </c>
      <c r="B142" s="48">
        <f t="shared" ref="B142:G143" si="75">(B130-C130)/C130</f>
        <v>0</v>
      </c>
      <c r="C142" s="49">
        <f t="shared" si="75"/>
        <v>78.8493325473333</v>
      </c>
      <c r="D142" s="49">
        <f t="shared" si="75"/>
        <v>0</v>
      </c>
      <c r="E142" s="49">
        <f t="shared" si="75"/>
        <v>0</v>
      </c>
      <c r="F142" s="49">
        <f t="shared" si="75"/>
        <v>0</v>
      </c>
      <c r="G142" s="49">
        <f t="shared" si="75"/>
        <v>0.0631941214654335</v>
      </c>
      <c r="H142" s="101">
        <f>((H130)-(J130/12))/(J130/12)</f>
        <v>2.51650148888889</v>
      </c>
      <c r="I142" s="73">
        <f>(I130-K130)/K130</f>
        <v>39.9349648231527</v>
      </c>
      <c r="J142" s="49">
        <f>(J130-K130)/K130</f>
        <v>-0.53448275862069</v>
      </c>
      <c r="K142" s="50">
        <v>0</v>
      </c>
    </row>
    <row r="143" ht="22.5" customHeight="1" spans="1:11">
      <c r="A143" s="47" t="s">
        <v>26</v>
      </c>
      <c r="B143" s="48">
        <f t="shared" si="75"/>
        <v>0</v>
      </c>
      <c r="C143" s="48">
        <f t="shared" si="75"/>
        <v>0</v>
      </c>
      <c r="D143" s="48">
        <f t="shared" si="75"/>
        <v>1</v>
      </c>
      <c r="E143" s="48">
        <f t="shared" si="75"/>
        <v>0</v>
      </c>
      <c r="F143" s="48">
        <f t="shared" si="75"/>
        <v>0</v>
      </c>
      <c r="G143" s="48">
        <f t="shared" si="75"/>
        <v>0</v>
      </c>
      <c r="H143" s="102">
        <f>(H131-J131)/J131</f>
        <v>0</v>
      </c>
      <c r="I143" s="73">
        <f>(I131-K131)/K131</f>
        <v>-0.333333333333333</v>
      </c>
      <c r="J143" s="48">
        <f>(J131-K131)/K131</f>
        <v>-0.666666666666667</v>
      </c>
      <c r="K143" s="51">
        <v>0</v>
      </c>
    </row>
    <row r="144" ht="22.5" customHeight="1" spans="1:11">
      <c r="A144" s="52" t="s">
        <v>27</v>
      </c>
      <c r="B144" s="53">
        <f t="shared" ref="B144:G144" si="76">(B129-C129)/C129</f>
        <v>0</v>
      </c>
      <c r="C144" s="54">
        <f t="shared" si="76"/>
        <v>0</v>
      </c>
      <c r="D144" s="54" t="e">
        <f t="shared" si="76"/>
        <v>#DIV/0!</v>
      </c>
      <c r="E144" s="54" t="e">
        <f t="shared" si="76"/>
        <v>#DIV/0!</v>
      </c>
      <c r="F144" s="54" t="e">
        <f t="shared" si="76"/>
        <v>#DIV/0!</v>
      </c>
      <c r="G144" s="54" t="e">
        <f t="shared" si="76"/>
        <v>#DIV/0!</v>
      </c>
      <c r="H144" s="104">
        <f>(H129*12-J129)/J129</f>
        <v>-1</v>
      </c>
      <c r="I144" s="84">
        <f>(I129-K129)/K129</f>
        <v>16.511826071188</v>
      </c>
      <c r="J144" s="54">
        <f>(J129-K129)/K129</f>
        <v>412.227827876099</v>
      </c>
      <c r="K144" s="55">
        <v>-1</v>
      </c>
    </row>
    <row r="145" s="8" customFormat="1" ht="8.25" customHeight="1"/>
    <row r="146" s="8" customFormat="1" ht="8.25" customHeight="1"/>
    <row r="147" ht="22.5" customHeight="1" spans="1:11">
      <c r="A147" s="9" t="s">
        <v>0</v>
      </c>
      <c r="B147" s="10" t="s">
        <v>1</v>
      </c>
      <c r="C147" s="11" t="s">
        <v>2</v>
      </c>
      <c r="D147" s="11" t="s">
        <v>3</v>
      </c>
      <c r="E147" s="11" t="s">
        <v>4</v>
      </c>
      <c r="F147" s="11" t="s">
        <v>5</v>
      </c>
      <c r="G147" s="11" t="s">
        <v>6</v>
      </c>
      <c r="H147" s="12" t="s">
        <v>7</v>
      </c>
      <c r="I147" s="10" t="s">
        <v>8</v>
      </c>
      <c r="J147" s="11" t="s">
        <v>9</v>
      </c>
      <c r="K147" s="44" t="s">
        <v>10</v>
      </c>
    </row>
    <row r="148" ht="22.5" customHeight="1" spans="1:11">
      <c r="A148" s="13" t="s">
        <v>41</v>
      </c>
      <c r="B148" s="14" t="str">
        <f>TEXT("7/1/2024","mmm-yy")</f>
        <v>Jul-24</v>
      </c>
      <c r="C148" s="14" t="str">
        <f>TEXT("6/1/2024","mmm-yy")</f>
        <v>Jun-24</v>
      </c>
      <c r="D148" s="14" t="str">
        <f>TEXT("5/1/2024","mmm-yy")</f>
        <v>May-24</v>
      </c>
      <c r="E148" s="14" t="str">
        <f>TEXT("4/1/2024","mmm-yy")</f>
        <v>Apr-24</v>
      </c>
      <c r="F148" s="14" t="str">
        <f>TEXT("3/1/2024","mmm-yy")</f>
        <v>Mar-24</v>
      </c>
      <c r="G148" s="14" t="str">
        <f>TEXT("2/1/2024","mmm-yy")</f>
        <v>Feb-24</v>
      </c>
      <c r="H148" s="14" t="str">
        <f>TEXT("1/1/2024","mmm-yy")</f>
        <v>Jan-24</v>
      </c>
      <c r="I148" s="64">
        <f>YEAR(DATE(2024,12,1))</f>
        <v>2024</v>
      </c>
      <c r="J148" s="64">
        <f>YEAR(DATE(2023,12,1))</f>
        <v>2023</v>
      </c>
      <c r="K148" s="64">
        <f>YEAR(DATE(2022,12,1))</f>
        <v>2022</v>
      </c>
    </row>
    <row r="149" ht="22.5" customHeight="1" spans="1:11">
      <c r="A149" s="15" t="s">
        <v>12</v>
      </c>
      <c r="B149" s="16">
        <f t="shared" ref="B149:H149" si="77">B3</f>
        <v>4589383471.0684</v>
      </c>
      <c r="C149" s="17">
        <f t="shared" si="77"/>
        <v>4589383471.0684</v>
      </c>
      <c r="D149" s="17">
        <f t="shared" si="77"/>
        <v>4589383471.0684</v>
      </c>
      <c r="E149" s="17">
        <f t="shared" si="77"/>
        <v>7483663768.0475</v>
      </c>
      <c r="F149" s="17">
        <f t="shared" si="77"/>
        <v>12129935081.1616</v>
      </c>
      <c r="G149" s="17">
        <f t="shared" si="77"/>
        <v>6091882493.1284</v>
      </c>
      <c r="H149" s="110">
        <f t="shared" si="77"/>
        <v>10310073086.6424</v>
      </c>
      <c r="I149" s="16">
        <f>AVERAGE(B149:H149)*12*0.9</f>
        <v>76809144613.657</v>
      </c>
      <c r="J149" s="17">
        <f>J3</f>
        <v>57765955072.9602</v>
      </c>
      <c r="K149" s="18">
        <f>K3</f>
        <v>35584943627.2747</v>
      </c>
    </row>
    <row r="150" ht="22.5" customHeight="1" spans="1:11">
      <c r="A150" s="15" t="s">
        <v>13</v>
      </c>
      <c r="B150" s="19">
        <f>C150</f>
        <v>6001236.9</v>
      </c>
      <c r="C150" s="20">
        <f>E150</f>
        <v>6001236.9</v>
      </c>
      <c r="D150" s="20">
        <v>6001236.9</v>
      </c>
      <c r="E150" s="20">
        <v>6001236.9</v>
      </c>
      <c r="F150" s="20">
        <v>6101236.9</v>
      </c>
      <c r="G150" s="20">
        <v>6101236.9</v>
      </c>
      <c r="H150" s="20">
        <v>6101236.9</v>
      </c>
      <c r="I150" s="19">
        <f>AVERAGE(B150:H150)*12</f>
        <v>72529128.5142857</v>
      </c>
      <c r="J150" s="20">
        <v>96820341.6</v>
      </c>
      <c r="K150" s="21">
        <v>46820341.6</v>
      </c>
    </row>
    <row r="151" ht="22.5" customHeight="1" spans="1:11">
      <c r="A151" s="22" t="s">
        <v>14</v>
      </c>
      <c r="B151" s="23">
        <f>C151</f>
        <v>12</v>
      </c>
      <c r="C151" s="24">
        <f>D151</f>
        <v>12</v>
      </c>
      <c r="D151" s="25">
        <v>12</v>
      </c>
      <c r="E151" s="25">
        <v>11</v>
      </c>
      <c r="F151" s="25">
        <v>9</v>
      </c>
      <c r="G151" s="25">
        <v>11</v>
      </c>
      <c r="H151" s="69">
        <v>10</v>
      </c>
      <c r="I151" s="23">
        <f>MAX(B151:H151)</f>
        <v>12</v>
      </c>
      <c r="J151" s="24">
        <v>10</v>
      </c>
      <c r="K151" s="83">
        <v>8</v>
      </c>
    </row>
    <row r="152" ht="22.5" customHeight="1" spans="1:11">
      <c r="A152" s="22" t="s">
        <v>15</v>
      </c>
      <c r="B152" s="23">
        <f>C152</f>
        <v>0</v>
      </c>
      <c r="C152" s="24">
        <v>0</v>
      </c>
      <c r="D152" s="3">
        <v>0</v>
      </c>
      <c r="E152" s="3">
        <v>0</v>
      </c>
      <c r="F152" s="3">
        <v>0</v>
      </c>
      <c r="G152" s="3">
        <v>0</v>
      </c>
      <c r="H152" s="97">
        <v>0</v>
      </c>
      <c r="I152" s="23">
        <f>MIN(B152:H152)</f>
        <v>0</v>
      </c>
      <c r="J152" s="24">
        <v>0</v>
      </c>
      <c r="K152" s="83">
        <v>0</v>
      </c>
    </row>
    <row r="153" ht="22.5" customHeight="1" spans="1:11">
      <c r="A153" s="22" t="s">
        <v>16</v>
      </c>
      <c r="B153" s="28">
        <f t="shared" ref="B153:K153" si="78">B152+B151</f>
        <v>12</v>
      </c>
      <c r="C153" s="25">
        <f t="shared" si="78"/>
        <v>12</v>
      </c>
      <c r="D153" s="25">
        <f t="shared" si="78"/>
        <v>12</v>
      </c>
      <c r="E153" s="25">
        <f t="shared" si="78"/>
        <v>11</v>
      </c>
      <c r="F153" s="25">
        <f t="shared" si="78"/>
        <v>9</v>
      </c>
      <c r="G153" s="25">
        <f t="shared" si="78"/>
        <v>11</v>
      </c>
      <c r="H153" s="69">
        <f t="shared" si="78"/>
        <v>10</v>
      </c>
      <c r="I153" s="23">
        <f t="shared" si="78"/>
        <v>12</v>
      </c>
      <c r="J153" s="24">
        <f t="shared" si="78"/>
        <v>10</v>
      </c>
      <c r="K153" s="83">
        <f t="shared" si="78"/>
        <v>8</v>
      </c>
    </row>
    <row r="154" ht="22.5" customHeight="1" spans="1:11">
      <c r="A154" s="29" t="s">
        <v>17</v>
      </c>
      <c r="B154" s="30">
        <f t="shared" ref="B154:K154" si="79">B149/B151</f>
        <v>382448622.589033</v>
      </c>
      <c r="C154" s="31">
        <f t="shared" si="79"/>
        <v>382448622.589033</v>
      </c>
      <c r="D154" s="31">
        <f t="shared" si="79"/>
        <v>382448622.589033</v>
      </c>
      <c r="E154" s="31">
        <f t="shared" si="79"/>
        <v>680333069.8225</v>
      </c>
      <c r="F154" s="31">
        <f t="shared" si="79"/>
        <v>1347770564.57351</v>
      </c>
      <c r="G154" s="31">
        <f t="shared" si="79"/>
        <v>553807499.375309</v>
      </c>
      <c r="H154" s="70">
        <f t="shared" si="79"/>
        <v>1031007308.66424</v>
      </c>
      <c r="I154" s="30">
        <f t="shared" si="79"/>
        <v>6400762051.13809</v>
      </c>
      <c r="J154" s="31">
        <f t="shared" si="79"/>
        <v>5776595507.29602</v>
      </c>
      <c r="K154" s="32">
        <f t="shared" si="79"/>
        <v>4448117953.40934</v>
      </c>
    </row>
    <row r="155" ht="22.5" hidden="1" customHeight="1" spans="1:11">
      <c r="A155" s="29" t="s">
        <v>18</v>
      </c>
      <c r="B155" s="30" t="e">
        <f t="shared" ref="B155:K155" si="80">B149/B152</f>
        <v>#DIV/0!</v>
      </c>
      <c r="C155" s="31" t="e">
        <f t="shared" si="80"/>
        <v>#DIV/0!</v>
      </c>
      <c r="D155" s="31" t="e">
        <f t="shared" si="80"/>
        <v>#DIV/0!</v>
      </c>
      <c r="E155" s="31" t="e">
        <f t="shared" si="80"/>
        <v>#DIV/0!</v>
      </c>
      <c r="F155" s="31" t="e">
        <f t="shared" si="80"/>
        <v>#DIV/0!</v>
      </c>
      <c r="G155" s="31" t="e">
        <f t="shared" si="80"/>
        <v>#DIV/0!</v>
      </c>
      <c r="H155" s="70" t="e">
        <f t="shared" si="80"/>
        <v>#DIV/0!</v>
      </c>
      <c r="I155" s="30" t="e">
        <f t="shared" si="80"/>
        <v>#DIV/0!</v>
      </c>
      <c r="J155" s="31" t="e">
        <f t="shared" si="80"/>
        <v>#DIV/0!</v>
      </c>
      <c r="K155" s="32" t="e">
        <f t="shared" si="80"/>
        <v>#DIV/0!</v>
      </c>
    </row>
    <row r="156" ht="22.5" customHeight="1" spans="1:11">
      <c r="A156" s="29" t="s">
        <v>19</v>
      </c>
      <c r="B156" s="30">
        <f t="shared" ref="B156:K156" si="81">B149/B153</f>
        <v>382448622.589033</v>
      </c>
      <c r="C156" s="31">
        <f t="shared" si="81"/>
        <v>382448622.589033</v>
      </c>
      <c r="D156" s="31">
        <f t="shared" si="81"/>
        <v>382448622.589033</v>
      </c>
      <c r="E156" s="31">
        <f t="shared" si="81"/>
        <v>680333069.8225</v>
      </c>
      <c r="F156" s="31">
        <f t="shared" si="81"/>
        <v>1347770564.57351</v>
      </c>
      <c r="G156" s="31">
        <f t="shared" si="81"/>
        <v>553807499.375309</v>
      </c>
      <c r="H156" s="70">
        <f t="shared" si="81"/>
        <v>1031007308.66424</v>
      </c>
      <c r="I156" s="30">
        <f t="shared" si="81"/>
        <v>6400762051.13809</v>
      </c>
      <c r="J156" s="31">
        <f t="shared" si="81"/>
        <v>5776595507.29602</v>
      </c>
      <c r="K156" s="32">
        <f t="shared" si="81"/>
        <v>4448117953.40934</v>
      </c>
    </row>
    <row r="157" ht="22.5" customHeight="1" spans="1:11">
      <c r="A157" s="33" t="s">
        <v>20</v>
      </c>
      <c r="B157" s="34">
        <f>K154/12</f>
        <v>370676496.117445</v>
      </c>
      <c r="C157" s="35">
        <f t="shared" ref="C157:H157" si="82">$B$11</f>
        <v>17972193.7511488</v>
      </c>
      <c r="D157" s="35">
        <f t="shared" si="82"/>
        <v>17972193.7511488</v>
      </c>
      <c r="E157" s="35">
        <f t="shared" si="82"/>
        <v>17972193.7511488</v>
      </c>
      <c r="F157" s="35">
        <f t="shared" si="82"/>
        <v>17972193.7511488</v>
      </c>
      <c r="G157" s="35">
        <f t="shared" si="82"/>
        <v>17972193.7511488</v>
      </c>
      <c r="H157" s="71">
        <f t="shared" si="82"/>
        <v>17972193.7511488</v>
      </c>
      <c r="I157" s="34">
        <f>K154</f>
        <v>4448117953.40934</v>
      </c>
      <c r="J157" s="35">
        <f>I157</f>
        <v>4448117953.40934</v>
      </c>
      <c r="K157" s="36">
        <f>J157</f>
        <v>4448117953.40934</v>
      </c>
    </row>
    <row r="158" ht="22.5" customHeight="1" spans="1:11">
      <c r="A158" s="33" t="s">
        <v>21</v>
      </c>
      <c r="B158" s="34">
        <f>K156/12</f>
        <v>370676496.117445</v>
      </c>
      <c r="C158" s="35">
        <f t="shared" ref="C158:H158" si="83">$B$12</f>
        <v>7358342.35468873</v>
      </c>
      <c r="D158" s="35">
        <f t="shared" si="83"/>
        <v>7358342.35468873</v>
      </c>
      <c r="E158" s="35">
        <f t="shared" si="83"/>
        <v>7358342.35468873</v>
      </c>
      <c r="F158" s="35">
        <f t="shared" si="83"/>
        <v>7358342.35468873</v>
      </c>
      <c r="G158" s="35">
        <f t="shared" si="83"/>
        <v>7358342.35468873</v>
      </c>
      <c r="H158" s="71">
        <f t="shared" si="83"/>
        <v>7358342.35468873</v>
      </c>
      <c r="I158" s="34">
        <f>K156</f>
        <v>4448117953.40934</v>
      </c>
      <c r="J158" s="35">
        <f>I158</f>
        <v>4448117953.40934</v>
      </c>
      <c r="K158" s="36">
        <f>J158</f>
        <v>4448117953.40934</v>
      </c>
    </row>
    <row r="159" ht="22.5" customHeight="1" spans="1:11">
      <c r="A159" s="29" t="s">
        <v>22</v>
      </c>
      <c r="B159" s="30">
        <f t="shared" ref="B159:H159" si="84">B150/B151</f>
        <v>500103.075</v>
      </c>
      <c r="C159" s="31">
        <f t="shared" si="84"/>
        <v>500103.075</v>
      </c>
      <c r="D159" s="31">
        <f t="shared" si="84"/>
        <v>500103.075</v>
      </c>
      <c r="E159" s="31">
        <f t="shared" si="84"/>
        <v>545566.990909091</v>
      </c>
      <c r="F159" s="31">
        <f t="shared" si="84"/>
        <v>677915.211111111</v>
      </c>
      <c r="G159" s="31">
        <f t="shared" si="84"/>
        <v>554657.9</v>
      </c>
      <c r="H159" s="70">
        <f t="shared" si="84"/>
        <v>610123.69</v>
      </c>
      <c r="I159" s="30">
        <f>(I150/12)/I151</f>
        <v>503674.503571429</v>
      </c>
      <c r="J159" s="31">
        <f>(J150/12)/J151</f>
        <v>806836.18</v>
      </c>
      <c r="K159" s="32">
        <f>(K150/12)/K151</f>
        <v>487711.891666667</v>
      </c>
    </row>
    <row r="160" ht="22.5" customHeight="1" spans="1:11">
      <c r="A160" s="29" t="s">
        <v>23</v>
      </c>
      <c r="B160" s="30">
        <f t="shared" ref="B160:H160" si="85">B150/B153</f>
        <v>500103.075</v>
      </c>
      <c r="C160" s="31">
        <f t="shared" si="85"/>
        <v>500103.075</v>
      </c>
      <c r="D160" s="31">
        <f t="shared" si="85"/>
        <v>500103.075</v>
      </c>
      <c r="E160" s="31">
        <f t="shared" si="85"/>
        <v>545566.990909091</v>
      </c>
      <c r="F160" s="31">
        <f t="shared" si="85"/>
        <v>677915.211111111</v>
      </c>
      <c r="G160" s="31">
        <f t="shared" si="85"/>
        <v>554657.9</v>
      </c>
      <c r="H160" s="70">
        <f t="shared" si="85"/>
        <v>610123.69</v>
      </c>
      <c r="I160" s="30">
        <f>(I150/12)/I153</f>
        <v>503674.503571429</v>
      </c>
      <c r="J160" s="31">
        <f>(J150/12)/J153</f>
        <v>806836.18</v>
      </c>
      <c r="K160" s="32">
        <f>(K150/12)/K153</f>
        <v>487711.891666667</v>
      </c>
    </row>
    <row r="161" ht="22.5" customHeight="1" spans="1:11">
      <c r="A161" s="29" t="s">
        <v>24</v>
      </c>
      <c r="B161" s="37">
        <f t="shared" ref="B161:K161" si="86">B150/B149</f>
        <v>0.00130763466113302</v>
      </c>
      <c r="C161" s="38">
        <f t="shared" si="86"/>
        <v>0.00130763466113302</v>
      </c>
      <c r="D161" s="38">
        <f t="shared" si="86"/>
        <v>0.00130763466113302</v>
      </c>
      <c r="E161" s="38">
        <f t="shared" si="86"/>
        <v>0.000801911615220219</v>
      </c>
      <c r="F161" s="38">
        <f t="shared" si="86"/>
        <v>0.000502990070365301</v>
      </c>
      <c r="G161" s="38">
        <f t="shared" si="86"/>
        <v>0.00100153555274288</v>
      </c>
      <c r="H161" s="72">
        <f t="shared" si="86"/>
        <v>0.000591774359767118</v>
      </c>
      <c r="I161" s="37">
        <f t="shared" si="86"/>
        <v>0.000944277258640239</v>
      </c>
      <c r="J161" s="38">
        <f t="shared" si="86"/>
        <v>0.00167607964721977</v>
      </c>
      <c r="K161" s="39">
        <f t="shared" si="86"/>
        <v>0.00131573460085837</v>
      </c>
    </row>
    <row r="162" ht="22.5" customHeight="1" spans="1:11">
      <c r="A162" s="47" t="s">
        <v>25</v>
      </c>
      <c r="B162" s="48">
        <f t="shared" ref="B162:G163" si="87">(B150-C150)/C150</f>
        <v>0</v>
      </c>
      <c r="C162" s="49">
        <f t="shared" si="87"/>
        <v>0</v>
      </c>
      <c r="D162" s="49">
        <f t="shared" si="87"/>
        <v>0</v>
      </c>
      <c r="E162" s="49">
        <f t="shared" si="87"/>
        <v>-0.0163901191904219</v>
      </c>
      <c r="F162" s="49">
        <f t="shared" si="87"/>
        <v>0</v>
      </c>
      <c r="G162" s="49">
        <f t="shared" si="87"/>
        <v>0</v>
      </c>
      <c r="H162" s="101">
        <f>((H150)-(J150/12))/(J150/12)</f>
        <v>-0.243807224906548</v>
      </c>
      <c r="I162" s="73">
        <f>(I150-K150)/K150</f>
        <v>0.54909439008206</v>
      </c>
      <c r="J162" s="49">
        <f>(J150-K150)/K150</f>
        <v>1.0679119009247</v>
      </c>
      <c r="K162" s="50">
        <v>-0.2</v>
      </c>
    </row>
    <row r="163" ht="22.5" customHeight="1" spans="1:11">
      <c r="A163" s="47" t="s">
        <v>26</v>
      </c>
      <c r="B163" s="48">
        <f t="shared" si="87"/>
        <v>0</v>
      </c>
      <c r="C163" s="48">
        <f t="shared" si="87"/>
        <v>0</v>
      </c>
      <c r="D163" s="48">
        <f t="shared" si="87"/>
        <v>0.0909090909090909</v>
      </c>
      <c r="E163" s="48">
        <f t="shared" si="87"/>
        <v>0.222222222222222</v>
      </c>
      <c r="F163" s="48">
        <f t="shared" si="87"/>
        <v>-0.181818181818182</v>
      </c>
      <c r="G163" s="48">
        <f t="shared" si="87"/>
        <v>0.1</v>
      </c>
      <c r="H163" s="102">
        <f>(H151-J151)/J151</f>
        <v>0</v>
      </c>
      <c r="I163" s="73">
        <f>(I151-K151)/K151</f>
        <v>0.5</v>
      </c>
      <c r="J163" s="48">
        <f>(J151-K151)/K151</f>
        <v>0.25</v>
      </c>
      <c r="K163" s="51">
        <v>-0.2</v>
      </c>
    </row>
    <row r="164" ht="22.5" customHeight="1" spans="1:11">
      <c r="A164" s="52" t="s">
        <v>27</v>
      </c>
      <c r="B164" s="53">
        <f t="shared" ref="B164:G164" si="88">(B149-C149)/C149</f>
        <v>0</v>
      </c>
      <c r="C164" s="54">
        <f t="shared" si="88"/>
        <v>0</v>
      </c>
      <c r="D164" s="54">
        <f t="shared" si="88"/>
        <v>-0.386746436863801</v>
      </c>
      <c r="E164" s="54">
        <f t="shared" si="88"/>
        <v>-0.383041729574464</v>
      </c>
      <c r="F164" s="54">
        <f t="shared" si="88"/>
        <v>0.99116366654217</v>
      </c>
      <c r="G164" s="54">
        <f t="shared" si="88"/>
        <v>-0.409132947755631</v>
      </c>
      <c r="H164" s="104">
        <f>(H149*12-J149)/J149</f>
        <v>1.14176112700717</v>
      </c>
      <c r="I164" s="84">
        <f>(I149-K149)/K149</f>
        <v>1.15847312892145</v>
      </c>
      <c r="J164" s="54">
        <f>(J149-K149)/K149</f>
        <v>0.623325743550833</v>
      </c>
      <c r="K164" s="55">
        <v>1.61845036311522</v>
      </c>
    </row>
    <row r="165" s="8" customFormat="1" ht="8.25" customHeight="1"/>
    <row r="166" s="8" customFormat="1" ht="8.25" customHeight="1"/>
    <row r="167" ht="22.5" customHeight="1" spans="1:11">
      <c r="A167" s="9" t="s">
        <v>0</v>
      </c>
      <c r="B167" s="105" t="s">
        <v>1</v>
      </c>
      <c r="C167" s="11" t="s">
        <v>2</v>
      </c>
      <c r="D167" s="11" t="s">
        <v>3</v>
      </c>
      <c r="E167" s="11" t="s">
        <v>4</v>
      </c>
      <c r="F167" s="11" t="s">
        <v>5</v>
      </c>
      <c r="G167" s="11" t="s">
        <v>6</v>
      </c>
      <c r="H167" s="44" t="s">
        <v>7</v>
      </c>
      <c r="I167" s="10" t="s">
        <v>8</v>
      </c>
      <c r="J167" s="11" t="s">
        <v>9</v>
      </c>
      <c r="K167" s="44" t="s">
        <v>10</v>
      </c>
    </row>
    <row r="168" ht="22.5" customHeight="1" spans="1:11">
      <c r="A168" s="13" t="s">
        <v>42</v>
      </c>
      <c r="B168" s="14" t="str">
        <f>TEXT("7/1/2024","mmm-yy")</f>
        <v>Jul-24</v>
      </c>
      <c r="C168" s="14" t="str">
        <f>TEXT("6/1/2024","mmm-yy")</f>
        <v>Jun-24</v>
      </c>
      <c r="D168" s="14" t="str">
        <f>TEXT("5/1/2024","mmm-yy")</f>
        <v>May-24</v>
      </c>
      <c r="E168" s="14" t="str">
        <f>TEXT("4/1/2024","mmm-yy")</f>
        <v>Apr-24</v>
      </c>
      <c r="F168" s="14" t="str">
        <f>TEXT("3/1/2024","mmm-yy")</f>
        <v>Mar-24</v>
      </c>
      <c r="G168" s="14" t="str">
        <f>TEXT("2/1/2024","mmm-yy")</f>
        <v>Feb-24</v>
      </c>
      <c r="H168" s="14" t="str">
        <f>TEXT("1/1/2024","mmm-yy")</f>
        <v>Jan-24</v>
      </c>
      <c r="I168" s="64">
        <f>YEAR(DATE(2024,12,1))</f>
        <v>2024</v>
      </c>
      <c r="J168" s="64">
        <f>YEAR(DATE(2023,12,1))</f>
        <v>2023</v>
      </c>
      <c r="K168" s="64">
        <f>YEAR(DATE(2022,12,1))</f>
        <v>2022</v>
      </c>
    </row>
    <row r="169" ht="22.5" customHeight="1" spans="1:11">
      <c r="A169" s="15" t="s">
        <v>12</v>
      </c>
      <c r="B169" s="111">
        <f t="shared" ref="B169:H169" si="89">B149</f>
        <v>4589383471.0684</v>
      </c>
      <c r="C169" s="17">
        <f t="shared" si="89"/>
        <v>4589383471.0684</v>
      </c>
      <c r="D169" s="17">
        <f t="shared" si="89"/>
        <v>4589383471.0684</v>
      </c>
      <c r="E169" s="17">
        <f t="shared" si="89"/>
        <v>7483663768.0475</v>
      </c>
      <c r="F169" s="17">
        <f t="shared" si="89"/>
        <v>12129935081.1616</v>
      </c>
      <c r="G169" s="17">
        <f t="shared" si="89"/>
        <v>6091882493.1284</v>
      </c>
      <c r="H169" s="18">
        <f t="shared" si="89"/>
        <v>10310073086.6424</v>
      </c>
      <c r="I169" s="16">
        <f>AVERAGE(B169:H169)*12*0.9</f>
        <v>76809144613.657</v>
      </c>
      <c r="J169" s="17">
        <f>J3</f>
        <v>57765955072.9602</v>
      </c>
      <c r="K169" s="18">
        <f>K3</f>
        <v>35584943627.2747</v>
      </c>
    </row>
    <row r="170" ht="22.5" customHeight="1" spans="1:11">
      <c r="A170" s="15" t="s">
        <v>13</v>
      </c>
      <c r="B170" s="112">
        <f>C170</f>
        <v>5134356.74888889</v>
      </c>
      <c r="C170" s="20">
        <f>D170+(D170/9)*2</f>
        <v>5134356.74888889</v>
      </c>
      <c r="D170" s="21">
        <v>4200837.34</v>
      </c>
      <c r="E170" s="20">
        <v>4000837.34</v>
      </c>
      <c r="F170" s="20">
        <v>4000837.34</v>
      </c>
      <c r="G170" s="21">
        <v>4200837.34</v>
      </c>
      <c r="H170" s="21">
        <v>4200837.34</v>
      </c>
      <c r="I170" s="19">
        <f>AVERAGE(B170:H170)*12</f>
        <v>52924971.767619</v>
      </c>
      <c r="J170" s="20">
        <v>28994128.4623801</v>
      </c>
      <c r="K170" s="21">
        <v>19994128.4623801</v>
      </c>
    </row>
    <row r="171" ht="22.5" customHeight="1" spans="1:11">
      <c r="A171" s="22" t="s">
        <v>14</v>
      </c>
      <c r="B171" s="113">
        <f>C171</f>
        <v>11</v>
      </c>
      <c r="C171" s="24">
        <v>11</v>
      </c>
      <c r="D171" s="25">
        <v>9</v>
      </c>
      <c r="E171" s="25">
        <v>9</v>
      </c>
      <c r="F171" s="25">
        <v>9</v>
      </c>
      <c r="G171" s="25">
        <v>8</v>
      </c>
      <c r="H171" s="26">
        <v>8</v>
      </c>
      <c r="I171" s="23">
        <f>MAX(B171:H171)</f>
        <v>11</v>
      </c>
      <c r="J171" s="24">
        <v>8</v>
      </c>
      <c r="K171" s="83">
        <v>6</v>
      </c>
    </row>
    <row r="172" ht="22.5" customHeight="1" spans="1:11">
      <c r="A172" s="22" t="s">
        <v>15</v>
      </c>
      <c r="B172" s="113">
        <v>0</v>
      </c>
      <c r="C172" s="24">
        <v>0</v>
      </c>
      <c r="D172" s="3">
        <v>0</v>
      </c>
      <c r="E172" s="3">
        <v>0</v>
      </c>
      <c r="F172" s="3">
        <v>0</v>
      </c>
      <c r="G172" s="3">
        <v>0</v>
      </c>
      <c r="H172" s="27">
        <v>0</v>
      </c>
      <c r="I172" s="23">
        <f>MIN(B172:H172)</f>
        <v>0</v>
      </c>
      <c r="J172" s="24">
        <v>2</v>
      </c>
      <c r="K172" s="83">
        <v>3</v>
      </c>
    </row>
    <row r="173" ht="22.5" customHeight="1" spans="1:11">
      <c r="A173" s="22" t="s">
        <v>16</v>
      </c>
      <c r="B173" s="114">
        <f t="shared" ref="B173:K173" si="90">B172+B171</f>
        <v>11</v>
      </c>
      <c r="C173" s="25">
        <f t="shared" si="90"/>
        <v>11</v>
      </c>
      <c r="D173" s="25">
        <f t="shared" si="90"/>
        <v>9</v>
      </c>
      <c r="E173" s="25">
        <f t="shared" si="90"/>
        <v>9</v>
      </c>
      <c r="F173" s="25">
        <f t="shared" si="90"/>
        <v>9</v>
      </c>
      <c r="G173" s="25">
        <f t="shared" si="90"/>
        <v>8</v>
      </c>
      <c r="H173" s="26">
        <f t="shared" si="90"/>
        <v>8</v>
      </c>
      <c r="I173" s="23">
        <f t="shared" si="90"/>
        <v>11</v>
      </c>
      <c r="J173" s="24">
        <f t="shared" si="90"/>
        <v>10</v>
      </c>
      <c r="K173" s="83">
        <f t="shared" si="90"/>
        <v>9</v>
      </c>
    </row>
    <row r="174" ht="22.5" customHeight="1" spans="1:11">
      <c r="A174" s="29" t="s">
        <v>17</v>
      </c>
      <c r="B174" s="115">
        <f t="shared" ref="B174:K174" si="91">B169/B171</f>
        <v>417216679.188036</v>
      </c>
      <c r="C174" s="31">
        <f t="shared" si="91"/>
        <v>417216679.188036</v>
      </c>
      <c r="D174" s="31">
        <f t="shared" si="91"/>
        <v>509931496.785378</v>
      </c>
      <c r="E174" s="31">
        <f t="shared" si="91"/>
        <v>831518196.449722</v>
      </c>
      <c r="F174" s="31">
        <f t="shared" si="91"/>
        <v>1347770564.57351</v>
      </c>
      <c r="G174" s="31">
        <f t="shared" si="91"/>
        <v>761485311.64105</v>
      </c>
      <c r="H174" s="32">
        <f t="shared" si="91"/>
        <v>1288759135.8303</v>
      </c>
      <c r="I174" s="30">
        <f t="shared" si="91"/>
        <v>6982649510.33246</v>
      </c>
      <c r="J174" s="31">
        <f t="shared" si="91"/>
        <v>7220744384.12002</v>
      </c>
      <c r="K174" s="32">
        <f t="shared" si="91"/>
        <v>5930823937.87912</v>
      </c>
    </row>
    <row r="175" ht="22.5" hidden="1" customHeight="1" spans="1:11">
      <c r="A175" s="29" t="s">
        <v>18</v>
      </c>
      <c r="B175" s="115" t="e">
        <f t="shared" ref="B175:K175" si="92">B169/B172</f>
        <v>#DIV/0!</v>
      </c>
      <c r="C175" s="31" t="e">
        <f t="shared" si="92"/>
        <v>#DIV/0!</v>
      </c>
      <c r="D175" s="31" t="e">
        <f t="shared" si="92"/>
        <v>#DIV/0!</v>
      </c>
      <c r="E175" s="31" t="e">
        <f t="shared" si="92"/>
        <v>#DIV/0!</v>
      </c>
      <c r="F175" s="31" t="e">
        <f t="shared" si="92"/>
        <v>#DIV/0!</v>
      </c>
      <c r="G175" s="31" t="e">
        <f t="shared" si="92"/>
        <v>#DIV/0!</v>
      </c>
      <c r="H175" s="32" t="e">
        <f t="shared" si="92"/>
        <v>#DIV/0!</v>
      </c>
      <c r="I175" s="30" t="e">
        <f t="shared" si="92"/>
        <v>#DIV/0!</v>
      </c>
      <c r="J175" s="31">
        <f t="shared" si="92"/>
        <v>28882977536.4801</v>
      </c>
      <c r="K175" s="32">
        <f t="shared" si="92"/>
        <v>11861647875.7582</v>
      </c>
    </row>
    <row r="176" ht="22.5" customHeight="1" spans="1:11">
      <c r="A176" s="29" t="s">
        <v>19</v>
      </c>
      <c r="B176" s="115">
        <f t="shared" ref="B176:K176" si="93">B169/B173</f>
        <v>417216679.188036</v>
      </c>
      <c r="C176" s="31">
        <f t="shared" si="93"/>
        <v>417216679.188036</v>
      </c>
      <c r="D176" s="31">
        <f t="shared" si="93"/>
        <v>509931496.785378</v>
      </c>
      <c r="E176" s="31">
        <f t="shared" si="93"/>
        <v>831518196.449722</v>
      </c>
      <c r="F176" s="31">
        <f t="shared" si="93"/>
        <v>1347770564.57351</v>
      </c>
      <c r="G176" s="31">
        <f t="shared" si="93"/>
        <v>761485311.64105</v>
      </c>
      <c r="H176" s="32">
        <f t="shared" si="93"/>
        <v>1288759135.8303</v>
      </c>
      <c r="I176" s="30">
        <f t="shared" si="93"/>
        <v>6982649510.33246</v>
      </c>
      <c r="J176" s="31">
        <f t="shared" si="93"/>
        <v>5776595507.29602</v>
      </c>
      <c r="K176" s="32">
        <f t="shared" si="93"/>
        <v>3953882625.25274</v>
      </c>
    </row>
    <row r="177" ht="22.5" customHeight="1" spans="1:11">
      <c r="A177" s="33" t="s">
        <v>20</v>
      </c>
      <c r="B177" s="116">
        <f>K174/12</f>
        <v>494235328.156593</v>
      </c>
      <c r="C177" s="35">
        <f t="shared" ref="C177:H177" si="94">$B$11</f>
        <v>17972193.7511488</v>
      </c>
      <c r="D177" s="35">
        <f t="shared" si="94"/>
        <v>17972193.7511488</v>
      </c>
      <c r="E177" s="35">
        <f t="shared" si="94"/>
        <v>17972193.7511488</v>
      </c>
      <c r="F177" s="35">
        <f t="shared" si="94"/>
        <v>17972193.7511488</v>
      </c>
      <c r="G177" s="35">
        <f t="shared" si="94"/>
        <v>17972193.7511488</v>
      </c>
      <c r="H177" s="36">
        <f t="shared" si="94"/>
        <v>17972193.7511488</v>
      </c>
      <c r="I177" s="34">
        <f>K174</f>
        <v>5930823937.87912</v>
      </c>
      <c r="J177" s="35">
        <f>I177</f>
        <v>5930823937.87912</v>
      </c>
      <c r="K177" s="36">
        <f>J177</f>
        <v>5930823937.87912</v>
      </c>
    </row>
    <row r="178" ht="22.5" customHeight="1" spans="1:11">
      <c r="A178" s="33" t="s">
        <v>21</v>
      </c>
      <c r="B178" s="116">
        <f>K176/12</f>
        <v>329490218.771062</v>
      </c>
      <c r="C178" s="35">
        <f t="shared" ref="C178:H178" si="95">$B$12</f>
        <v>7358342.35468873</v>
      </c>
      <c r="D178" s="35">
        <f t="shared" si="95"/>
        <v>7358342.35468873</v>
      </c>
      <c r="E178" s="35">
        <f t="shared" si="95"/>
        <v>7358342.35468873</v>
      </c>
      <c r="F178" s="35">
        <f t="shared" si="95"/>
        <v>7358342.35468873</v>
      </c>
      <c r="G178" s="35">
        <f t="shared" si="95"/>
        <v>7358342.35468873</v>
      </c>
      <c r="H178" s="36">
        <f t="shared" si="95"/>
        <v>7358342.35468873</v>
      </c>
      <c r="I178" s="34">
        <f>K176</f>
        <v>3953882625.25274</v>
      </c>
      <c r="J178" s="35">
        <f>I178</f>
        <v>3953882625.25274</v>
      </c>
      <c r="K178" s="36">
        <f>J178</f>
        <v>3953882625.25274</v>
      </c>
    </row>
    <row r="179" ht="22.5" customHeight="1" spans="1:11">
      <c r="A179" s="29" t="s">
        <v>22</v>
      </c>
      <c r="B179" s="115">
        <f t="shared" ref="B179:H179" si="96">B170/B171</f>
        <v>466759.704444444</v>
      </c>
      <c r="C179" s="31">
        <f t="shared" si="96"/>
        <v>466759.704444444</v>
      </c>
      <c r="D179" s="31">
        <f t="shared" si="96"/>
        <v>466759.704444444</v>
      </c>
      <c r="E179" s="31">
        <f t="shared" si="96"/>
        <v>444537.482222222</v>
      </c>
      <c r="F179" s="31">
        <f t="shared" si="96"/>
        <v>444537.482222222</v>
      </c>
      <c r="G179" s="31">
        <f t="shared" si="96"/>
        <v>525104.6675</v>
      </c>
      <c r="H179" s="32">
        <f t="shared" si="96"/>
        <v>525104.6675</v>
      </c>
      <c r="I179" s="30">
        <f>(I170/12)/I171</f>
        <v>400946.755815296</v>
      </c>
      <c r="J179" s="31">
        <f>(J170/12)/J171</f>
        <v>302022.171483126</v>
      </c>
      <c r="K179" s="32">
        <f>(K170/12)/K171</f>
        <v>277696.228644168</v>
      </c>
    </row>
    <row r="180" ht="22.5" customHeight="1" spans="1:11">
      <c r="A180" s="29" t="s">
        <v>23</v>
      </c>
      <c r="B180" s="115">
        <f t="shared" ref="B180:H180" si="97">B170/B173</f>
        <v>466759.704444444</v>
      </c>
      <c r="C180" s="31">
        <f t="shared" si="97"/>
        <v>466759.704444444</v>
      </c>
      <c r="D180" s="31">
        <f t="shared" si="97"/>
        <v>466759.704444444</v>
      </c>
      <c r="E180" s="31">
        <f t="shared" si="97"/>
        <v>444537.482222222</v>
      </c>
      <c r="F180" s="31">
        <f t="shared" si="97"/>
        <v>444537.482222222</v>
      </c>
      <c r="G180" s="31">
        <f t="shared" si="97"/>
        <v>525104.6675</v>
      </c>
      <c r="H180" s="32">
        <f t="shared" si="97"/>
        <v>525104.6675</v>
      </c>
      <c r="I180" s="30">
        <f>(I170/12)/I173</f>
        <v>400946.755815296</v>
      </c>
      <c r="J180" s="31">
        <f>(J170/12)/J173</f>
        <v>241617.737186501</v>
      </c>
      <c r="K180" s="32">
        <f>(K170/12)/K173</f>
        <v>185130.819096112</v>
      </c>
    </row>
    <row r="181" ht="22.5" customHeight="1" spans="1:11">
      <c r="A181" s="29" t="s">
        <v>24</v>
      </c>
      <c r="B181" s="117">
        <f t="shared" ref="B181:K181" si="98">B170/B169</f>
        <v>0.00111874651165151</v>
      </c>
      <c r="C181" s="38">
        <f t="shared" si="98"/>
        <v>0.00111874651165151</v>
      </c>
      <c r="D181" s="38">
        <f t="shared" si="98"/>
        <v>0.000915338054987602</v>
      </c>
      <c r="E181" s="38">
        <f t="shared" si="98"/>
        <v>0.000534609445854864</v>
      </c>
      <c r="F181" s="38">
        <f t="shared" si="98"/>
        <v>0.000329831719067772</v>
      </c>
      <c r="G181" s="38">
        <f t="shared" si="98"/>
        <v>0.000689579509246693</v>
      </c>
      <c r="H181" s="39">
        <f t="shared" si="98"/>
        <v>0.000407449811916712</v>
      </c>
      <c r="I181" s="37">
        <f t="shared" si="98"/>
        <v>0.000689045191608718</v>
      </c>
      <c r="J181" s="38">
        <f t="shared" si="98"/>
        <v>0.000501924159753952</v>
      </c>
      <c r="K181" s="39">
        <f t="shared" si="98"/>
        <v>0.000561870454869999</v>
      </c>
    </row>
    <row r="182" ht="22.5" customHeight="1" spans="1:11">
      <c r="A182" s="47" t="s">
        <v>25</v>
      </c>
      <c r="B182" s="118">
        <f t="shared" ref="B182:G183" si="99">(B170-C170)/C170</f>
        <v>0</v>
      </c>
      <c r="C182" s="49">
        <f t="shared" si="99"/>
        <v>0.222222222222222</v>
      </c>
      <c r="D182" s="49">
        <f t="shared" si="99"/>
        <v>0.0499895354405985</v>
      </c>
      <c r="E182" s="49">
        <f t="shared" si="99"/>
        <v>0</v>
      </c>
      <c r="F182" s="49">
        <f t="shared" si="99"/>
        <v>-0.0476095558605942</v>
      </c>
      <c r="G182" s="49">
        <f t="shared" si="99"/>
        <v>0</v>
      </c>
      <c r="H182" s="50">
        <f>((H170)-(J170/12))/(J170/12)</f>
        <v>0.738629534783467</v>
      </c>
      <c r="I182" s="73">
        <f>(I170-K170)/K170</f>
        <v>1.64702569392809</v>
      </c>
      <c r="J182" s="49">
        <f>(J170-K170)/K170</f>
        <v>0.450132148392161</v>
      </c>
      <c r="K182" s="50">
        <v>0</v>
      </c>
    </row>
    <row r="183" ht="22.5" customHeight="1" spans="1:11">
      <c r="A183" s="47" t="s">
        <v>26</v>
      </c>
      <c r="B183" s="118">
        <f t="shared" si="99"/>
        <v>0</v>
      </c>
      <c r="C183" s="48">
        <f t="shared" si="99"/>
        <v>0.222222222222222</v>
      </c>
      <c r="D183" s="48">
        <f t="shared" si="99"/>
        <v>0</v>
      </c>
      <c r="E183" s="48">
        <f t="shared" si="99"/>
        <v>0</v>
      </c>
      <c r="F183" s="48">
        <f t="shared" si="99"/>
        <v>0.125</v>
      </c>
      <c r="G183" s="48">
        <f t="shared" si="99"/>
        <v>0</v>
      </c>
      <c r="H183" s="51">
        <f>(H171-J171)/J171</f>
        <v>0</v>
      </c>
      <c r="I183" s="73">
        <f>(I171-K171)/K171</f>
        <v>0.833333333333333</v>
      </c>
      <c r="J183" s="48">
        <f>(J171-K171)/K171</f>
        <v>0.333333333333333</v>
      </c>
      <c r="K183" s="51">
        <v>-0.5</v>
      </c>
    </row>
    <row r="184" ht="22.5" customHeight="1" spans="1:11">
      <c r="A184" s="52" t="s">
        <v>27</v>
      </c>
      <c r="B184" s="119">
        <f t="shared" ref="B184:G184" si="100">(B169-C169)/C169</f>
        <v>0</v>
      </c>
      <c r="C184" s="54">
        <f t="shared" si="100"/>
        <v>0</v>
      </c>
      <c r="D184" s="54">
        <f t="shared" si="100"/>
        <v>-0.386746436863801</v>
      </c>
      <c r="E184" s="54">
        <f t="shared" si="100"/>
        <v>-0.383041729574464</v>
      </c>
      <c r="F184" s="54">
        <f t="shared" si="100"/>
        <v>0.99116366654217</v>
      </c>
      <c r="G184" s="54">
        <f t="shared" si="100"/>
        <v>-0.409132947755631</v>
      </c>
      <c r="H184" s="55">
        <f>(H169*12-J169)/J169</f>
        <v>1.14176112700717</v>
      </c>
      <c r="I184" s="84">
        <f>(I169-K169)/K169</f>
        <v>1.15847312892145</v>
      </c>
      <c r="J184" s="54">
        <f>(J169-K169)/K169</f>
        <v>0.623325743550833</v>
      </c>
      <c r="K184" s="55">
        <v>1.61845036311522</v>
      </c>
    </row>
    <row r="185" s="8" customFormat="1" ht="8.25" customHeight="1"/>
    <row r="186" s="8" customFormat="1" ht="8.25" customHeight="1"/>
    <row r="187" ht="22.5" customHeight="1" spans="1:11">
      <c r="A187" s="9" t="s">
        <v>0</v>
      </c>
      <c r="B187" s="105" t="s">
        <v>1</v>
      </c>
      <c r="C187" s="11" t="s">
        <v>2</v>
      </c>
      <c r="D187" s="11" t="s">
        <v>3</v>
      </c>
      <c r="E187" s="11" t="s">
        <v>4</v>
      </c>
      <c r="F187" s="11" t="s">
        <v>5</v>
      </c>
      <c r="G187" s="11" t="s">
        <v>6</v>
      </c>
      <c r="H187" s="44" t="s">
        <v>7</v>
      </c>
      <c r="I187" s="10" t="s">
        <v>8</v>
      </c>
      <c r="J187" s="11" t="s">
        <v>9</v>
      </c>
      <c r="K187" s="44" t="s">
        <v>10</v>
      </c>
    </row>
    <row r="188" ht="22.5" customHeight="1" spans="1:11">
      <c r="A188" s="13" t="s">
        <v>43</v>
      </c>
      <c r="B188" s="14" t="str">
        <f>TEXT("7/1/2024","mmm-yy")</f>
        <v>Jul-24</v>
      </c>
      <c r="C188" s="14" t="str">
        <f>TEXT("6/1/2024","mmm-yy")</f>
        <v>Jun-24</v>
      </c>
      <c r="D188" s="14" t="str">
        <f>TEXT("5/1/2024","mmm-yy")</f>
        <v>May-24</v>
      </c>
      <c r="E188" s="14" t="str">
        <f>TEXT("4/1/2024","mmm-yy")</f>
        <v>Apr-24</v>
      </c>
      <c r="F188" s="14" t="str">
        <f>TEXT("3/1/2024","mmm-yy")</f>
        <v>Mar-24</v>
      </c>
      <c r="G188" s="14" t="str">
        <f>TEXT("2/1/2024","mmm-yy")</f>
        <v>Feb-24</v>
      </c>
      <c r="H188" s="14" t="str">
        <f>TEXT("1/1/2024","mmm-yy")</f>
        <v>Jan-24</v>
      </c>
      <c r="I188" s="64">
        <f>YEAR(DATE(2024,12,1))</f>
        <v>2024</v>
      </c>
      <c r="J188" s="64">
        <f>YEAR(DATE(2023,12,1))</f>
        <v>2023</v>
      </c>
      <c r="K188" s="64">
        <f>YEAR(DATE(2022,12,1))</f>
        <v>2022</v>
      </c>
    </row>
    <row r="189" ht="22.5" customHeight="1" spans="1:11">
      <c r="A189" s="15" t="s">
        <v>12</v>
      </c>
      <c r="B189" s="111">
        <f t="shared" ref="B189:H189" si="101">B169</f>
        <v>4589383471.0684</v>
      </c>
      <c r="C189" s="17">
        <f t="shared" si="101"/>
        <v>4589383471.0684</v>
      </c>
      <c r="D189" s="17">
        <f t="shared" si="101"/>
        <v>4589383471.0684</v>
      </c>
      <c r="E189" s="17">
        <f t="shared" si="101"/>
        <v>7483663768.0475</v>
      </c>
      <c r="F189" s="17">
        <f t="shared" si="101"/>
        <v>12129935081.1616</v>
      </c>
      <c r="G189" s="17">
        <f t="shared" si="101"/>
        <v>6091882493.1284</v>
      </c>
      <c r="H189" s="18">
        <f t="shared" si="101"/>
        <v>10310073086.6424</v>
      </c>
      <c r="I189" s="16">
        <f>AVERAGE(B189:H189)*12*0.9</f>
        <v>76809144613.657</v>
      </c>
      <c r="J189" s="17">
        <f>J3</f>
        <v>57765955072.9602</v>
      </c>
      <c r="K189" s="18">
        <f>K3</f>
        <v>35584943627.2747</v>
      </c>
    </row>
    <row r="190" ht="22.5" customHeight="1" spans="1:11">
      <c r="A190" s="15" t="s">
        <v>13</v>
      </c>
      <c r="B190" s="120">
        <f>C190</f>
        <v>3236964.11</v>
      </c>
      <c r="C190" s="121">
        <f>D190</f>
        <v>3236964.11</v>
      </c>
      <c r="D190" s="121">
        <v>3236964.11</v>
      </c>
      <c r="E190" s="121">
        <v>3136964.11</v>
      </c>
      <c r="F190" s="121">
        <v>3436964.11</v>
      </c>
      <c r="G190" s="121">
        <v>3436964.11</v>
      </c>
      <c r="H190" s="122">
        <v>3436964.11</v>
      </c>
      <c r="I190" s="123">
        <f>AVERAGE(B190:H190)*12</f>
        <v>39700712.1771429</v>
      </c>
      <c r="J190" s="122">
        <v>18563996.3961827</v>
      </c>
      <c r="K190" s="122">
        <v>10563996.3961827</v>
      </c>
    </row>
    <row r="191" ht="22.5" customHeight="1" spans="1:11">
      <c r="A191" s="22" t="s">
        <v>14</v>
      </c>
      <c r="B191" s="25">
        <v>16</v>
      </c>
      <c r="C191" s="25">
        <v>16</v>
      </c>
      <c r="D191" s="25">
        <v>16</v>
      </c>
      <c r="E191" s="25">
        <v>17</v>
      </c>
      <c r="F191" s="25">
        <v>17</v>
      </c>
      <c r="G191" s="25">
        <v>14</v>
      </c>
      <c r="H191" s="83">
        <v>16</v>
      </c>
      <c r="I191" s="23">
        <f>MAX(B191:H191)</f>
        <v>17</v>
      </c>
      <c r="J191" s="24">
        <v>15</v>
      </c>
      <c r="K191" s="83">
        <v>14</v>
      </c>
    </row>
    <row r="192" ht="22.5" customHeight="1" spans="1:11">
      <c r="A192" s="22" t="s">
        <v>15</v>
      </c>
      <c r="B192" s="113">
        <v>27</v>
      </c>
      <c r="C192" s="24">
        <v>27</v>
      </c>
      <c r="D192" s="3">
        <v>27</v>
      </c>
      <c r="E192" s="3">
        <v>29</v>
      </c>
      <c r="F192" s="3">
        <v>30</v>
      </c>
      <c r="G192" s="3">
        <v>32</v>
      </c>
      <c r="H192" s="83">
        <v>28</v>
      </c>
      <c r="I192" s="23">
        <f>MIN(B192:H192)</f>
        <v>27</v>
      </c>
      <c r="J192" s="24">
        <v>22</v>
      </c>
      <c r="K192" s="83">
        <v>12</v>
      </c>
    </row>
    <row r="193" ht="22.5" customHeight="1" spans="1:11">
      <c r="A193" s="22" t="s">
        <v>16</v>
      </c>
      <c r="B193" s="114">
        <f t="shared" ref="B193:K193" si="102">B192+B191</f>
        <v>43</v>
      </c>
      <c r="C193" s="25">
        <f t="shared" si="102"/>
        <v>43</v>
      </c>
      <c r="D193" s="25">
        <f t="shared" si="102"/>
        <v>43</v>
      </c>
      <c r="E193" s="25">
        <f t="shared" si="102"/>
        <v>46</v>
      </c>
      <c r="F193" s="25">
        <f t="shared" si="102"/>
        <v>47</v>
      </c>
      <c r="G193" s="25">
        <f t="shared" si="102"/>
        <v>46</v>
      </c>
      <c r="H193" s="26">
        <f t="shared" si="102"/>
        <v>44</v>
      </c>
      <c r="I193" s="23">
        <f t="shared" si="102"/>
        <v>44</v>
      </c>
      <c r="J193" s="24">
        <f t="shared" si="102"/>
        <v>37</v>
      </c>
      <c r="K193" s="83">
        <f t="shared" si="102"/>
        <v>26</v>
      </c>
    </row>
    <row r="194" ht="22.5" customHeight="1" spans="1:11">
      <c r="A194" s="29" t="s">
        <v>17</v>
      </c>
      <c r="B194" s="115">
        <f t="shared" ref="B194:K194" si="103">B189/B191</f>
        <v>286836466.941775</v>
      </c>
      <c r="C194" s="31">
        <f t="shared" si="103"/>
        <v>286836466.941775</v>
      </c>
      <c r="D194" s="31">
        <f t="shared" si="103"/>
        <v>286836466.941775</v>
      </c>
      <c r="E194" s="31">
        <f t="shared" si="103"/>
        <v>440215515.7675</v>
      </c>
      <c r="F194" s="31">
        <f t="shared" si="103"/>
        <v>713525593.009506</v>
      </c>
      <c r="G194" s="31">
        <f t="shared" si="103"/>
        <v>435134463.794886</v>
      </c>
      <c r="H194" s="32">
        <f t="shared" si="103"/>
        <v>644379567.91515</v>
      </c>
      <c r="I194" s="30">
        <f t="shared" si="103"/>
        <v>4518184977.27394</v>
      </c>
      <c r="J194" s="31">
        <f t="shared" si="103"/>
        <v>3851063671.53068</v>
      </c>
      <c r="K194" s="32">
        <f t="shared" si="103"/>
        <v>2541781687.66248</v>
      </c>
    </row>
    <row r="195" ht="22.5" customHeight="1" spans="1:11">
      <c r="A195" s="29" t="s">
        <v>18</v>
      </c>
      <c r="B195" s="115">
        <f t="shared" ref="B195:K195" si="104">B189/B192</f>
        <v>169977165.595126</v>
      </c>
      <c r="C195" s="31">
        <f t="shared" si="104"/>
        <v>169977165.595126</v>
      </c>
      <c r="D195" s="31">
        <f t="shared" si="104"/>
        <v>169977165.595126</v>
      </c>
      <c r="E195" s="31">
        <f t="shared" si="104"/>
        <v>258057371.311983</v>
      </c>
      <c r="F195" s="31">
        <f t="shared" si="104"/>
        <v>404331169.372053</v>
      </c>
      <c r="G195" s="31">
        <f t="shared" si="104"/>
        <v>190371327.910262</v>
      </c>
      <c r="H195" s="32">
        <f t="shared" si="104"/>
        <v>368216895.951514</v>
      </c>
      <c r="I195" s="30">
        <f t="shared" si="104"/>
        <v>2844783133.83915</v>
      </c>
      <c r="J195" s="31">
        <f t="shared" si="104"/>
        <v>2625725230.5891</v>
      </c>
      <c r="K195" s="32">
        <f t="shared" si="104"/>
        <v>2965411968.93956</v>
      </c>
    </row>
    <row r="196" ht="22.5" customHeight="1" spans="1:11">
      <c r="A196" s="29" t="s">
        <v>19</v>
      </c>
      <c r="B196" s="115">
        <f t="shared" ref="B196:K196" si="105">B189/B193</f>
        <v>106729848.164381</v>
      </c>
      <c r="C196" s="31">
        <f t="shared" si="105"/>
        <v>106729848.164381</v>
      </c>
      <c r="D196" s="31">
        <f t="shared" si="105"/>
        <v>106729848.164381</v>
      </c>
      <c r="E196" s="31">
        <f t="shared" si="105"/>
        <v>162688342.783641</v>
      </c>
      <c r="F196" s="31">
        <f t="shared" si="105"/>
        <v>258083725.131098</v>
      </c>
      <c r="G196" s="31">
        <f t="shared" si="105"/>
        <v>132432228.111487</v>
      </c>
      <c r="H196" s="32">
        <f t="shared" si="105"/>
        <v>234319842.878236</v>
      </c>
      <c r="I196" s="30">
        <f t="shared" si="105"/>
        <v>1745662377.58311</v>
      </c>
      <c r="J196" s="31">
        <f t="shared" si="105"/>
        <v>1561242028.99892</v>
      </c>
      <c r="K196" s="32">
        <f t="shared" si="105"/>
        <v>1368651677.9721</v>
      </c>
    </row>
    <row r="197" ht="22.5" customHeight="1" spans="1:11">
      <c r="A197" s="33" t="s">
        <v>20</v>
      </c>
      <c r="B197" s="116">
        <f>K194/12</f>
        <v>211815140.63854</v>
      </c>
      <c r="C197" s="35">
        <f t="shared" ref="C197:H198" si="106">B197</f>
        <v>211815140.63854</v>
      </c>
      <c r="D197" s="35">
        <f t="shared" si="106"/>
        <v>211815140.63854</v>
      </c>
      <c r="E197" s="35">
        <f t="shared" si="106"/>
        <v>211815140.63854</v>
      </c>
      <c r="F197" s="35">
        <f t="shared" si="106"/>
        <v>211815140.63854</v>
      </c>
      <c r="G197" s="35">
        <f t="shared" si="106"/>
        <v>211815140.63854</v>
      </c>
      <c r="H197" s="36">
        <f t="shared" si="106"/>
        <v>211815140.63854</v>
      </c>
      <c r="I197" s="34">
        <f>K194</f>
        <v>2541781687.66248</v>
      </c>
      <c r="J197" s="35">
        <f>I197</f>
        <v>2541781687.66248</v>
      </c>
      <c r="K197" s="36">
        <f>J197</f>
        <v>2541781687.66248</v>
      </c>
    </row>
    <row r="198" ht="22.5" customHeight="1" spans="1:11">
      <c r="A198" s="33" t="s">
        <v>21</v>
      </c>
      <c r="B198" s="116">
        <f>K196/12</f>
        <v>114054306.497675</v>
      </c>
      <c r="C198" s="35">
        <f t="shared" si="106"/>
        <v>114054306.497675</v>
      </c>
      <c r="D198" s="35">
        <f t="shared" si="106"/>
        <v>114054306.497675</v>
      </c>
      <c r="E198" s="35">
        <f t="shared" si="106"/>
        <v>114054306.497675</v>
      </c>
      <c r="F198" s="35">
        <f t="shared" si="106"/>
        <v>114054306.497675</v>
      </c>
      <c r="G198" s="35">
        <f t="shared" si="106"/>
        <v>114054306.497675</v>
      </c>
      <c r="H198" s="36">
        <f t="shared" si="106"/>
        <v>114054306.497675</v>
      </c>
      <c r="I198" s="34">
        <f>K196</f>
        <v>1368651677.9721</v>
      </c>
      <c r="J198" s="35">
        <f>I198</f>
        <v>1368651677.9721</v>
      </c>
      <c r="K198" s="36">
        <f>J198</f>
        <v>1368651677.9721</v>
      </c>
    </row>
    <row r="199" ht="22.5" customHeight="1" spans="1:11">
      <c r="A199" s="29" t="s">
        <v>22</v>
      </c>
      <c r="B199" s="115">
        <f t="shared" ref="B199:H199" si="107">B190/B191</f>
        <v>202310.256875</v>
      </c>
      <c r="C199" s="31">
        <f t="shared" si="107"/>
        <v>202310.256875</v>
      </c>
      <c r="D199" s="31">
        <f t="shared" si="107"/>
        <v>202310.256875</v>
      </c>
      <c r="E199" s="31">
        <f t="shared" si="107"/>
        <v>184527.300588235</v>
      </c>
      <c r="F199" s="31">
        <f t="shared" si="107"/>
        <v>202174.359411765</v>
      </c>
      <c r="G199" s="31">
        <f t="shared" si="107"/>
        <v>245497.436428571</v>
      </c>
      <c r="H199" s="32">
        <f t="shared" si="107"/>
        <v>214810.256875</v>
      </c>
      <c r="I199" s="30">
        <f>(I190/12)/I191</f>
        <v>194611.334201681</v>
      </c>
      <c r="J199" s="31">
        <f>(J190/12)/J191</f>
        <v>103133.313312126</v>
      </c>
      <c r="K199" s="32">
        <f>(K190/12)/K191</f>
        <v>62880.9309296589</v>
      </c>
    </row>
    <row r="200" ht="22.5" customHeight="1" spans="1:11">
      <c r="A200" s="29" t="s">
        <v>23</v>
      </c>
      <c r="B200" s="115">
        <f t="shared" ref="B200:H200" si="108">B190/B193</f>
        <v>75278.2351162791</v>
      </c>
      <c r="C200" s="31">
        <f t="shared" si="108"/>
        <v>75278.2351162791</v>
      </c>
      <c r="D200" s="31">
        <f t="shared" si="108"/>
        <v>75278.2351162791</v>
      </c>
      <c r="E200" s="31">
        <f t="shared" si="108"/>
        <v>68194.8719565217</v>
      </c>
      <c r="F200" s="31">
        <f t="shared" si="108"/>
        <v>73126.8959574468</v>
      </c>
      <c r="G200" s="31">
        <f t="shared" si="108"/>
        <v>74716.6110869565</v>
      </c>
      <c r="H200" s="32">
        <f t="shared" si="108"/>
        <v>78112.8206818182</v>
      </c>
      <c r="I200" s="30">
        <f>(I190/12)/I193</f>
        <v>75190.7427597403</v>
      </c>
      <c r="J200" s="31">
        <f>(J190/12)/J193</f>
        <v>41810.8026941052</v>
      </c>
      <c r="K200" s="32">
        <f>(K190/12)/K193</f>
        <v>33858.9628082779</v>
      </c>
    </row>
    <row r="201" ht="22.5" customHeight="1" spans="1:11">
      <c r="A201" s="29" t="s">
        <v>24</v>
      </c>
      <c r="B201" s="117">
        <f t="shared" ref="B201:K201" si="109">B190/B189</f>
        <v>0.000705315677019781</v>
      </c>
      <c r="C201" s="38">
        <f t="shared" si="109"/>
        <v>0.000705315677019781</v>
      </c>
      <c r="D201" s="38">
        <f t="shared" si="109"/>
        <v>0.000705315677019781</v>
      </c>
      <c r="E201" s="38">
        <f t="shared" si="109"/>
        <v>0.000419174913147981</v>
      </c>
      <c r="F201" s="38">
        <f t="shared" si="109"/>
        <v>0.00028334563103621</v>
      </c>
      <c r="G201" s="38">
        <f t="shared" si="109"/>
        <v>0.000564187525592766</v>
      </c>
      <c r="H201" s="39">
        <f t="shared" si="109"/>
        <v>0.000333359820160042</v>
      </c>
      <c r="I201" s="37">
        <f t="shared" si="109"/>
        <v>0.00051687481193592</v>
      </c>
      <c r="J201" s="38">
        <f t="shared" si="109"/>
        <v>0.00032136569667611</v>
      </c>
      <c r="K201" s="39">
        <f t="shared" si="109"/>
        <v>0.000296867026314066</v>
      </c>
    </row>
    <row r="202" ht="22.5" customHeight="1" spans="1:11">
      <c r="A202" s="47" t="s">
        <v>25</v>
      </c>
      <c r="B202" s="118">
        <f t="shared" ref="B202:G203" si="110">(B190-C190)/C190</f>
        <v>0</v>
      </c>
      <c r="C202" s="49">
        <f t="shared" si="110"/>
        <v>0</v>
      </c>
      <c r="D202" s="49">
        <f t="shared" si="110"/>
        <v>0.0318779547656349</v>
      </c>
      <c r="E202" s="49">
        <f t="shared" si="110"/>
        <v>-0.0872863347996962</v>
      </c>
      <c r="F202" s="49">
        <f t="shared" si="110"/>
        <v>0</v>
      </c>
      <c r="G202" s="49">
        <f t="shared" si="110"/>
        <v>0</v>
      </c>
      <c r="H202" s="50">
        <f>((H190)-(J190/12))/(J190/12)</f>
        <v>1.22169668856868</v>
      </c>
      <c r="I202" s="73">
        <f>(I190-K190)/K190</f>
        <v>2.75811489215281</v>
      </c>
      <c r="J202" s="49">
        <f>(J190-K190)/K190</f>
        <v>0.757289164060185</v>
      </c>
      <c r="K202" s="50">
        <v>0.4</v>
      </c>
    </row>
    <row r="203" ht="22.5" customHeight="1" spans="1:11">
      <c r="A203" s="47" t="s">
        <v>26</v>
      </c>
      <c r="B203" s="118">
        <f t="shared" si="110"/>
        <v>0</v>
      </c>
      <c r="C203" s="48">
        <f t="shared" si="110"/>
        <v>0</v>
      </c>
      <c r="D203" s="48">
        <f t="shared" si="110"/>
        <v>-0.0588235294117647</v>
      </c>
      <c r="E203" s="48">
        <f t="shared" si="110"/>
        <v>0</v>
      </c>
      <c r="F203" s="48">
        <f t="shared" si="110"/>
        <v>0.214285714285714</v>
      </c>
      <c r="G203" s="48">
        <f t="shared" si="110"/>
        <v>-0.125</v>
      </c>
      <c r="H203" s="51">
        <f>(H191-J191)/J191</f>
        <v>0.0666666666666667</v>
      </c>
      <c r="I203" s="73">
        <f>(I191-K191)/K191</f>
        <v>0.214285714285714</v>
      </c>
      <c r="J203" s="48">
        <f>(J191-K191)/K191</f>
        <v>0.0714285714285714</v>
      </c>
      <c r="K203" s="51">
        <v>0.4</v>
      </c>
    </row>
    <row r="204" ht="22.5" customHeight="1" spans="1:11">
      <c r="A204" s="52" t="s">
        <v>27</v>
      </c>
      <c r="B204" s="119">
        <f t="shared" ref="B204:G204" si="111">(B189-C189)/C189</f>
        <v>0</v>
      </c>
      <c r="C204" s="54">
        <f t="shared" si="111"/>
        <v>0</v>
      </c>
      <c r="D204" s="54">
        <f t="shared" si="111"/>
        <v>-0.386746436863801</v>
      </c>
      <c r="E204" s="54">
        <f t="shared" si="111"/>
        <v>-0.383041729574464</v>
      </c>
      <c r="F204" s="54">
        <f t="shared" si="111"/>
        <v>0.99116366654217</v>
      </c>
      <c r="G204" s="54">
        <f t="shared" si="111"/>
        <v>-0.409132947755631</v>
      </c>
      <c r="H204" s="55">
        <f>(H189*12-J189)/J189</f>
        <v>1.14176112700717</v>
      </c>
      <c r="I204" s="84">
        <f>(I189-K189)/K189</f>
        <v>1.15847312892145</v>
      </c>
      <c r="J204" s="54">
        <f>(J189-K189)/K189</f>
        <v>0.623325743550833</v>
      </c>
      <c r="K204" s="55">
        <v>1.61845036311522</v>
      </c>
    </row>
    <row r="205" s="8" customFormat="1" ht="8.25" customHeight="1"/>
    <row r="206" s="8" customFormat="1" ht="8.25" customHeight="1"/>
    <row r="207" ht="22.5" customHeight="1" spans="1:11">
      <c r="A207" s="13" t="s">
        <v>44</v>
      </c>
      <c r="B207" s="14" t="s">
        <v>45</v>
      </c>
      <c r="C207" s="14" t="s">
        <v>46</v>
      </c>
      <c r="D207" s="14" t="s">
        <v>47</v>
      </c>
      <c r="E207" s="14" t="s">
        <v>48</v>
      </c>
      <c r="F207" s="14" t="s">
        <v>49</v>
      </c>
      <c r="G207" s="14" t="s">
        <v>50</v>
      </c>
      <c r="H207" s="14" t="s">
        <v>51</v>
      </c>
      <c r="I207" s="64" t="s">
        <v>52</v>
      </c>
      <c r="J207" s="64" t="s">
        <v>53</v>
      </c>
      <c r="K207" s="64" t="s">
        <v>54</v>
      </c>
    </row>
    <row r="208" ht="22.5" customHeight="1" spans="1:11">
      <c r="A208" s="15" t="s">
        <v>12</v>
      </c>
      <c r="B208" s="111">
        <f t="shared" ref="B208:H208" si="112">B23</f>
        <v>3937434321.9934</v>
      </c>
      <c r="C208" s="17">
        <f t="shared" si="112"/>
        <v>3937434321.9934</v>
      </c>
      <c r="D208" s="17">
        <f t="shared" si="112"/>
        <v>3937434321.9934</v>
      </c>
      <c r="E208" s="17">
        <f t="shared" si="112"/>
        <v>6422706252.4225</v>
      </c>
      <c r="F208" s="17">
        <f t="shared" si="112"/>
        <v>10139705493.8916</v>
      </c>
      <c r="G208" s="17">
        <f t="shared" si="112"/>
        <v>3869203693.6984</v>
      </c>
      <c r="H208" s="18">
        <f t="shared" si="112"/>
        <v>9909497764.3024</v>
      </c>
      <c r="I208" s="16">
        <f>AVERAGE(B208:H208)*12*0.9</f>
        <v>65036699234.1696</v>
      </c>
      <c r="J208" s="17">
        <f>J23</f>
        <v>49043520607.5823</v>
      </c>
      <c r="K208" s="18">
        <f>K23</f>
        <v>24737956953.3051</v>
      </c>
    </row>
    <row r="209" ht="22.5" customHeight="1" spans="1:11">
      <c r="A209" s="15" t="s">
        <v>13</v>
      </c>
      <c r="B209" s="121">
        <v>2436964.11</v>
      </c>
      <c r="C209" s="121">
        <v>2436964.11</v>
      </c>
      <c r="D209" s="121">
        <v>2436964.11</v>
      </c>
      <c r="E209" s="121">
        <v>2436964.11</v>
      </c>
      <c r="F209" s="121">
        <v>2436964.11</v>
      </c>
      <c r="G209" s="121">
        <v>2436964.11</v>
      </c>
      <c r="H209" s="122">
        <v>2336964.11</v>
      </c>
      <c r="I209" s="123">
        <f>AVERAGE(B209:H209)*12</f>
        <v>29072140.7485714</v>
      </c>
      <c r="J209" s="121">
        <v>12941280.4623801</v>
      </c>
      <c r="K209" s="122">
        <v>8994128.4623801</v>
      </c>
    </row>
    <row r="210" ht="22.5" customHeight="1" spans="1:11">
      <c r="A210" s="22" t="s">
        <v>14</v>
      </c>
      <c r="B210" s="25">
        <v>7</v>
      </c>
      <c r="C210" s="25">
        <v>7</v>
      </c>
      <c r="D210" s="25">
        <v>7</v>
      </c>
      <c r="E210" s="25">
        <v>7</v>
      </c>
      <c r="F210" s="25">
        <v>7</v>
      </c>
      <c r="G210" s="25">
        <v>7</v>
      </c>
      <c r="H210" s="26">
        <v>7</v>
      </c>
      <c r="I210" s="23">
        <f>MAX(B210:H210)</f>
        <v>7</v>
      </c>
      <c r="J210" s="24">
        <v>7</v>
      </c>
      <c r="K210" s="83">
        <v>6</v>
      </c>
    </row>
    <row r="211" ht="22.5" customHeight="1" spans="1:11">
      <c r="A211" s="22" t="s">
        <v>15</v>
      </c>
      <c r="B211" s="3">
        <v>19</v>
      </c>
      <c r="C211" s="3">
        <v>19</v>
      </c>
      <c r="D211" s="3">
        <v>19</v>
      </c>
      <c r="E211" s="3">
        <v>19</v>
      </c>
      <c r="F211" s="3">
        <v>19</v>
      </c>
      <c r="G211" s="3">
        <v>19</v>
      </c>
      <c r="H211" s="27">
        <v>19</v>
      </c>
      <c r="I211" s="23">
        <f>MIN(B211:H211)</f>
        <v>19</v>
      </c>
      <c r="J211" s="24">
        <v>19</v>
      </c>
      <c r="K211" s="83">
        <v>10</v>
      </c>
    </row>
    <row r="212" ht="22.5" customHeight="1" spans="1:11">
      <c r="A212" s="22" t="s">
        <v>16</v>
      </c>
      <c r="B212" s="114">
        <f t="shared" ref="B212:K212" si="113">B211+B210</f>
        <v>26</v>
      </c>
      <c r="C212" s="25">
        <f t="shared" si="113"/>
        <v>26</v>
      </c>
      <c r="D212" s="25">
        <f t="shared" si="113"/>
        <v>26</v>
      </c>
      <c r="E212" s="25">
        <f t="shared" si="113"/>
        <v>26</v>
      </c>
      <c r="F212" s="25">
        <f t="shared" si="113"/>
        <v>26</v>
      </c>
      <c r="G212" s="25">
        <f t="shared" si="113"/>
        <v>26</v>
      </c>
      <c r="H212" s="26">
        <f t="shared" si="113"/>
        <v>26</v>
      </c>
      <c r="I212" s="23">
        <f t="shared" si="113"/>
        <v>26</v>
      </c>
      <c r="J212" s="24">
        <f t="shared" si="113"/>
        <v>26</v>
      </c>
      <c r="K212" s="83">
        <f t="shared" si="113"/>
        <v>16</v>
      </c>
    </row>
    <row r="213" ht="22.5" customHeight="1" spans="1:11">
      <c r="A213" s="29" t="s">
        <v>17</v>
      </c>
      <c r="B213" s="115">
        <f t="shared" ref="B213:K213" si="114">B208/B210</f>
        <v>562490617.427629</v>
      </c>
      <c r="C213" s="31">
        <f t="shared" si="114"/>
        <v>562490617.427629</v>
      </c>
      <c r="D213" s="31">
        <f t="shared" si="114"/>
        <v>562490617.427629</v>
      </c>
      <c r="E213" s="31">
        <f t="shared" si="114"/>
        <v>917529464.631786</v>
      </c>
      <c r="F213" s="31">
        <f t="shared" si="114"/>
        <v>1448529356.27023</v>
      </c>
      <c r="G213" s="31">
        <f t="shared" si="114"/>
        <v>552743384.814057</v>
      </c>
      <c r="H213" s="32">
        <f t="shared" si="114"/>
        <v>1415642537.75749</v>
      </c>
      <c r="I213" s="30">
        <f t="shared" si="114"/>
        <v>9290957033.4528</v>
      </c>
      <c r="J213" s="31">
        <f t="shared" si="114"/>
        <v>7006217229.65461</v>
      </c>
      <c r="K213" s="32">
        <f t="shared" si="114"/>
        <v>4122992825.55085</v>
      </c>
    </row>
    <row r="214" ht="22.5" customHeight="1" spans="1:11">
      <c r="A214" s="29" t="s">
        <v>18</v>
      </c>
      <c r="B214" s="115">
        <f t="shared" ref="B214:K214" si="115">B208/B211</f>
        <v>207233385.368074</v>
      </c>
      <c r="C214" s="31">
        <f t="shared" si="115"/>
        <v>207233385.368074</v>
      </c>
      <c r="D214" s="31">
        <f t="shared" si="115"/>
        <v>207233385.368074</v>
      </c>
      <c r="E214" s="31">
        <f t="shared" si="115"/>
        <v>338037171.180132</v>
      </c>
      <c r="F214" s="31">
        <f t="shared" si="115"/>
        <v>533668710.204821</v>
      </c>
      <c r="G214" s="31">
        <f t="shared" si="115"/>
        <v>203642299.668337</v>
      </c>
      <c r="H214" s="32">
        <f t="shared" si="115"/>
        <v>521552513.910653</v>
      </c>
      <c r="I214" s="30">
        <f t="shared" si="115"/>
        <v>3422984170.21945</v>
      </c>
      <c r="J214" s="31">
        <f t="shared" si="115"/>
        <v>2581237926.71486</v>
      </c>
      <c r="K214" s="32">
        <f t="shared" si="115"/>
        <v>2473795695.33051</v>
      </c>
    </row>
    <row r="215" ht="22.5" customHeight="1" spans="1:11">
      <c r="A215" s="29" t="s">
        <v>19</v>
      </c>
      <c r="B215" s="115">
        <f t="shared" ref="B215:K215" si="116">B208/B212</f>
        <v>151439781.615131</v>
      </c>
      <c r="C215" s="31">
        <f t="shared" si="116"/>
        <v>151439781.615131</v>
      </c>
      <c r="D215" s="31">
        <f t="shared" si="116"/>
        <v>151439781.615131</v>
      </c>
      <c r="E215" s="31">
        <f t="shared" si="116"/>
        <v>247027163.554712</v>
      </c>
      <c r="F215" s="31">
        <f t="shared" si="116"/>
        <v>389988672.841985</v>
      </c>
      <c r="G215" s="31">
        <f t="shared" si="116"/>
        <v>148815526.680708</v>
      </c>
      <c r="H215" s="32">
        <f t="shared" si="116"/>
        <v>381134529.396246</v>
      </c>
      <c r="I215" s="30">
        <f t="shared" si="116"/>
        <v>2501411509.00652</v>
      </c>
      <c r="J215" s="31">
        <f t="shared" si="116"/>
        <v>1886289254.13778</v>
      </c>
      <c r="K215" s="32">
        <f t="shared" si="116"/>
        <v>1546122309.58157</v>
      </c>
    </row>
    <row r="216" ht="22.5" customHeight="1" spans="1:11">
      <c r="A216" s="33" t="s">
        <v>20</v>
      </c>
      <c r="B216" s="116">
        <f>K213/12</f>
        <v>343582735.462571</v>
      </c>
      <c r="C216" s="35">
        <f t="shared" ref="C216:H216" si="117">$B$11</f>
        <v>17972193.7511488</v>
      </c>
      <c r="D216" s="35">
        <f t="shared" si="117"/>
        <v>17972193.7511488</v>
      </c>
      <c r="E216" s="35">
        <f t="shared" si="117"/>
        <v>17972193.7511488</v>
      </c>
      <c r="F216" s="35">
        <f t="shared" si="117"/>
        <v>17972193.7511488</v>
      </c>
      <c r="G216" s="35">
        <f t="shared" si="117"/>
        <v>17972193.7511488</v>
      </c>
      <c r="H216" s="36">
        <f t="shared" si="117"/>
        <v>17972193.7511488</v>
      </c>
      <c r="I216" s="34">
        <f>K213</f>
        <v>4122992825.55085</v>
      </c>
      <c r="J216" s="35">
        <f>I216</f>
        <v>4122992825.55085</v>
      </c>
      <c r="K216" s="36">
        <f>J216</f>
        <v>4122992825.55085</v>
      </c>
    </row>
    <row r="217" ht="22.5" customHeight="1" spans="1:11">
      <c r="A217" s="33" t="s">
        <v>21</v>
      </c>
      <c r="B217" s="116">
        <f>K215/12</f>
        <v>128843525.798464</v>
      </c>
      <c r="C217" s="35">
        <f t="shared" ref="C217:H217" si="118">$B$12</f>
        <v>7358342.35468873</v>
      </c>
      <c r="D217" s="35">
        <f t="shared" si="118"/>
        <v>7358342.35468873</v>
      </c>
      <c r="E217" s="35">
        <f t="shared" si="118"/>
        <v>7358342.35468873</v>
      </c>
      <c r="F217" s="35">
        <f t="shared" si="118"/>
        <v>7358342.35468873</v>
      </c>
      <c r="G217" s="35">
        <f t="shared" si="118"/>
        <v>7358342.35468873</v>
      </c>
      <c r="H217" s="36">
        <f t="shared" si="118"/>
        <v>7358342.35468873</v>
      </c>
      <c r="I217" s="34">
        <f>K215</f>
        <v>1546122309.58157</v>
      </c>
      <c r="J217" s="35">
        <f>I217</f>
        <v>1546122309.58157</v>
      </c>
      <c r="K217" s="36">
        <f>J217</f>
        <v>1546122309.58157</v>
      </c>
    </row>
    <row r="218" ht="22.5" customHeight="1" spans="1:11">
      <c r="A218" s="29" t="s">
        <v>22</v>
      </c>
      <c r="B218" s="115">
        <f t="shared" ref="B218:H218" si="119">B209/B210</f>
        <v>348137.73</v>
      </c>
      <c r="C218" s="31">
        <f t="shared" si="119"/>
        <v>348137.73</v>
      </c>
      <c r="D218" s="31">
        <f t="shared" si="119"/>
        <v>348137.73</v>
      </c>
      <c r="E218" s="31">
        <f t="shared" si="119"/>
        <v>348137.73</v>
      </c>
      <c r="F218" s="31">
        <f t="shared" si="119"/>
        <v>348137.73</v>
      </c>
      <c r="G218" s="31">
        <f t="shared" si="119"/>
        <v>348137.73</v>
      </c>
      <c r="H218" s="32">
        <f t="shared" si="119"/>
        <v>333852.015714286</v>
      </c>
      <c r="I218" s="30">
        <f>(I209/12)/I210</f>
        <v>346096.913673469</v>
      </c>
      <c r="J218" s="31">
        <f>(J209/12)/J210</f>
        <v>154062.862647382</v>
      </c>
      <c r="K218" s="32">
        <f>(K209/12)/K210</f>
        <v>124918.45086639</v>
      </c>
    </row>
    <row r="219" ht="22.5" customHeight="1" spans="1:11">
      <c r="A219" s="29" t="s">
        <v>23</v>
      </c>
      <c r="B219" s="115">
        <f t="shared" ref="B219:H219" si="120">B209/B212</f>
        <v>93729.3888461538</v>
      </c>
      <c r="C219" s="31">
        <f t="shared" si="120"/>
        <v>93729.3888461538</v>
      </c>
      <c r="D219" s="31">
        <f t="shared" si="120"/>
        <v>93729.3888461538</v>
      </c>
      <c r="E219" s="31">
        <f t="shared" si="120"/>
        <v>93729.3888461538</v>
      </c>
      <c r="F219" s="31">
        <f t="shared" si="120"/>
        <v>93729.3888461538</v>
      </c>
      <c r="G219" s="31">
        <f t="shared" si="120"/>
        <v>93729.3888461538</v>
      </c>
      <c r="H219" s="32">
        <f t="shared" si="120"/>
        <v>89883.235</v>
      </c>
      <c r="I219" s="30">
        <f>(I209/12)/I212</f>
        <v>93179.9382967033</v>
      </c>
      <c r="J219" s="31">
        <f>(J209/12)/J212</f>
        <v>41478.463020449</v>
      </c>
      <c r="K219" s="32">
        <f>(K209/12)/K212</f>
        <v>46844.4190748964</v>
      </c>
    </row>
    <row r="220" ht="22.5" customHeight="1" spans="1:11">
      <c r="A220" s="29" t="s">
        <v>24</v>
      </c>
      <c r="B220" s="117">
        <f t="shared" ref="B220:K220" si="121">B209/B208</f>
        <v>0.000618921843695983</v>
      </c>
      <c r="C220" s="38">
        <f t="shared" si="121"/>
        <v>0.000618921843695983</v>
      </c>
      <c r="D220" s="38">
        <f t="shared" si="121"/>
        <v>0.000618921843695983</v>
      </c>
      <c r="E220" s="38">
        <f t="shared" si="121"/>
        <v>0.000379429482561316</v>
      </c>
      <c r="F220" s="38">
        <f t="shared" si="121"/>
        <v>0.000240338746669525</v>
      </c>
      <c r="G220" s="38">
        <f t="shared" si="121"/>
        <v>0.000629836085902889</v>
      </c>
      <c r="H220" s="39">
        <f t="shared" si="121"/>
        <v>0.000235830731847843</v>
      </c>
      <c r="I220" s="37">
        <f t="shared" si="121"/>
        <v>0.00044701131962271</v>
      </c>
      <c r="J220" s="38">
        <f t="shared" si="121"/>
        <v>0.0002638733986071</v>
      </c>
      <c r="K220" s="39">
        <f t="shared" si="121"/>
        <v>0.000363576041439366</v>
      </c>
    </row>
    <row r="221" ht="22.5" customHeight="1" spans="1:11">
      <c r="A221" s="124" t="s">
        <v>25</v>
      </c>
      <c r="B221" s="125">
        <f t="shared" ref="B221:G222" si="122">(B209-C209)/C209</f>
        <v>0</v>
      </c>
      <c r="C221" s="126">
        <f t="shared" si="122"/>
        <v>0</v>
      </c>
      <c r="D221" s="126">
        <f t="shared" si="122"/>
        <v>0</v>
      </c>
      <c r="E221" s="126">
        <f t="shared" si="122"/>
        <v>0</v>
      </c>
      <c r="F221" s="126">
        <f t="shared" si="122"/>
        <v>0</v>
      </c>
      <c r="G221" s="126">
        <f t="shared" si="122"/>
        <v>0.042790558730489</v>
      </c>
      <c r="H221" s="127">
        <f>((H209)-(J209/12))/(J209/12)</f>
        <v>1.16698567050778</v>
      </c>
      <c r="I221" s="128">
        <f>(I209-K209)/K209</f>
        <v>2.23234662148445</v>
      </c>
      <c r="J221" s="126">
        <f>(J209-K209)/K209</f>
        <v>0.438858752853022</v>
      </c>
      <c r="K221" s="127">
        <v>0</v>
      </c>
    </row>
    <row r="222" ht="22.5" customHeight="1" spans="1:11">
      <c r="A222" s="124" t="s">
        <v>26</v>
      </c>
      <c r="B222" s="125">
        <f t="shared" si="122"/>
        <v>0</v>
      </c>
      <c r="C222" s="128">
        <f t="shared" si="122"/>
        <v>0</v>
      </c>
      <c r="D222" s="128">
        <f t="shared" si="122"/>
        <v>0</v>
      </c>
      <c r="E222" s="128">
        <f t="shared" si="122"/>
        <v>0</v>
      </c>
      <c r="F222" s="128">
        <f t="shared" si="122"/>
        <v>0</v>
      </c>
      <c r="G222" s="128">
        <f t="shared" si="122"/>
        <v>0</v>
      </c>
      <c r="H222" s="129">
        <f>(H210-J210)/J210</f>
        <v>0</v>
      </c>
      <c r="I222" s="128">
        <f>(I210-K210)/K210</f>
        <v>0.166666666666667</v>
      </c>
      <c r="J222" s="128">
        <f>(J210-K210)/K210</f>
        <v>0.166666666666667</v>
      </c>
      <c r="K222" s="129">
        <v>-0.142857142857143</v>
      </c>
    </row>
    <row r="223" ht="22.5" customHeight="1" spans="1:11">
      <c r="A223" s="130" t="s">
        <v>27</v>
      </c>
      <c r="B223" s="125">
        <f t="shared" ref="B223:G223" si="123">(B208-C208)/C208</f>
        <v>0</v>
      </c>
      <c r="C223" s="126">
        <f t="shared" si="123"/>
        <v>0</v>
      </c>
      <c r="D223" s="126">
        <f t="shared" si="123"/>
        <v>-0.386950894646896</v>
      </c>
      <c r="E223" s="126">
        <f t="shared" si="123"/>
        <v>-0.366578619439027</v>
      </c>
      <c r="F223" s="126">
        <f t="shared" si="123"/>
        <v>1.62061816761048</v>
      </c>
      <c r="G223" s="126">
        <f t="shared" si="123"/>
        <v>-0.609545934039496</v>
      </c>
      <c r="H223" s="127">
        <f>(H208*12-J208)/J208</f>
        <v>1.424662253004</v>
      </c>
      <c r="I223" s="134">
        <f>(I208-K208)/K208</f>
        <v>1.62902467479152</v>
      </c>
      <c r="J223" s="135">
        <f>(J208-K208)/K208</f>
        <v>0.982521058636973</v>
      </c>
      <c r="K223" s="136">
        <v>1</v>
      </c>
    </row>
    <row r="224" s="8" customFormat="1" ht="8.25" customHeight="1"/>
    <row r="225" s="8" customFormat="1" ht="8.25" customHeight="1"/>
    <row r="226" ht="22.5" customHeight="1" spans="1:11">
      <c r="A226" s="9" t="s">
        <v>0</v>
      </c>
      <c r="B226" s="105" t="s">
        <v>1</v>
      </c>
      <c r="C226" s="11" t="s">
        <v>2</v>
      </c>
      <c r="D226" s="11" t="s">
        <v>3</v>
      </c>
      <c r="E226" s="11" t="s">
        <v>4</v>
      </c>
      <c r="F226" s="11" t="s">
        <v>5</v>
      </c>
      <c r="G226" s="11" t="s">
        <v>6</v>
      </c>
      <c r="H226" s="44" t="s">
        <v>7</v>
      </c>
      <c r="I226" s="10" t="s">
        <v>8</v>
      </c>
      <c r="J226" s="11" t="s">
        <v>9</v>
      </c>
      <c r="K226" s="44" t="s">
        <v>10</v>
      </c>
    </row>
    <row r="227" ht="22.5" customHeight="1" spans="1:11">
      <c r="A227" s="13" t="s">
        <v>55</v>
      </c>
      <c r="B227" s="14" t="str">
        <f>TEXT("7/1/2024","mmm-yy")</f>
        <v>Jul-24</v>
      </c>
      <c r="C227" s="14" t="str">
        <f>TEXT("6/1/2024","mmm-yy")</f>
        <v>Jun-24</v>
      </c>
      <c r="D227" s="14" t="str">
        <f>TEXT("5/1/2024","mmm-yy")</f>
        <v>May-24</v>
      </c>
      <c r="E227" s="14" t="str">
        <f>TEXT("4/1/2024","mmm-yy")</f>
        <v>Apr-24</v>
      </c>
      <c r="F227" s="14" t="str">
        <f>TEXT("3/1/2024","mmm-yy")</f>
        <v>Mar-24</v>
      </c>
      <c r="G227" s="14" t="str">
        <f>TEXT("2/1/2024","mmm-yy")</f>
        <v>Feb-24</v>
      </c>
      <c r="H227" s="14" t="str">
        <f>TEXT("1/1/2024","mmm-yy")</f>
        <v>Jan-24</v>
      </c>
      <c r="I227" s="64">
        <f>YEAR(DATE(2024,12,1))</f>
        <v>2024</v>
      </c>
      <c r="J227" s="64">
        <f>YEAR(DATE(2023,12,1))</f>
        <v>2023</v>
      </c>
      <c r="K227" s="64">
        <f>YEAR(DATE(2022,12,1))</f>
        <v>2022</v>
      </c>
    </row>
    <row r="228" ht="22.5" customHeight="1" spans="1:11">
      <c r="A228" s="15" t="s">
        <v>12</v>
      </c>
      <c r="B228" s="111">
        <f t="shared" ref="B228:H228" si="124">B23</f>
        <v>3937434321.9934</v>
      </c>
      <c r="C228" s="17">
        <f t="shared" si="124"/>
        <v>3937434321.9934</v>
      </c>
      <c r="D228" s="17">
        <f t="shared" si="124"/>
        <v>3937434321.9934</v>
      </c>
      <c r="E228" s="17">
        <f t="shared" si="124"/>
        <v>6422706252.4225</v>
      </c>
      <c r="F228" s="17">
        <f t="shared" si="124"/>
        <v>10139705493.8916</v>
      </c>
      <c r="G228" s="17">
        <f t="shared" si="124"/>
        <v>3869203693.6984</v>
      </c>
      <c r="H228" s="17">
        <f t="shared" si="124"/>
        <v>9909497764.3024</v>
      </c>
      <c r="I228" s="16">
        <f>AVERAGE(B228:H228)*12*0.9</f>
        <v>65036699234.1696</v>
      </c>
      <c r="J228" s="17">
        <f>J23</f>
        <v>49043520607.5823</v>
      </c>
      <c r="K228" s="18">
        <f>K23</f>
        <v>24737956953.3051</v>
      </c>
    </row>
    <row r="229" ht="22.5" customHeight="1" spans="1:11">
      <c r="A229" s="15" t="s">
        <v>13</v>
      </c>
      <c r="B229" s="131">
        <f>C229</f>
        <v>4873928.22</v>
      </c>
      <c r="C229" s="45">
        <f>D229*2</f>
        <v>4873928.22</v>
      </c>
      <c r="D229" s="45">
        <v>2436964.11</v>
      </c>
      <c r="E229" s="45">
        <v>2436964.11</v>
      </c>
      <c r="F229" s="45">
        <v>2436964.11</v>
      </c>
      <c r="G229" s="45">
        <v>2436964.11</v>
      </c>
      <c r="H229" s="45">
        <v>2336964.11</v>
      </c>
      <c r="I229" s="56">
        <f>AVERAGE(B229:H229)*12</f>
        <v>37427446.2685714</v>
      </c>
      <c r="J229" s="45">
        <v>12941280.4623801</v>
      </c>
      <c r="K229" s="46">
        <v>8994128.4623801</v>
      </c>
    </row>
    <row r="230" ht="22.5" customHeight="1" spans="1:11">
      <c r="A230" s="22" t="s">
        <v>14</v>
      </c>
      <c r="B230" s="113">
        <v>2</v>
      </c>
      <c r="C230" s="24">
        <v>2</v>
      </c>
      <c r="D230" s="25">
        <v>1</v>
      </c>
      <c r="E230" s="25">
        <v>1</v>
      </c>
      <c r="F230" s="25">
        <v>2</v>
      </c>
      <c r="G230" s="25">
        <v>2</v>
      </c>
      <c r="H230" s="24">
        <v>1</v>
      </c>
      <c r="I230" s="23">
        <f>MAX(B230:H230)</f>
        <v>2</v>
      </c>
      <c r="J230" s="24">
        <v>2</v>
      </c>
      <c r="K230" s="83">
        <v>1</v>
      </c>
    </row>
    <row r="231" ht="22.5" customHeight="1" spans="1:11">
      <c r="A231" s="22" t="s">
        <v>15</v>
      </c>
      <c r="B231" s="113">
        <v>0</v>
      </c>
      <c r="C231" s="24">
        <v>0</v>
      </c>
      <c r="D231" s="3">
        <v>0</v>
      </c>
      <c r="E231" s="3">
        <v>0</v>
      </c>
      <c r="F231" s="3">
        <v>0</v>
      </c>
      <c r="G231" s="3">
        <v>0</v>
      </c>
      <c r="H231" s="24">
        <v>0</v>
      </c>
      <c r="I231" s="23">
        <f>MIN(B231:H231)</f>
        <v>0</v>
      </c>
      <c r="J231" s="24">
        <v>0</v>
      </c>
      <c r="K231" s="83">
        <v>0</v>
      </c>
    </row>
    <row r="232" ht="22.5" customHeight="1" spans="1:11">
      <c r="A232" s="22" t="s">
        <v>16</v>
      </c>
      <c r="B232" s="114">
        <f t="shared" ref="B232:K232" si="125">B231+B230</f>
        <v>2</v>
      </c>
      <c r="C232" s="25">
        <f t="shared" si="125"/>
        <v>2</v>
      </c>
      <c r="D232" s="25">
        <f t="shared" si="125"/>
        <v>1</v>
      </c>
      <c r="E232" s="25">
        <f t="shared" si="125"/>
        <v>1</v>
      </c>
      <c r="F232" s="25">
        <f t="shared" si="125"/>
        <v>2</v>
      </c>
      <c r="G232" s="25">
        <f t="shared" si="125"/>
        <v>2</v>
      </c>
      <c r="H232" s="25">
        <f t="shared" si="125"/>
        <v>1</v>
      </c>
      <c r="I232" s="23">
        <f t="shared" si="125"/>
        <v>2</v>
      </c>
      <c r="J232" s="24">
        <f t="shared" si="125"/>
        <v>2</v>
      </c>
      <c r="K232" s="83">
        <f t="shared" si="125"/>
        <v>1</v>
      </c>
    </row>
    <row r="233" ht="22.5" customHeight="1" spans="1:11">
      <c r="A233" s="29" t="s">
        <v>17</v>
      </c>
      <c r="B233" s="115">
        <f t="shared" ref="B233:K233" si="126">B228/B230</f>
        <v>1968717160.9967</v>
      </c>
      <c r="C233" s="31">
        <f t="shared" si="126"/>
        <v>1968717160.9967</v>
      </c>
      <c r="D233" s="31">
        <f t="shared" si="126"/>
        <v>3937434321.9934</v>
      </c>
      <c r="E233" s="31">
        <f t="shared" si="126"/>
        <v>6422706252.4225</v>
      </c>
      <c r="F233" s="31">
        <f t="shared" si="126"/>
        <v>5069852746.9458</v>
      </c>
      <c r="G233" s="31">
        <f t="shared" si="126"/>
        <v>1934601846.8492</v>
      </c>
      <c r="H233" s="32">
        <f t="shared" si="126"/>
        <v>9909497764.3024</v>
      </c>
      <c r="I233" s="30">
        <f t="shared" si="126"/>
        <v>32518349617.0848</v>
      </c>
      <c r="J233" s="31">
        <f t="shared" si="126"/>
        <v>24521760303.7911</v>
      </c>
      <c r="K233" s="32">
        <f t="shared" si="126"/>
        <v>24737956953.3051</v>
      </c>
    </row>
    <row r="234" ht="22.5" hidden="1" customHeight="1" spans="1:11">
      <c r="A234" s="29" t="s">
        <v>18</v>
      </c>
      <c r="B234" s="115" t="e">
        <f t="shared" ref="B234:K234" si="127">B228/B231</f>
        <v>#DIV/0!</v>
      </c>
      <c r="C234" s="31" t="e">
        <f t="shared" si="127"/>
        <v>#DIV/0!</v>
      </c>
      <c r="D234" s="31" t="e">
        <f t="shared" si="127"/>
        <v>#DIV/0!</v>
      </c>
      <c r="E234" s="31" t="e">
        <f t="shared" si="127"/>
        <v>#DIV/0!</v>
      </c>
      <c r="F234" s="31" t="e">
        <f t="shared" si="127"/>
        <v>#DIV/0!</v>
      </c>
      <c r="G234" s="31" t="e">
        <f t="shared" si="127"/>
        <v>#DIV/0!</v>
      </c>
      <c r="H234" s="32" t="e">
        <f t="shared" si="127"/>
        <v>#DIV/0!</v>
      </c>
      <c r="I234" s="30" t="e">
        <f t="shared" si="127"/>
        <v>#DIV/0!</v>
      </c>
      <c r="J234" s="31" t="e">
        <f t="shared" si="127"/>
        <v>#DIV/0!</v>
      </c>
      <c r="K234" s="32" t="e">
        <f t="shared" si="127"/>
        <v>#DIV/0!</v>
      </c>
    </row>
    <row r="235" ht="22.5" customHeight="1" spans="1:11">
      <c r="A235" s="29" t="s">
        <v>19</v>
      </c>
      <c r="B235" s="115">
        <f t="shared" ref="B235:K235" si="128">B228/B232</f>
        <v>1968717160.9967</v>
      </c>
      <c r="C235" s="31">
        <f t="shared" si="128"/>
        <v>1968717160.9967</v>
      </c>
      <c r="D235" s="31">
        <f t="shared" si="128"/>
        <v>3937434321.9934</v>
      </c>
      <c r="E235" s="31">
        <f t="shared" si="128"/>
        <v>6422706252.4225</v>
      </c>
      <c r="F235" s="31">
        <f t="shared" si="128"/>
        <v>5069852746.9458</v>
      </c>
      <c r="G235" s="31">
        <f t="shared" si="128"/>
        <v>1934601846.8492</v>
      </c>
      <c r="H235" s="32">
        <f t="shared" si="128"/>
        <v>9909497764.3024</v>
      </c>
      <c r="I235" s="30">
        <f t="shared" si="128"/>
        <v>32518349617.0848</v>
      </c>
      <c r="J235" s="31">
        <f t="shared" si="128"/>
        <v>24521760303.7911</v>
      </c>
      <c r="K235" s="32">
        <f t="shared" si="128"/>
        <v>24737956953.3051</v>
      </c>
    </row>
    <row r="236" ht="22.5" customHeight="1" spans="1:11">
      <c r="A236" s="33" t="s">
        <v>20</v>
      </c>
      <c r="B236" s="116">
        <f>K233/12</f>
        <v>2061496412.77542</v>
      </c>
      <c r="C236" s="35">
        <f t="shared" ref="C236:H236" si="129">$B$11</f>
        <v>17972193.7511488</v>
      </c>
      <c r="D236" s="35">
        <f t="shared" si="129"/>
        <v>17972193.7511488</v>
      </c>
      <c r="E236" s="35">
        <f t="shared" si="129"/>
        <v>17972193.7511488</v>
      </c>
      <c r="F236" s="35">
        <f t="shared" si="129"/>
        <v>17972193.7511488</v>
      </c>
      <c r="G236" s="35">
        <f t="shared" si="129"/>
        <v>17972193.7511488</v>
      </c>
      <c r="H236" s="36">
        <f t="shared" si="129"/>
        <v>17972193.7511488</v>
      </c>
      <c r="I236" s="34">
        <f>K233</f>
        <v>24737956953.3051</v>
      </c>
      <c r="J236" s="35">
        <f>I236</f>
        <v>24737956953.3051</v>
      </c>
      <c r="K236" s="36">
        <f>J236</f>
        <v>24737956953.3051</v>
      </c>
    </row>
    <row r="237" ht="22.5" customHeight="1" spans="1:11">
      <c r="A237" s="33" t="s">
        <v>21</v>
      </c>
      <c r="B237" s="116">
        <f>K235/12</f>
        <v>2061496412.77542</v>
      </c>
      <c r="C237" s="35">
        <f t="shared" ref="C237:H237" si="130">$B$12</f>
        <v>7358342.35468873</v>
      </c>
      <c r="D237" s="35">
        <f t="shared" si="130"/>
        <v>7358342.35468873</v>
      </c>
      <c r="E237" s="35">
        <f t="shared" si="130"/>
        <v>7358342.35468873</v>
      </c>
      <c r="F237" s="35">
        <f t="shared" si="130"/>
        <v>7358342.35468873</v>
      </c>
      <c r="G237" s="35">
        <f t="shared" si="130"/>
        <v>7358342.35468873</v>
      </c>
      <c r="H237" s="36">
        <f t="shared" si="130"/>
        <v>7358342.35468873</v>
      </c>
      <c r="I237" s="34">
        <f>K235</f>
        <v>24737956953.3051</v>
      </c>
      <c r="J237" s="35">
        <f>I237</f>
        <v>24737956953.3051</v>
      </c>
      <c r="K237" s="36">
        <f>J237</f>
        <v>24737956953.3051</v>
      </c>
    </row>
    <row r="238" ht="22.5" hidden="1" customHeight="1" spans="1:11">
      <c r="A238" s="29" t="s">
        <v>30</v>
      </c>
      <c r="B238" s="132">
        <f t="shared" ref="B238:G240" si="131">(B233-C233)/C233</f>
        <v>0</v>
      </c>
      <c r="C238" s="58">
        <f t="shared" si="131"/>
        <v>-0.5</v>
      </c>
      <c r="D238" s="58">
        <f t="shared" si="131"/>
        <v>-0.386950894646896</v>
      </c>
      <c r="E238" s="58">
        <f t="shared" si="131"/>
        <v>0.266842761121946</v>
      </c>
      <c r="F238" s="58">
        <f t="shared" si="131"/>
        <v>1.62061816761048</v>
      </c>
      <c r="G238" s="58">
        <f t="shared" si="131"/>
        <v>-0.804772967019748</v>
      </c>
      <c r="H238" s="59">
        <f>(H233-(J233/12))/(J233/12)</f>
        <v>3.84932450600801</v>
      </c>
      <c r="I238" s="57">
        <f t="shared" ref="I238:J240" si="132">(I233-J233)/J233</f>
        <v>0.326101764890726</v>
      </c>
      <c r="J238" s="58">
        <f t="shared" si="132"/>
        <v>-0.0087394706815134</v>
      </c>
      <c r="K238" s="59">
        <v>1</v>
      </c>
    </row>
    <row r="239" ht="22.5" hidden="1" customHeight="1" spans="1:11">
      <c r="A239" s="29" t="s">
        <v>31</v>
      </c>
      <c r="B239" s="132" t="e">
        <f t="shared" si="131"/>
        <v>#DIV/0!</v>
      </c>
      <c r="C239" s="58" t="e">
        <f t="shared" si="131"/>
        <v>#DIV/0!</v>
      </c>
      <c r="D239" s="58" t="e">
        <f t="shared" si="131"/>
        <v>#DIV/0!</v>
      </c>
      <c r="E239" s="58" t="e">
        <f t="shared" si="131"/>
        <v>#DIV/0!</v>
      </c>
      <c r="F239" s="58" t="e">
        <f t="shared" si="131"/>
        <v>#DIV/0!</v>
      </c>
      <c r="G239" s="58" t="e">
        <f t="shared" si="131"/>
        <v>#DIV/0!</v>
      </c>
      <c r="H239" s="59" t="e">
        <f>(H234-(J234/12))/(J234/12)</f>
        <v>#DIV/0!</v>
      </c>
      <c r="I239" s="57" t="e">
        <f t="shared" si="132"/>
        <v>#DIV/0!</v>
      </c>
      <c r="J239" s="58" t="e">
        <f t="shared" si="132"/>
        <v>#DIV/0!</v>
      </c>
      <c r="K239" s="59" t="e">
        <v>#DIV/0!</v>
      </c>
    </row>
    <row r="240" ht="22.5" hidden="1" customHeight="1" spans="1:11">
      <c r="A240" s="29" t="s">
        <v>32</v>
      </c>
      <c r="B240" s="132">
        <f t="shared" si="131"/>
        <v>0</v>
      </c>
      <c r="C240" s="58">
        <f t="shared" si="131"/>
        <v>-0.5</v>
      </c>
      <c r="D240" s="58">
        <f t="shared" si="131"/>
        <v>-0.386950894646896</v>
      </c>
      <c r="E240" s="58">
        <f t="shared" si="131"/>
        <v>0.266842761121946</v>
      </c>
      <c r="F240" s="58">
        <f t="shared" si="131"/>
        <v>1.62061816761048</v>
      </c>
      <c r="G240" s="58">
        <f t="shared" si="131"/>
        <v>-0.804772967019748</v>
      </c>
      <c r="H240" s="59">
        <f>(H235-(J235/12))/(J235/12)</f>
        <v>3.84932450600801</v>
      </c>
      <c r="I240" s="57">
        <f t="shared" si="132"/>
        <v>0.326101764890726</v>
      </c>
      <c r="J240" s="58">
        <f t="shared" si="132"/>
        <v>-0.0087394706815134</v>
      </c>
      <c r="K240" s="59">
        <v>1</v>
      </c>
    </row>
    <row r="241" ht="22.5" hidden="1" customHeight="1" spans="1:11">
      <c r="A241" s="60" t="s">
        <v>33</v>
      </c>
      <c r="B241" s="133" t="e">
        <f>#REF!-B230</f>
        <v>#REF!</v>
      </c>
      <c r="C241" s="62" t="e">
        <f>#REF!-C230</f>
        <v>#REF!</v>
      </c>
      <c r="D241" s="62" t="e">
        <f>#REF!-D230</f>
        <v>#REF!</v>
      </c>
      <c r="E241" s="62" t="e">
        <f>#REF!-E230</f>
        <v>#REF!</v>
      </c>
      <c r="F241" s="62" t="e">
        <f>#REF!-F230</f>
        <v>#REF!</v>
      </c>
      <c r="G241" s="62" t="e">
        <f>#REF!-G230</f>
        <v>#REF!</v>
      </c>
      <c r="H241" s="63" t="e">
        <f>#REF!-H230</f>
        <v>#REF!</v>
      </c>
      <c r="I241" s="61" t="e">
        <f>#REF!-I230</f>
        <v>#REF!</v>
      </c>
      <c r="J241" s="62" t="e">
        <f>#REF!-J230</f>
        <v>#REF!</v>
      </c>
      <c r="K241" s="63" t="e">
        <f>#REF!-K230</f>
        <v>#REF!</v>
      </c>
    </row>
    <row r="242" ht="22.5" hidden="1" customHeight="1" spans="1:11">
      <c r="A242" s="60" t="s">
        <v>34</v>
      </c>
      <c r="B242" s="133" t="e">
        <f>#REF!-B232</f>
        <v>#REF!</v>
      </c>
      <c r="C242" s="62" t="e">
        <f>#REF!-C232</f>
        <v>#REF!</v>
      </c>
      <c r="D242" s="62" t="e">
        <f>#REF!-D232</f>
        <v>#REF!</v>
      </c>
      <c r="E242" s="62" t="e">
        <f>#REF!-E232</f>
        <v>#REF!</v>
      </c>
      <c r="F242" s="62" t="e">
        <f>#REF!-F232</f>
        <v>#REF!</v>
      </c>
      <c r="G242" s="62" t="e">
        <f>#REF!-G232</f>
        <v>#REF!</v>
      </c>
      <c r="H242" s="63" t="e">
        <f>#REF!-H232</f>
        <v>#REF!</v>
      </c>
      <c r="I242" s="61" t="e">
        <f>#REF!-I232</f>
        <v>#REF!</v>
      </c>
      <c r="J242" s="62" t="e">
        <f>#REF!-J232</f>
        <v>#REF!</v>
      </c>
      <c r="K242" s="63" t="e">
        <f>#REF!-K232</f>
        <v>#REF!</v>
      </c>
    </row>
    <row r="243" ht="22.5" customHeight="1" spans="1:11">
      <c r="A243" s="29" t="s">
        <v>22</v>
      </c>
      <c r="B243" s="115">
        <f t="shared" ref="B243:H243" si="133">B229/B230</f>
        <v>2436964.11</v>
      </c>
      <c r="C243" s="31">
        <f t="shared" si="133"/>
        <v>2436964.11</v>
      </c>
      <c r="D243" s="31">
        <f t="shared" si="133"/>
        <v>2436964.11</v>
      </c>
      <c r="E243" s="31">
        <f t="shared" si="133"/>
        <v>2436964.11</v>
      </c>
      <c r="F243" s="31">
        <f t="shared" si="133"/>
        <v>1218482.055</v>
      </c>
      <c r="G243" s="31">
        <f t="shared" si="133"/>
        <v>1218482.055</v>
      </c>
      <c r="H243" s="32">
        <f t="shared" si="133"/>
        <v>2336964.11</v>
      </c>
      <c r="I243" s="30">
        <f>(I229/12)/I230</f>
        <v>1559476.92785714</v>
      </c>
      <c r="J243" s="31">
        <f>(J229/12)/J230</f>
        <v>539220.019265837</v>
      </c>
      <c r="K243" s="32">
        <f>(K229/12)/K230</f>
        <v>749510.705198342</v>
      </c>
    </row>
    <row r="244" ht="22.5" customHeight="1" spans="1:11">
      <c r="A244" s="29" t="s">
        <v>23</v>
      </c>
      <c r="B244" s="115">
        <f t="shared" ref="B244:H244" si="134">B229/B232</f>
        <v>2436964.11</v>
      </c>
      <c r="C244" s="31">
        <f t="shared" si="134"/>
        <v>2436964.11</v>
      </c>
      <c r="D244" s="31">
        <f t="shared" si="134"/>
        <v>2436964.11</v>
      </c>
      <c r="E244" s="31">
        <f t="shared" si="134"/>
        <v>2436964.11</v>
      </c>
      <c r="F244" s="31">
        <f t="shared" si="134"/>
        <v>1218482.055</v>
      </c>
      <c r="G244" s="31">
        <f t="shared" si="134"/>
        <v>1218482.055</v>
      </c>
      <c r="H244" s="32">
        <f t="shared" si="134"/>
        <v>2336964.11</v>
      </c>
      <c r="I244" s="30">
        <f>(I229/12)/I232</f>
        <v>1559476.92785714</v>
      </c>
      <c r="J244" s="31">
        <f>(J229/12)/J232</f>
        <v>539220.019265837</v>
      </c>
      <c r="K244" s="32">
        <f>(K229/12)/K232</f>
        <v>749510.705198342</v>
      </c>
    </row>
    <row r="245" ht="22.5" customHeight="1" spans="1:11">
      <c r="A245" s="29" t="s">
        <v>24</v>
      </c>
      <c r="B245" s="117">
        <f t="shared" ref="B245:K245" si="135">B229/B228</f>
        <v>0.00123784368739197</v>
      </c>
      <c r="C245" s="38">
        <f t="shared" si="135"/>
        <v>0.00123784368739197</v>
      </c>
      <c r="D245" s="38">
        <f t="shared" si="135"/>
        <v>0.000618921843695983</v>
      </c>
      <c r="E245" s="38">
        <f t="shared" si="135"/>
        <v>0.000379429482561316</v>
      </c>
      <c r="F245" s="38">
        <f t="shared" si="135"/>
        <v>0.000240338746669525</v>
      </c>
      <c r="G245" s="38">
        <f t="shared" si="135"/>
        <v>0.000629836085902889</v>
      </c>
      <c r="H245" s="39">
        <f t="shared" si="135"/>
        <v>0.000235830731847843</v>
      </c>
      <c r="I245" s="37">
        <f t="shared" si="135"/>
        <v>0.000575481946490105</v>
      </c>
      <c r="J245" s="38">
        <f t="shared" si="135"/>
        <v>0.0002638733986071</v>
      </c>
      <c r="K245" s="39">
        <f t="shared" si="135"/>
        <v>0.000363576041439366</v>
      </c>
    </row>
    <row r="246" ht="22.5" customHeight="1" spans="1:11">
      <c r="A246" s="47" t="s">
        <v>25</v>
      </c>
      <c r="B246" s="118">
        <f t="shared" ref="B246:G247" si="136">(B229-C229)/C229</f>
        <v>0</v>
      </c>
      <c r="C246" s="49">
        <f t="shared" si="136"/>
        <v>1</v>
      </c>
      <c r="D246" s="49">
        <f t="shared" si="136"/>
        <v>0</v>
      </c>
      <c r="E246" s="49">
        <f t="shared" si="136"/>
        <v>0</v>
      </c>
      <c r="F246" s="49">
        <f t="shared" si="136"/>
        <v>0</v>
      </c>
      <c r="G246" s="49">
        <f t="shared" si="136"/>
        <v>0.042790558730489</v>
      </c>
      <c r="H246" s="50">
        <f>((H229)-(J229/12))/(J229/12)</f>
        <v>1.16698567050778</v>
      </c>
      <c r="I246" s="73">
        <f>(I229-K229)/K229</f>
        <v>3.16131995724987</v>
      </c>
      <c r="J246" s="49">
        <f>(J229-K229)/K229</f>
        <v>0.438858752853022</v>
      </c>
      <c r="K246" s="50">
        <v>0</v>
      </c>
    </row>
    <row r="247" ht="22.5" customHeight="1" spans="1:11">
      <c r="A247" s="47" t="s">
        <v>26</v>
      </c>
      <c r="B247" s="118">
        <f t="shared" si="136"/>
        <v>0</v>
      </c>
      <c r="C247" s="48">
        <f t="shared" si="136"/>
        <v>1</v>
      </c>
      <c r="D247" s="48">
        <f t="shared" si="136"/>
        <v>0</v>
      </c>
      <c r="E247" s="48">
        <f t="shared" si="136"/>
        <v>-0.5</v>
      </c>
      <c r="F247" s="48">
        <f t="shared" si="136"/>
        <v>0</v>
      </c>
      <c r="G247" s="48">
        <f t="shared" si="136"/>
        <v>1</v>
      </c>
      <c r="H247" s="48">
        <f>(H230-J230)/J230</f>
        <v>-0.5</v>
      </c>
      <c r="I247" s="73">
        <f>(I230-K230)/K230</f>
        <v>1</v>
      </c>
      <c r="J247" s="48">
        <f>(J230-K230)/K230</f>
        <v>1</v>
      </c>
      <c r="K247" s="51">
        <v>0</v>
      </c>
    </row>
    <row r="248" ht="22.5" customHeight="1" spans="1:11">
      <c r="A248" s="52" t="s">
        <v>27</v>
      </c>
      <c r="B248" s="119">
        <f t="shared" ref="B248:G248" si="137">(B228-C228)/C228</f>
        <v>0</v>
      </c>
      <c r="C248" s="54">
        <f t="shared" si="137"/>
        <v>0</v>
      </c>
      <c r="D248" s="54">
        <f t="shared" si="137"/>
        <v>-0.386950894646896</v>
      </c>
      <c r="E248" s="54">
        <f t="shared" si="137"/>
        <v>-0.366578619439027</v>
      </c>
      <c r="F248" s="54">
        <f t="shared" si="137"/>
        <v>1.62061816761048</v>
      </c>
      <c r="G248" s="54">
        <f t="shared" si="137"/>
        <v>-0.609545934039496</v>
      </c>
      <c r="H248" s="55">
        <f>(H228*12-J228)/J228</f>
        <v>1.424662253004</v>
      </c>
      <c r="I248" s="84">
        <f>(I228-K228)/K228</f>
        <v>1.62902467479152</v>
      </c>
      <c r="J248" s="54">
        <f>(J228-K228)/K228</f>
        <v>0.982521058636973</v>
      </c>
      <c r="K248" s="55">
        <v>1</v>
      </c>
    </row>
    <row r="249" s="8" customFormat="1" ht="8.25" customHeight="1"/>
    <row r="250" s="8" customFormat="1" ht="8.25" customHeight="1"/>
    <row r="251" ht="22.5" customHeight="1"/>
    <row r="252" ht="22.5" customHeight="1" spans="1:11">
      <c r="A252" s="9" t="s">
        <v>0</v>
      </c>
      <c r="B252" s="10" t="s">
        <v>1</v>
      </c>
      <c r="C252" s="11" t="s">
        <v>2</v>
      </c>
      <c r="D252" s="11" t="s">
        <v>3</v>
      </c>
      <c r="E252" s="11" t="s">
        <v>4</v>
      </c>
      <c r="F252" s="11" t="s">
        <v>5</v>
      </c>
      <c r="G252" s="11" t="s">
        <v>6</v>
      </c>
      <c r="H252" s="44" t="s">
        <v>7</v>
      </c>
      <c r="I252" s="10" t="s">
        <v>8</v>
      </c>
      <c r="J252" s="11" t="s">
        <v>9</v>
      </c>
      <c r="K252" s="44" t="s">
        <v>10</v>
      </c>
    </row>
    <row r="253" ht="22.5" customHeight="1" spans="1:11">
      <c r="A253" s="13" t="s">
        <v>56</v>
      </c>
      <c r="B253" s="14" t="str">
        <f>TEXT("7/1/2024","mmm-yy")</f>
        <v>Jul-24</v>
      </c>
      <c r="C253" s="14" t="str">
        <f>TEXT("6/1/2024","mmm-yy")</f>
        <v>Jun-24</v>
      </c>
      <c r="D253" s="14" t="str">
        <f>TEXT("5/1/2024","mmm-yy")</f>
        <v>May-24</v>
      </c>
      <c r="E253" s="14" t="str">
        <f>TEXT("4/1/2024","mmm-yy")</f>
        <v>Apr-24</v>
      </c>
      <c r="F253" s="14" t="str">
        <f>TEXT("3/1/2024","mmm-yy")</f>
        <v>Mar-24</v>
      </c>
      <c r="G253" s="14" t="str">
        <f>TEXT("2/1/2024","mmm-yy")</f>
        <v>Feb-24</v>
      </c>
      <c r="H253" s="14" t="str">
        <f>TEXT("1/1/2024","mmm-yy")</f>
        <v>Jan-24</v>
      </c>
      <c r="I253" s="64">
        <f>YEAR(DATE(2024,12,1))</f>
        <v>2024</v>
      </c>
      <c r="J253" s="64">
        <f>YEAR(DATE(2023,12,1))</f>
        <v>2023</v>
      </c>
      <c r="K253" s="64">
        <f>YEAR(DATE(2022,12,1))</f>
        <v>2022</v>
      </c>
    </row>
    <row r="254" ht="22.5" customHeight="1" spans="1:11">
      <c r="A254" s="15" t="s">
        <v>12</v>
      </c>
      <c r="B254" s="111">
        <v>4589383471.0684</v>
      </c>
      <c r="C254" s="17">
        <v>4589383471.0684</v>
      </c>
      <c r="D254" s="17">
        <v>4589383471.0684</v>
      </c>
      <c r="E254" s="17">
        <v>7483663768.0475</v>
      </c>
      <c r="F254" s="17">
        <v>12129935081.1616</v>
      </c>
      <c r="G254" s="17">
        <v>6091882493.1284</v>
      </c>
      <c r="H254" s="18">
        <v>10310073086.6424</v>
      </c>
      <c r="I254" s="16">
        <v>76809144613.657</v>
      </c>
      <c r="J254" s="17">
        <v>57762371340.9557</v>
      </c>
      <c r="K254" s="18">
        <v>31539606128.3082</v>
      </c>
    </row>
    <row r="255" ht="22.5" customHeight="1" spans="1:11">
      <c r="A255" s="15" t="s">
        <v>13</v>
      </c>
      <c r="B255" s="45">
        <f>C255</f>
        <v>5850799.84</v>
      </c>
      <c r="C255" s="45">
        <f>D255</f>
        <v>5850799.84</v>
      </c>
      <c r="D255" s="45">
        <v>5850799.84</v>
      </c>
      <c r="E255" s="45">
        <v>5850799.84</v>
      </c>
      <c r="F255" s="45">
        <v>5850799.84</v>
      </c>
      <c r="G255" s="45">
        <v>5850799.84</v>
      </c>
      <c r="H255" s="45">
        <v>5250799.84</v>
      </c>
      <c r="I255" s="56">
        <f>AVERAGE(B255:H255)*12</f>
        <v>69181026.6514286</v>
      </c>
      <c r="J255" s="45">
        <v>12941280.4623801</v>
      </c>
      <c r="K255" s="46">
        <v>8994128.4623801</v>
      </c>
    </row>
    <row r="256" ht="22.5" customHeight="1" spans="1:11">
      <c r="A256" s="22" t="s">
        <v>14</v>
      </c>
      <c r="B256" s="24">
        <v>4</v>
      </c>
      <c r="C256" s="24">
        <v>4</v>
      </c>
      <c r="D256" s="25">
        <v>4</v>
      </c>
      <c r="E256" s="25">
        <v>3</v>
      </c>
      <c r="F256" s="25">
        <v>3</v>
      </c>
      <c r="G256" s="25">
        <v>2</v>
      </c>
      <c r="H256" s="24">
        <v>2</v>
      </c>
      <c r="I256" s="23">
        <f>MAX(B256:H256)</f>
        <v>4</v>
      </c>
      <c r="J256" s="24">
        <v>4</v>
      </c>
      <c r="K256" s="83">
        <v>4</v>
      </c>
    </row>
    <row r="257" ht="22.5" customHeight="1" spans="1:11">
      <c r="A257" s="22" t="s">
        <v>15</v>
      </c>
      <c r="B257" s="24">
        <v>2</v>
      </c>
      <c r="C257" s="24">
        <v>2</v>
      </c>
      <c r="D257" s="3">
        <v>2</v>
      </c>
      <c r="E257" s="3">
        <v>2</v>
      </c>
      <c r="F257" s="3">
        <v>2</v>
      </c>
      <c r="G257" s="3">
        <v>2</v>
      </c>
      <c r="H257" s="24">
        <v>2</v>
      </c>
      <c r="I257" s="23">
        <f>MIN(B257:H257)</f>
        <v>2</v>
      </c>
      <c r="J257" s="24">
        <v>2</v>
      </c>
      <c r="K257" s="83">
        <v>2</v>
      </c>
    </row>
    <row r="258" ht="22.5" customHeight="1" spans="1:11">
      <c r="A258" s="22" t="s">
        <v>16</v>
      </c>
      <c r="B258" s="25">
        <f t="shared" ref="B258:K258" si="138">B257+B256</f>
        <v>6</v>
      </c>
      <c r="C258" s="25">
        <f t="shared" si="138"/>
        <v>6</v>
      </c>
      <c r="D258" s="25">
        <f t="shared" si="138"/>
        <v>6</v>
      </c>
      <c r="E258" s="25">
        <f t="shared" si="138"/>
        <v>5</v>
      </c>
      <c r="F258" s="25">
        <f t="shared" si="138"/>
        <v>5</v>
      </c>
      <c r="G258" s="25">
        <f t="shared" si="138"/>
        <v>4</v>
      </c>
      <c r="H258" s="25">
        <f t="shared" si="138"/>
        <v>4</v>
      </c>
      <c r="I258" s="23">
        <f t="shared" si="138"/>
        <v>6</v>
      </c>
      <c r="J258" s="24">
        <f t="shared" si="138"/>
        <v>6</v>
      </c>
      <c r="K258" s="83">
        <f t="shared" si="138"/>
        <v>6</v>
      </c>
    </row>
    <row r="259" ht="22.5" customHeight="1" spans="1:11">
      <c r="A259" s="29" t="s">
        <v>17</v>
      </c>
      <c r="B259" s="30">
        <f t="shared" ref="B259:K259" si="139">B254/B256</f>
        <v>1147345867.7671</v>
      </c>
      <c r="C259" s="31">
        <f t="shared" si="139"/>
        <v>1147345867.7671</v>
      </c>
      <c r="D259" s="31">
        <f t="shared" si="139"/>
        <v>1147345867.7671</v>
      </c>
      <c r="E259" s="31">
        <f t="shared" si="139"/>
        <v>2494554589.34917</v>
      </c>
      <c r="F259" s="31">
        <f t="shared" si="139"/>
        <v>4043311693.72053</v>
      </c>
      <c r="G259" s="31">
        <f t="shared" si="139"/>
        <v>3045941246.5642</v>
      </c>
      <c r="H259" s="32">
        <f t="shared" si="139"/>
        <v>5155036543.3212</v>
      </c>
      <c r="I259" s="30">
        <f t="shared" si="139"/>
        <v>19202286153.4142</v>
      </c>
      <c r="J259" s="31">
        <f t="shared" si="139"/>
        <v>14440592835.2389</v>
      </c>
      <c r="K259" s="32">
        <f t="shared" si="139"/>
        <v>7884901532.07705</v>
      </c>
    </row>
    <row r="260" ht="22.5" customHeight="1" spans="1:11">
      <c r="A260" s="29" t="s">
        <v>18</v>
      </c>
      <c r="B260" s="30">
        <f t="shared" ref="B260:K260" si="140">B254/B257</f>
        <v>2294691735.5342</v>
      </c>
      <c r="C260" s="31">
        <f t="shared" si="140"/>
        <v>2294691735.5342</v>
      </c>
      <c r="D260" s="31">
        <f t="shared" si="140"/>
        <v>2294691735.5342</v>
      </c>
      <c r="E260" s="31">
        <f t="shared" si="140"/>
        <v>3741831884.02375</v>
      </c>
      <c r="F260" s="31">
        <f t="shared" si="140"/>
        <v>6064967540.5808</v>
      </c>
      <c r="G260" s="31">
        <f t="shared" si="140"/>
        <v>3045941246.5642</v>
      </c>
      <c r="H260" s="32">
        <f t="shared" si="140"/>
        <v>5155036543.3212</v>
      </c>
      <c r="I260" s="30">
        <f t="shared" si="140"/>
        <v>38404572306.8285</v>
      </c>
      <c r="J260" s="31">
        <f t="shared" si="140"/>
        <v>28881185670.4779</v>
      </c>
      <c r="K260" s="32">
        <f t="shared" si="140"/>
        <v>15769803064.1541</v>
      </c>
    </row>
    <row r="261" ht="22.5" customHeight="1" spans="1:11">
      <c r="A261" s="29" t="s">
        <v>19</v>
      </c>
      <c r="B261" s="30">
        <f t="shared" ref="B261:K261" si="141">B254/B258</f>
        <v>764897245.178067</v>
      </c>
      <c r="C261" s="31">
        <f t="shared" si="141"/>
        <v>764897245.178067</v>
      </c>
      <c r="D261" s="31">
        <f t="shared" si="141"/>
        <v>764897245.178067</v>
      </c>
      <c r="E261" s="31">
        <f t="shared" si="141"/>
        <v>1496732753.6095</v>
      </c>
      <c r="F261" s="31">
        <f t="shared" si="141"/>
        <v>2425987016.23232</v>
      </c>
      <c r="G261" s="31">
        <f t="shared" si="141"/>
        <v>1522970623.2821</v>
      </c>
      <c r="H261" s="32">
        <f t="shared" si="141"/>
        <v>2577518271.6606</v>
      </c>
      <c r="I261" s="30">
        <f t="shared" si="141"/>
        <v>12801524102.2762</v>
      </c>
      <c r="J261" s="31">
        <f t="shared" si="141"/>
        <v>9627061890.15928</v>
      </c>
      <c r="K261" s="32">
        <f t="shared" si="141"/>
        <v>5256601021.3847</v>
      </c>
    </row>
    <row r="262" ht="22.5" customHeight="1" spans="1:11">
      <c r="A262" s="33" t="s">
        <v>20</v>
      </c>
      <c r="B262" s="34">
        <f>K259/12</f>
        <v>657075127.673087</v>
      </c>
      <c r="C262" s="35">
        <f t="shared" ref="C262:H262" si="142">$B$11</f>
        <v>17972193.7511488</v>
      </c>
      <c r="D262" s="35">
        <f t="shared" si="142"/>
        <v>17972193.7511488</v>
      </c>
      <c r="E262" s="35">
        <f t="shared" si="142"/>
        <v>17972193.7511488</v>
      </c>
      <c r="F262" s="35">
        <f t="shared" si="142"/>
        <v>17972193.7511488</v>
      </c>
      <c r="G262" s="35">
        <f t="shared" si="142"/>
        <v>17972193.7511488</v>
      </c>
      <c r="H262" s="36">
        <f t="shared" si="142"/>
        <v>17972193.7511488</v>
      </c>
      <c r="I262" s="34">
        <f>K259</f>
        <v>7884901532.07705</v>
      </c>
      <c r="J262" s="35">
        <f>I262</f>
        <v>7884901532.07705</v>
      </c>
      <c r="K262" s="36">
        <f>J262</f>
        <v>7884901532.07705</v>
      </c>
    </row>
    <row r="263" ht="22.5" customHeight="1" spans="1:11">
      <c r="A263" s="33" t="s">
        <v>21</v>
      </c>
      <c r="B263" s="34">
        <f>K261/12</f>
        <v>438050085.115392</v>
      </c>
      <c r="C263" s="35">
        <f t="shared" ref="C263:H263" si="143">$B$12</f>
        <v>7358342.35468873</v>
      </c>
      <c r="D263" s="35">
        <f t="shared" si="143"/>
        <v>7358342.35468873</v>
      </c>
      <c r="E263" s="35">
        <f t="shared" si="143"/>
        <v>7358342.35468873</v>
      </c>
      <c r="F263" s="35">
        <f t="shared" si="143"/>
        <v>7358342.35468873</v>
      </c>
      <c r="G263" s="35">
        <f t="shared" si="143"/>
        <v>7358342.35468873</v>
      </c>
      <c r="H263" s="36">
        <f t="shared" si="143"/>
        <v>7358342.35468873</v>
      </c>
      <c r="I263" s="34">
        <f>K261</f>
        <v>5256601021.3847</v>
      </c>
      <c r="J263" s="35">
        <f>I263</f>
        <v>5256601021.3847</v>
      </c>
      <c r="K263" s="36">
        <f>J263</f>
        <v>5256601021.3847</v>
      </c>
    </row>
    <row r="264" ht="22.5" customHeight="1" spans="1:11">
      <c r="A264" s="29" t="s">
        <v>22</v>
      </c>
      <c r="B264" s="30">
        <f t="shared" ref="B264:H264" si="144">B255/B256</f>
        <v>1462699.96</v>
      </c>
      <c r="C264" s="31">
        <f t="shared" si="144"/>
        <v>1462699.96</v>
      </c>
      <c r="D264" s="31">
        <f t="shared" si="144"/>
        <v>1462699.96</v>
      </c>
      <c r="E264" s="31">
        <f t="shared" si="144"/>
        <v>1950266.61333333</v>
      </c>
      <c r="F264" s="31">
        <f t="shared" si="144"/>
        <v>1950266.61333333</v>
      </c>
      <c r="G264" s="31">
        <f t="shared" si="144"/>
        <v>2925399.92</v>
      </c>
      <c r="H264" s="32">
        <f t="shared" si="144"/>
        <v>2625399.92</v>
      </c>
      <c r="I264" s="30">
        <f>(I255/12)/I256</f>
        <v>1441271.38857143</v>
      </c>
      <c r="J264" s="31">
        <f>(J255/12)/J256</f>
        <v>269610.009632919</v>
      </c>
      <c r="K264" s="32">
        <f>(K255/12)/K256</f>
        <v>187377.676299585</v>
      </c>
    </row>
    <row r="265" ht="22.5" customHeight="1" spans="1:11">
      <c r="A265" s="29" t="s">
        <v>23</v>
      </c>
      <c r="B265" s="30">
        <f t="shared" ref="B265:H265" si="145">B255/B258</f>
        <v>975133.306666667</v>
      </c>
      <c r="C265" s="31">
        <f t="shared" si="145"/>
        <v>975133.306666667</v>
      </c>
      <c r="D265" s="31">
        <f t="shared" si="145"/>
        <v>975133.306666667</v>
      </c>
      <c r="E265" s="31">
        <f t="shared" si="145"/>
        <v>1170159.968</v>
      </c>
      <c r="F265" s="31">
        <f t="shared" si="145"/>
        <v>1170159.968</v>
      </c>
      <c r="G265" s="31">
        <f t="shared" si="145"/>
        <v>1462699.96</v>
      </c>
      <c r="H265" s="32">
        <f t="shared" si="145"/>
        <v>1312699.96</v>
      </c>
      <c r="I265" s="30">
        <f>(I255/12)/I258</f>
        <v>960847.592380952</v>
      </c>
      <c r="J265" s="31">
        <f>(J255/12)/J258</f>
        <v>179740.006421946</v>
      </c>
      <c r="K265" s="32">
        <f>(K255/12)/K258</f>
        <v>124918.45086639</v>
      </c>
    </row>
    <row r="266" ht="22.5" customHeight="1" spans="1:11">
      <c r="A266" s="29" t="s">
        <v>24</v>
      </c>
      <c r="B266" s="37">
        <f t="shared" ref="B266:K266" si="146">B255/B254</f>
        <v>0.00127485529960257</v>
      </c>
      <c r="C266" s="38">
        <f t="shared" si="146"/>
        <v>0.00127485529960257</v>
      </c>
      <c r="D266" s="38">
        <f t="shared" si="146"/>
        <v>0.00127485529960257</v>
      </c>
      <c r="E266" s="38">
        <f t="shared" si="146"/>
        <v>0.000781809554964344</v>
      </c>
      <c r="F266" s="38">
        <f t="shared" si="146"/>
        <v>0.00048234387083296</v>
      </c>
      <c r="G266" s="38">
        <f t="shared" si="146"/>
        <v>0.000960425590381899</v>
      </c>
      <c r="H266" s="39">
        <f t="shared" si="146"/>
        <v>0.000509288323746499</v>
      </c>
      <c r="I266" s="37">
        <f t="shared" si="146"/>
        <v>0.000900687372570061</v>
      </c>
      <c r="J266" s="38">
        <f t="shared" si="146"/>
        <v>0.000224043441464534</v>
      </c>
      <c r="K266" s="39">
        <f t="shared" si="146"/>
        <v>0.000285169333624223</v>
      </c>
    </row>
    <row r="267" ht="22.5" customHeight="1" spans="1:11">
      <c r="A267" s="47" t="s">
        <v>25</v>
      </c>
      <c r="B267" s="48">
        <f t="shared" ref="B267:G268" si="147">(B255-C255)/C255</f>
        <v>0</v>
      </c>
      <c r="C267" s="49">
        <f t="shared" si="147"/>
        <v>0</v>
      </c>
      <c r="D267" s="49">
        <f t="shared" si="147"/>
        <v>0</v>
      </c>
      <c r="E267" s="49">
        <f t="shared" si="147"/>
        <v>0</v>
      </c>
      <c r="F267" s="49">
        <f t="shared" si="147"/>
        <v>0</v>
      </c>
      <c r="G267" s="49">
        <f t="shared" si="147"/>
        <v>0.114268305454965</v>
      </c>
      <c r="H267" s="50">
        <f>((H255)-(J255/12))/(J255/12)</f>
        <v>3.86888436296292</v>
      </c>
      <c r="I267" s="73">
        <f>(I255-K255)/K255</f>
        <v>6.69179881528191</v>
      </c>
      <c r="J267" s="49">
        <f>(J255-K255)/K255</f>
        <v>0.438858752853022</v>
      </c>
      <c r="K267" s="50">
        <v>1</v>
      </c>
    </row>
    <row r="268" ht="22.5" customHeight="1" spans="1:11">
      <c r="A268" s="47" t="s">
        <v>26</v>
      </c>
      <c r="B268" s="48">
        <f t="shared" si="147"/>
        <v>0</v>
      </c>
      <c r="C268" s="48">
        <f t="shared" si="147"/>
        <v>0</v>
      </c>
      <c r="D268" s="48">
        <f t="shared" si="147"/>
        <v>0.333333333333333</v>
      </c>
      <c r="E268" s="48">
        <f t="shared" si="147"/>
        <v>0</v>
      </c>
      <c r="F268" s="48">
        <f t="shared" si="147"/>
        <v>0.5</v>
      </c>
      <c r="G268" s="48">
        <f t="shared" si="147"/>
        <v>0</v>
      </c>
      <c r="H268" s="48">
        <f>(H256-J256)/J256</f>
        <v>-0.5</v>
      </c>
      <c r="I268" s="73">
        <f>(I256-K256)/K256</f>
        <v>0</v>
      </c>
      <c r="J268" s="48">
        <f>(J256-K256)/K256</f>
        <v>0</v>
      </c>
      <c r="K268" s="51">
        <v>1</v>
      </c>
    </row>
    <row r="269" ht="22.5" customHeight="1" spans="1:11">
      <c r="A269" s="52" t="s">
        <v>27</v>
      </c>
      <c r="B269" s="53">
        <f t="shared" ref="B269:G269" si="148">(B254-C254)/C254</f>
        <v>0</v>
      </c>
      <c r="C269" s="54">
        <f t="shared" si="148"/>
        <v>0</v>
      </c>
      <c r="D269" s="54">
        <f t="shared" si="148"/>
        <v>-0.386746436863801</v>
      </c>
      <c r="E269" s="54">
        <f t="shared" si="148"/>
        <v>-0.383041729574464</v>
      </c>
      <c r="F269" s="54">
        <f t="shared" si="148"/>
        <v>0.99116366654217</v>
      </c>
      <c r="G269" s="54">
        <f t="shared" si="148"/>
        <v>-0.409132947755631</v>
      </c>
      <c r="H269" s="55">
        <f>(H254*12-J254)/J254</f>
        <v>1.14189400759567</v>
      </c>
      <c r="I269" s="84">
        <f>(I254-K254)/K254</f>
        <v>1.43532351993189</v>
      </c>
      <c r="J269" s="54">
        <f>(J254-K254)/K254</f>
        <v>0.831423357221681</v>
      </c>
      <c r="K269" s="55">
        <v>1</v>
      </c>
    </row>
    <row r="270" s="8" customFormat="1" ht="8.25" customHeight="1"/>
    <row r="271" s="8" customFormat="1" ht="8.25" customHeight="1"/>
    <row r="272" ht="22.5" customHeight="1" spans="1:11">
      <c r="A272" s="9" t="s">
        <v>0</v>
      </c>
      <c r="B272" s="10" t="s">
        <v>1</v>
      </c>
      <c r="C272" s="11" t="s">
        <v>2</v>
      </c>
      <c r="D272" s="11" t="s">
        <v>3</v>
      </c>
      <c r="E272" s="11" t="s">
        <v>4</v>
      </c>
      <c r="F272" s="11" t="s">
        <v>5</v>
      </c>
      <c r="G272" s="11" t="s">
        <v>6</v>
      </c>
      <c r="H272" s="44" t="s">
        <v>7</v>
      </c>
      <c r="I272" s="10" t="s">
        <v>8</v>
      </c>
      <c r="J272" s="11" t="s">
        <v>9</v>
      </c>
      <c r="K272" s="44" t="s">
        <v>10</v>
      </c>
    </row>
    <row r="273" ht="22.5" customHeight="1" spans="1:11">
      <c r="A273" s="13" t="s">
        <v>57</v>
      </c>
      <c r="B273" s="14" t="str">
        <f>TEXT("7/1/2024","mmm-yy")</f>
        <v>Jul-24</v>
      </c>
      <c r="C273" s="14" t="str">
        <f>TEXT("6/1/2024","mmm-yy")</f>
        <v>Jun-24</v>
      </c>
      <c r="D273" s="14" t="str">
        <f>TEXT("5/1/2024","mmm-yy")</f>
        <v>May-24</v>
      </c>
      <c r="E273" s="14" t="str">
        <f>TEXT("4/1/2024","mmm-yy")</f>
        <v>Apr-24</v>
      </c>
      <c r="F273" s="14" t="str">
        <f>TEXT("3/1/2024","mmm-yy")</f>
        <v>Mar-24</v>
      </c>
      <c r="G273" s="14" t="str">
        <f>TEXT("2/1/2024","mmm-yy")</f>
        <v>Feb-24</v>
      </c>
      <c r="H273" s="14" t="str">
        <f>TEXT("1/1/2024","mmm-yy")</f>
        <v>Jan-24</v>
      </c>
      <c r="I273" s="64">
        <f>YEAR(DATE(2024,12,1))</f>
        <v>2024</v>
      </c>
      <c r="J273" s="64">
        <f>YEAR(DATE(2023,12,1))</f>
        <v>2023</v>
      </c>
      <c r="K273" s="64">
        <f>YEAR(DATE(2022,12,1))</f>
        <v>2022</v>
      </c>
    </row>
    <row r="274" ht="22.5" customHeight="1" spans="1:11">
      <c r="A274" s="15" t="s">
        <v>12</v>
      </c>
      <c r="B274" s="111">
        <v>4589383471.0684</v>
      </c>
      <c r="C274" s="17">
        <v>4589383471.0684</v>
      </c>
      <c r="D274" s="17">
        <v>4589383471.0684</v>
      </c>
      <c r="E274" s="17">
        <v>7483663768.0475</v>
      </c>
      <c r="F274" s="17">
        <v>12129935081.1616</v>
      </c>
      <c r="G274" s="17">
        <v>6091882493.1284</v>
      </c>
      <c r="H274" s="18">
        <v>10310073086.6424</v>
      </c>
      <c r="I274" s="16">
        <v>76809144613.657</v>
      </c>
      <c r="J274" s="17">
        <v>57762371340.9557</v>
      </c>
      <c r="K274" s="18">
        <v>31539606128.3082</v>
      </c>
    </row>
    <row r="275" ht="22.5" customHeight="1" spans="1:11">
      <c r="A275" s="15" t="s">
        <v>13</v>
      </c>
      <c r="B275" s="45">
        <f>C275</f>
        <v>1282183.47</v>
      </c>
      <c r="C275" s="45">
        <f>D275</f>
        <v>1282183.47</v>
      </c>
      <c r="D275" s="45">
        <v>1282183.47</v>
      </c>
      <c r="E275" s="45">
        <v>1282183.47</v>
      </c>
      <c r="F275" s="45">
        <v>1282183.47</v>
      </c>
      <c r="G275" s="45">
        <v>1282183.47</v>
      </c>
      <c r="H275" s="45">
        <v>1282183.47</v>
      </c>
      <c r="I275" s="56">
        <f>AVERAGE(B275:H275)*12</f>
        <v>15386201.64</v>
      </c>
      <c r="J275" s="45">
        <v>18986201.64</v>
      </c>
      <c r="K275" s="46">
        <v>14986201.64</v>
      </c>
    </row>
    <row r="276" ht="22.5" customHeight="1" spans="1:11">
      <c r="A276" s="22" t="s">
        <v>14</v>
      </c>
      <c r="B276" s="24">
        <v>6</v>
      </c>
      <c r="C276" s="24">
        <v>6</v>
      </c>
      <c r="D276" s="25">
        <v>6</v>
      </c>
      <c r="E276" s="25">
        <v>6</v>
      </c>
      <c r="F276" s="25">
        <v>5</v>
      </c>
      <c r="G276" s="25">
        <v>5</v>
      </c>
      <c r="H276" s="24">
        <v>5</v>
      </c>
      <c r="I276" s="23">
        <f>MAX(B276:H276)</f>
        <v>6</v>
      </c>
      <c r="J276" s="24">
        <v>5</v>
      </c>
      <c r="K276" s="83">
        <v>5</v>
      </c>
    </row>
    <row r="277" ht="22.5" customHeight="1" spans="1:11">
      <c r="A277" s="22" t="s">
        <v>15</v>
      </c>
      <c r="B277" s="24">
        <v>1</v>
      </c>
      <c r="C277" s="24">
        <v>1</v>
      </c>
      <c r="D277" s="3">
        <v>2</v>
      </c>
      <c r="E277" s="3">
        <v>2</v>
      </c>
      <c r="F277" s="3">
        <v>2</v>
      </c>
      <c r="G277" s="3">
        <v>2</v>
      </c>
      <c r="H277" s="24">
        <v>2</v>
      </c>
      <c r="I277" s="23">
        <f>MIN(B277:H277)</f>
        <v>1</v>
      </c>
      <c r="J277" s="24">
        <v>2</v>
      </c>
      <c r="K277" s="83">
        <v>2</v>
      </c>
    </row>
    <row r="278" ht="22.5" customHeight="1" spans="1:11">
      <c r="A278" s="22" t="s">
        <v>16</v>
      </c>
      <c r="B278" s="25">
        <f t="shared" ref="B278:K278" si="149">B277+B276</f>
        <v>7</v>
      </c>
      <c r="C278" s="25">
        <f t="shared" si="149"/>
        <v>7</v>
      </c>
      <c r="D278" s="25">
        <f t="shared" si="149"/>
        <v>8</v>
      </c>
      <c r="E278" s="25">
        <f t="shared" si="149"/>
        <v>8</v>
      </c>
      <c r="F278" s="25">
        <f t="shared" si="149"/>
        <v>7</v>
      </c>
      <c r="G278" s="25">
        <f t="shared" si="149"/>
        <v>7</v>
      </c>
      <c r="H278" s="25">
        <f t="shared" si="149"/>
        <v>7</v>
      </c>
      <c r="I278" s="23">
        <f t="shared" si="149"/>
        <v>7</v>
      </c>
      <c r="J278" s="24">
        <f t="shared" si="149"/>
        <v>7</v>
      </c>
      <c r="K278" s="83">
        <f t="shared" si="149"/>
        <v>7</v>
      </c>
    </row>
    <row r="279" ht="22.5" customHeight="1" spans="1:11">
      <c r="A279" s="29" t="s">
        <v>17</v>
      </c>
      <c r="B279" s="30">
        <f t="shared" ref="B279:K279" si="150">B274/B276</f>
        <v>764897245.178067</v>
      </c>
      <c r="C279" s="31">
        <f t="shared" si="150"/>
        <v>764897245.178067</v>
      </c>
      <c r="D279" s="31">
        <f t="shared" si="150"/>
        <v>764897245.178067</v>
      </c>
      <c r="E279" s="31">
        <f t="shared" si="150"/>
        <v>1247277294.67458</v>
      </c>
      <c r="F279" s="31">
        <f t="shared" si="150"/>
        <v>2425987016.23232</v>
      </c>
      <c r="G279" s="31">
        <f t="shared" si="150"/>
        <v>1218376498.62568</v>
      </c>
      <c r="H279" s="32">
        <f t="shared" si="150"/>
        <v>2062014617.32848</v>
      </c>
      <c r="I279" s="30">
        <f t="shared" si="150"/>
        <v>12801524102.2762</v>
      </c>
      <c r="J279" s="31">
        <f t="shared" si="150"/>
        <v>11552474268.1911</v>
      </c>
      <c r="K279" s="32">
        <f t="shared" si="150"/>
        <v>6307921225.66164</v>
      </c>
    </row>
    <row r="280" ht="22.5" customHeight="1" spans="1:11">
      <c r="A280" s="29" t="s">
        <v>18</v>
      </c>
      <c r="B280" s="30">
        <f t="shared" ref="B280:K280" si="151">B274/B277</f>
        <v>4589383471.0684</v>
      </c>
      <c r="C280" s="31">
        <f t="shared" si="151"/>
        <v>4589383471.0684</v>
      </c>
      <c r="D280" s="31">
        <f t="shared" si="151"/>
        <v>2294691735.5342</v>
      </c>
      <c r="E280" s="31">
        <f t="shared" si="151"/>
        <v>3741831884.02375</v>
      </c>
      <c r="F280" s="31">
        <f t="shared" si="151"/>
        <v>6064967540.5808</v>
      </c>
      <c r="G280" s="31">
        <f t="shared" si="151"/>
        <v>3045941246.5642</v>
      </c>
      <c r="H280" s="32">
        <f t="shared" si="151"/>
        <v>5155036543.3212</v>
      </c>
      <c r="I280" s="30">
        <f t="shared" si="151"/>
        <v>76809144613.657</v>
      </c>
      <c r="J280" s="31">
        <f t="shared" si="151"/>
        <v>28881185670.4779</v>
      </c>
      <c r="K280" s="32">
        <f t="shared" si="151"/>
        <v>15769803064.1541</v>
      </c>
    </row>
    <row r="281" ht="22.5" customHeight="1" spans="1:11">
      <c r="A281" s="29" t="s">
        <v>19</v>
      </c>
      <c r="B281" s="30">
        <f t="shared" ref="B281:K281" si="152">B274/B278</f>
        <v>655626210.152629</v>
      </c>
      <c r="C281" s="31">
        <f t="shared" si="152"/>
        <v>655626210.152629</v>
      </c>
      <c r="D281" s="31">
        <f t="shared" si="152"/>
        <v>573672933.88355</v>
      </c>
      <c r="E281" s="31">
        <f t="shared" si="152"/>
        <v>935457971.005937</v>
      </c>
      <c r="F281" s="31">
        <f t="shared" si="152"/>
        <v>1732847868.73737</v>
      </c>
      <c r="G281" s="31">
        <f t="shared" si="152"/>
        <v>870268927.589771</v>
      </c>
      <c r="H281" s="32">
        <f t="shared" si="152"/>
        <v>1472867583.80606</v>
      </c>
      <c r="I281" s="30">
        <f t="shared" si="152"/>
        <v>10972734944.8081</v>
      </c>
      <c r="J281" s="31">
        <f t="shared" si="152"/>
        <v>8251767334.42224</v>
      </c>
      <c r="K281" s="32">
        <f t="shared" si="152"/>
        <v>4505658018.32974</v>
      </c>
    </row>
    <row r="282" ht="22.5" customHeight="1" spans="1:11">
      <c r="A282" s="33" t="s">
        <v>20</v>
      </c>
      <c r="B282" s="34">
        <f>K279/12</f>
        <v>525660102.13847</v>
      </c>
      <c r="C282" s="35">
        <f t="shared" ref="C282:H282" si="153">$B$11</f>
        <v>17972193.7511488</v>
      </c>
      <c r="D282" s="35">
        <f t="shared" si="153"/>
        <v>17972193.7511488</v>
      </c>
      <c r="E282" s="35">
        <f t="shared" si="153"/>
        <v>17972193.7511488</v>
      </c>
      <c r="F282" s="35">
        <f t="shared" si="153"/>
        <v>17972193.7511488</v>
      </c>
      <c r="G282" s="35">
        <f t="shared" si="153"/>
        <v>17972193.7511488</v>
      </c>
      <c r="H282" s="36">
        <f t="shared" si="153"/>
        <v>17972193.7511488</v>
      </c>
      <c r="I282" s="34">
        <f>K279</f>
        <v>6307921225.66164</v>
      </c>
      <c r="J282" s="35">
        <f>I282</f>
        <v>6307921225.66164</v>
      </c>
      <c r="K282" s="36">
        <f>J282</f>
        <v>6307921225.66164</v>
      </c>
    </row>
    <row r="283" ht="22.5" customHeight="1" spans="1:11">
      <c r="A283" s="33" t="s">
        <v>21</v>
      </c>
      <c r="B283" s="34">
        <f>K281/12</f>
        <v>375471501.527479</v>
      </c>
      <c r="C283" s="35">
        <f t="shared" ref="C283:H283" si="154">$B$12</f>
        <v>7358342.35468873</v>
      </c>
      <c r="D283" s="35">
        <f t="shared" si="154"/>
        <v>7358342.35468873</v>
      </c>
      <c r="E283" s="35">
        <f t="shared" si="154"/>
        <v>7358342.35468873</v>
      </c>
      <c r="F283" s="35">
        <f t="shared" si="154"/>
        <v>7358342.35468873</v>
      </c>
      <c r="G283" s="35">
        <f t="shared" si="154"/>
        <v>7358342.35468873</v>
      </c>
      <c r="H283" s="36">
        <f t="shared" si="154"/>
        <v>7358342.35468873</v>
      </c>
      <c r="I283" s="34">
        <f>K281</f>
        <v>4505658018.32974</v>
      </c>
      <c r="J283" s="35">
        <f>I283</f>
        <v>4505658018.32974</v>
      </c>
      <c r="K283" s="36">
        <f>J283</f>
        <v>4505658018.32974</v>
      </c>
    </row>
    <row r="284" ht="22.5" customHeight="1" spans="1:11">
      <c r="A284" s="29" t="s">
        <v>22</v>
      </c>
      <c r="B284" s="30">
        <f t="shared" ref="B284:H284" si="155">B275/B276</f>
        <v>213697.245</v>
      </c>
      <c r="C284" s="31">
        <f t="shared" si="155"/>
        <v>213697.245</v>
      </c>
      <c r="D284" s="31">
        <f t="shared" si="155"/>
        <v>213697.245</v>
      </c>
      <c r="E284" s="31">
        <f t="shared" si="155"/>
        <v>213697.245</v>
      </c>
      <c r="F284" s="31">
        <f t="shared" si="155"/>
        <v>256436.694</v>
      </c>
      <c r="G284" s="31">
        <f t="shared" si="155"/>
        <v>256436.694</v>
      </c>
      <c r="H284" s="32">
        <f t="shared" si="155"/>
        <v>256436.694</v>
      </c>
      <c r="I284" s="30">
        <f>(I275/12)/I276</f>
        <v>213697.245</v>
      </c>
      <c r="J284" s="31">
        <f>(J275/12)/J276</f>
        <v>316436.694</v>
      </c>
      <c r="K284" s="32">
        <f>(K275/12)/K276</f>
        <v>249770.027333333</v>
      </c>
    </row>
    <row r="285" ht="22.5" customHeight="1" spans="1:11">
      <c r="A285" s="29" t="s">
        <v>23</v>
      </c>
      <c r="B285" s="30">
        <f t="shared" ref="B285:H285" si="156">B275/B278</f>
        <v>183169.067142857</v>
      </c>
      <c r="C285" s="31">
        <f t="shared" si="156"/>
        <v>183169.067142857</v>
      </c>
      <c r="D285" s="31">
        <f t="shared" si="156"/>
        <v>160272.93375</v>
      </c>
      <c r="E285" s="31">
        <f t="shared" si="156"/>
        <v>160272.93375</v>
      </c>
      <c r="F285" s="31">
        <f t="shared" si="156"/>
        <v>183169.067142857</v>
      </c>
      <c r="G285" s="31">
        <f t="shared" si="156"/>
        <v>183169.067142857</v>
      </c>
      <c r="H285" s="32">
        <f t="shared" si="156"/>
        <v>183169.067142857</v>
      </c>
      <c r="I285" s="30">
        <f>(I275/12)/I278</f>
        <v>183169.067142857</v>
      </c>
      <c r="J285" s="31">
        <f>(J275/12)/J278</f>
        <v>226026.21</v>
      </c>
      <c r="K285" s="32">
        <f>(K275/12)/K278</f>
        <v>178407.162380952</v>
      </c>
    </row>
    <row r="286" ht="22.5" customHeight="1" spans="1:11">
      <c r="A286" s="29" t="s">
        <v>24</v>
      </c>
      <c r="B286" s="37">
        <f t="shared" ref="B286:K286" si="157">B275/B274</f>
        <v>0.000279380330295544</v>
      </c>
      <c r="C286" s="38">
        <f t="shared" si="157"/>
        <v>0.000279380330295544</v>
      </c>
      <c r="D286" s="38">
        <f t="shared" si="157"/>
        <v>0.000279380330295544</v>
      </c>
      <c r="E286" s="38">
        <f t="shared" si="157"/>
        <v>0.00017133098302391</v>
      </c>
      <c r="F286" s="38">
        <f t="shared" si="157"/>
        <v>0.000105704066956739</v>
      </c>
      <c r="G286" s="38">
        <f t="shared" si="157"/>
        <v>0.000210474097529999</v>
      </c>
      <c r="H286" s="39">
        <f t="shared" si="157"/>
        <v>0.000124362209581344</v>
      </c>
      <c r="I286" s="37">
        <f t="shared" si="157"/>
        <v>0.000200317315306546</v>
      </c>
      <c r="J286" s="38">
        <f t="shared" si="157"/>
        <v>0.000328694982550657</v>
      </c>
      <c r="K286" s="39">
        <f t="shared" si="157"/>
        <v>0.000475155002856843</v>
      </c>
    </row>
    <row r="287" ht="22.5" customHeight="1" spans="1:11">
      <c r="A287" s="47" t="s">
        <v>25</v>
      </c>
      <c r="B287" s="48">
        <f t="shared" ref="B287:G288" si="158">(B275-C275)/C275</f>
        <v>0</v>
      </c>
      <c r="C287" s="49">
        <f t="shared" si="158"/>
        <v>0</v>
      </c>
      <c r="D287" s="49">
        <f t="shared" si="158"/>
        <v>0</v>
      </c>
      <c r="E287" s="49">
        <f t="shared" si="158"/>
        <v>0</v>
      </c>
      <c r="F287" s="49">
        <f t="shared" si="158"/>
        <v>0</v>
      </c>
      <c r="G287" s="49">
        <f t="shared" si="158"/>
        <v>0</v>
      </c>
      <c r="H287" s="50">
        <f>((H275)-(J275/12))/(J275/12)</f>
        <v>-0.189611385587286</v>
      </c>
      <c r="I287" s="73">
        <f>(I275-K275)/K275</f>
        <v>0.0266912196705235</v>
      </c>
      <c r="J287" s="49">
        <f>(J275-K275)/K275</f>
        <v>0.266912196705235</v>
      </c>
      <c r="K287" s="50">
        <v>0.25</v>
      </c>
    </row>
    <row r="288" ht="22.5" customHeight="1" spans="1:11">
      <c r="A288" s="47" t="s">
        <v>26</v>
      </c>
      <c r="B288" s="48">
        <f t="shared" si="158"/>
        <v>0</v>
      </c>
      <c r="C288" s="48">
        <f t="shared" si="158"/>
        <v>0</v>
      </c>
      <c r="D288" s="48">
        <f t="shared" si="158"/>
        <v>0</v>
      </c>
      <c r="E288" s="48">
        <f t="shared" si="158"/>
        <v>0.2</v>
      </c>
      <c r="F288" s="48">
        <f t="shared" si="158"/>
        <v>0</v>
      </c>
      <c r="G288" s="48">
        <f t="shared" si="158"/>
        <v>0</v>
      </c>
      <c r="H288" s="48">
        <f>(H276-J276)/J276</f>
        <v>0</v>
      </c>
      <c r="I288" s="73">
        <f>(I276-K276)/K276</f>
        <v>0.2</v>
      </c>
      <c r="J288" s="48">
        <f>(J276-K276)/K276</f>
        <v>0</v>
      </c>
      <c r="K288" s="51">
        <v>0.25</v>
      </c>
    </row>
    <row r="289" ht="22.5" customHeight="1" spans="1:11">
      <c r="A289" s="52" t="s">
        <v>27</v>
      </c>
      <c r="B289" s="53">
        <f t="shared" ref="B289:G289" si="159">(B274-C274)/C274</f>
        <v>0</v>
      </c>
      <c r="C289" s="54">
        <f t="shared" si="159"/>
        <v>0</v>
      </c>
      <c r="D289" s="54">
        <f t="shared" si="159"/>
        <v>-0.386746436863801</v>
      </c>
      <c r="E289" s="54">
        <f t="shared" si="159"/>
        <v>-0.383041729574464</v>
      </c>
      <c r="F289" s="54">
        <f t="shared" si="159"/>
        <v>0.99116366654217</v>
      </c>
      <c r="G289" s="54">
        <f t="shared" si="159"/>
        <v>-0.409132947755631</v>
      </c>
      <c r="H289" s="55">
        <f>(H274*12-J274)/J274</f>
        <v>1.14189400759567</v>
      </c>
      <c r="I289" s="84">
        <f>(I274-K274)/K274</f>
        <v>1.43532351993189</v>
      </c>
      <c r="J289" s="54">
        <f>(J274-K274)/K274</f>
        <v>0.831423357221681</v>
      </c>
      <c r="K289" s="55">
        <v>1</v>
      </c>
    </row>
    <row r="290" s="8" customFormat="1" ht="8.25" customHeight="1"/>
    <row r="291" s="8" customFormat="1" ht="8.25" customHeight="1"/>
    <row r="292" ht="22.5" customHeight="1" spans="1:11">
      <c r="A292" s="9" t="s">
        <v>0</v>
      </c>
      <c r="B292" s="10" t="s">
        <v>1</v>
      </c>
      <c r="C292" s="11" t="s">
        <v>2</v>
      </c>
      <c r="D292" s="11" t="s">
        <v>3</v>
      </c>
      <c r="E292" s="11" t="s">
        <v>4</v>
      </c>
      <c r="F292" s="11" t="s">
        <v>5</v>
      </c>
      <c r="G292" s="11" t="s">
        <v>6</v>
      </c>
      <c r="H292" s="44" t="s">
        <v>7</v>
      </c>
      <c r="I292" s="10" t="s">
        <v>8</v>
      </c>
      <c r="J292" s="11" t="s">
        <v>9</v>
      </c>
      <c r="K292" s="44" t="s">
        <v>10</v>
      </c>
    </row>
    <row r="293" ht="22.5" customHeight="1" spans="1:11">
      <c r="A293" s="13" t="s">
        <v>58</v>
      </c>
      <c r="B293" s="14" t="str">
        <f>TEXT("7/1/2024","mmm-yy")</f>
        <v>Jul-24</v>
      </c>
      <c r="C293" s="14" t="str">
        <f>TEXT("6/1/2024","mmm-yy")</f>
        <v>Jun-24</v>
      </c>
      <c r="D293" s="14" t="str">
        <f>TEXT("5/1/2024","mmm-yy")</f>
        <v>May-24</v>
      </c>
      <c r="E293" s="14" t="str">
        <f>TEXT("4/1/2024","mmm-yy")</f>
        <v>Apr-24</v>
      </c>
      <c r="F293" s="14" t="str">
        <f>TEXT("3/1/2024","mmm-yy")</f>
        <v>Mar-24</v>
      </c>
      <c r="G293" s="14" t="str">
        <f>TEXT("2/1/2024","mmm-yy")</f>
        <v>Feb-24</v>
      </c>
      <c r="H293" s="14" t="str">
        <f>TEXT("1/1/2024","mmm-yy")</f>
        <v>Jan-24</v>
      </c>
      <c r="I293" s="64">
        <f>YEAR(DATE(2024,12,1))</f>
        <v>2024</v>
      </c>
      <c r="J293" s="64">
        <f>YEAR(DATE(2023,12,1))</f>
        <v>2023</v>
      </c>
      <c r="K293" s="64">
        <f>YEAR(DATE(2022,12,1))</f>
        <v>2022</v>
      </c>
    </row>
    <row r="294" ht="22.5" customHeight="1" spans="1:11">
      <c r="A294" s="15" t="s">
        <v>12</v>
      </c>
      <c r="B294" s="17">
        <f t="shared" ref="B294:H294" si="160">B23</f>
        <v>3937434321.9934</v>
      </c>
      <c r="C294" s="17">
        <f t="shared" si="160"/>
        <v>3937434321.9934</v>
      </c>
      <c r="D294" s="17">
        <f t="shared" si="160"/>
        <v>3937434321.9934</v>
      </c>
      <c r="E294" s="17">
        <f t="shared" si="160"/>
        <v>6422706252.4225</v>
      </c>
      <c r="F294" s="17">
        <f t="shared" si="160"/>
        <v>10139705493.8916</v>
      </c>
      <c r="G294" s="17">
        <f t="shared" si="160"/>
        <v>3869203693.6984</v>
      </c>
      <c r="H294" s="17">
        <f t="shared" si="160"/>
        <v>9909497764.3024</v>
      </c>
      <c r="I294" s="16">
        <f>AVERAGE(B294:H294)*12*0.9</f>
        <v>65036699234.1696</v>
      </c>
      <c r="J294" s="17">
        <f>J23</f>
        <v>49043520607.5823</v>
      </c>
      <c r="K294" s="18">
        <f>K23</f>
        <v>24737956953.3051</v>
      </c>
    </row>
    <row r="295" ht="22.5" customHeight="1" spans="1:11">
      <c r="A295" s="15" t="s">
        <v>13</v>
      </c>
      <c r="B295" s="45">
        <f>C295</f>
        <v>3400000</v>
      </c>
      <c r="C295" s="45">
        <f>D295</f>
        <v>3400000</v>
      </c>
      <c r="D295" s="45">
        <v>3400000</v>
      </c>
      <c r="E295" s="45">
        <v>3400000</v>
      </c>
      <c r="F295" s="45">
        <v>3400000</v>
      </c>
      <c r="G295" s="45">
        <v>3400000</v>
      </c>
      <c r="H295" s="45">
        <v>3000000</v>
      </c>
      <c r="I295" s="56">
        <f>AVERAGE(B295:H295)*12</f>
        <v>40114285.7142857</v>
      </c>
      <c r="J295" s="45">
        <f>I295*0.7</f>
        <v>28080000</v>
      </c>
      <c r="K295" s="46">
        <f>J295</f>
        <v>28080000</v>
      </c>
    </row>
    <row r="296" ht="22.5" customHeight="1" spans="1:11">
      <c r="A296" s="22" t="s">
        <v>14</v>
      </c>
      <c r="B296" s="24">
        <v>3</v>
      </c>
      <c r="C296" s="24">
        <v>3</v>
      </c>
      <c r="D296" s="25">
        <v>3</v>
      </c>
      <c r="E296" s="25">
        <v>3</v>
      </c>
      <c r="F296" s="25">
        <v>3</v>
      </c>
      <c r="G296" s="25">
        <v>3</v>
      </c>
      <c r="H296" s="25">
        <v>2</v>
      </c>
      <c r="I296" s="23">
        <f>MAX(B296:H296)</f>
        <v>3</v>
      </c>
      <c r="J296" s="24">
        <v>3</v>
      </c>
      <c r="K296" s="83">
        <v>2</v>
      </c>
    </row>
    <row r="297" ht="22.5" customHeight="1" spans="1:11">
      <c r="A297" s="22" t="s">
        <v>15</v>
      </c>
      <c r="B297" s="24">
        <v>0</v>
      </c>
      <c r="C297" s="24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23">
        <f>MIN(B297:H297)</f>
        <v>0</v>
      </c>
      <c r="J297" s="24">
        <v>0</v>
      </c>
      <c r="K297" s="83">
        <v>0</v>
      </c>
    </row>
    <row r="298" ht="22.5" customHeight="1" spans="1:11">
      <c r="A298" s="22" t="s">
        <v>16</v>
      </c>
      <c r="B298" s="25">
        <f t="shared" ref="B298:K298" si="161">B297+B296</f>
        <v>3</v>
      </c>
      <c r="C298" s="25">
        <f t="shared" si="161"/>
        <v>3</v>
      </c>
      <c r="D298" s="25">
        <f t="shared" si="161"/>
        <v>3</v>
      </c>
      <c r="E298" s="25">
        <f t="shared" si="161"/>
        <v>3</v>
      </c>
      <c r="F298" s="25">
        <f t="shared" si="161"/>
        <v>3</v>
      </c>
      <c r="G298" s="25">
        <f t="shared" si="161"/>
        <v>3</v>
      </c>
      <c r="H298" s="25">
        <f t="shared" si="161"/>
        <v>2</v>
      </c>
      <c r="I298" s="23">
        <f t="shared" si="161"/>
        <v>3</v>
      </c>
      <c r="J298" s="24">
        <f t="shared" si="161"/>
        <v>3</v>
      </c>
      <c r="K298" s="83">
        <f t="shared" si="161"/>
        <v>2</v>
      </c>
    </row>
    <row r="299" ht="22.5" customHeight="1" spans="1:11">
      <c r="A299" s="29" t="s">
        <v>17</v>
      </c>
      <c r="B299" s="30">
        <f t="shared" ref="B299:K299" si="162">B294/B296</f>
        <v>1312478107.33113</v>
      </c>
      <c r="C299" s="31">
        <f t="shared" si="162"/>
        <v>1312478107.33113</v>
      </c>
      <c r="D299" s="31">
        <f t="shared" si="162"/>
        <v>1312478107.33113</v>
      </c>
      <c r="E299" s="31">
        <f t="shared" si="162"/>
        <v>2140902084.14083</v>
      </c>
      <c r="F299" s="31">
        <f t="shared" si="162"/>
        <v>3379901831.2972</v>
      </c>
      <c r="G299" s="31">
        <f t="shared" si="162"/>
        <v>1289734564.56613</v>
      </c>
      <c r="H299" s="32">
        <f t="shared" si="162"/>
        <v>4954748882.1512</v>
      </c>
      <c r="I299" s="30">
        <f t="shared" si="162"/>
        <v>21678899744.7232</v>
      </c>
      <c r="J299" s="31">
        <f t="shared" si="162"/>
        <v>16347840202.5274</v>
      </c>
      <c r="K299" s="32">
        <f t="shared" si="162"/>
        <v>12368978476.6525</v>
      </c>
    </row>
    <row r="300" ht="22.5" customHeight="1" spans="1:11">
      <c r="A300" s="29" t="s">
        <v>18</v>
      </c>
      <c r="B300" s="30" t="e">
        <f t="shared" ref="B300:K300" si="163">B294/B297</f>
        <v>#DIV/0!</v>
      </c>
      <c r="C300" s="31" t="e">
        <f t="shared" si="163"/>
        <v>#DIV/0!</v>
      </c>
      <c r="D300" s="31" t="e">
        <f t="shared" si="163"/>
        <v>#DIV/0!</v>
      </c>
      <c r="E300" s="31" t="e">
        <f t="shared" si="163"/>
        <v>#DIV/0!</v>
      </c>
      <c r="F300" s="31" t="e">
        <f t="shared" si="163"/>
        <v>#DIV/0!</v>
      </c>
      <c r="G300" s="31" t="e">
        <f t="shared" si="163"/>
        <v>#DIV/0!</v>
      </c>
      <c r="H300" s="32" t="e">
        <f t="shared" si="163"/>
        <v>#DIV/0!</v>
      </c>
      <c r="I300" s="30" t="e">
        <f t="shared" si="163"/>
        <v>#DIV/0!</v>
      </c>
      <c r="J300" s="31" t="e">
        <f t="shared" si="163"/>
        <v>#DIV/0!</v>
      </c>
      <c r="K300" s="32" t="e">
        <f t="shared" si="163"/>
        <v>#DIV/0!</v>
      </c>
    </row>
    <row r="301" ht="22.5" customHeight="1" spans="1:11">
      <c r="A301" s="29" t="s">
        <v>19</v>
      </c>
      <c r="B301" s="30">
        <f t="shared" ref="B301:K301" si="164">B294/B298</f>
        <v>1312478107.33113</v>
      </c>
      <c r="C301" s="31">
        <f t="shared" si="164"/>
        <v>1312478107.33113</v>
      </c>
      <c r="D301" s="31">
        <f t="shared" si="164"/>
        <v>1312478107.33113</v>
      </c>
      <c r="E301" s="31">
        <f t="shared" si="164"/>
        <v>2140902084.14083</v>
      </c>
      <c r="F301" s="31">
        <f t="shared" si="164"/>
        <v>3379901831.2972</v>
      </c>
      <c r="G301" s="31">
        <f t="shared" si="164"/>
        <v>1289734564.56613</v>
      </c>
      <c r="H301" s="32">
        <f t="shared" si="164"/>
        <v>4954748882.1512</v>
      </c>
      <c r="I301" s="30">
        <f t="shared" si="164"/>
        <v>21678899744.7232</v>
      </c>
      <c r="J301" s="31">
        <f t="shared" si="164"/>
        <v>16347840202.5274</v>
      </c>
      <c r="K301" s="32">
        <f t="shared" si="164"/>
        <v>12368978476.6525</v>
      </c>
    </row>
    <row r="302" ht="22.5" customHeight="1" spans="1:11">
      <c r="A302" s="33" t="s">
        <v>20</v>
      </c>
      <c r="B302" s="34">
        <f>K299/12</f>
        <v>1030748206.38771</v>
      </c>
      <c r="C302" s="35">
        <f t="shared" ref="C302:H302" si="165">$B$11</f>
        <v>17972193.7511488</v>
      </c>
      <c r="D302" s="35">
        <f t="shared" si="165"/>
        <v>17972193.7511488</v>
      </c>
      <c r="E302" s="35">
        <f t="shared" si="165"/>
        <v>17972193.7511488</v>
      </c>
      <c r="F302" s="35">
        <f t="shared" si="165"/>
        <v>17972193.7511488</v>
      </c>
      <c r="G302" s="35">
        <f t="shared" si="165"/>
        <v>17972193.7511488</v>
      </c>
      <c r="H302" s="36">
        <f t="shared" si="165"/>
        <v>17972193.7511488</v>
      </c>
      <c r="I302" s="34">
        <f>K299</f>
        <v>12368978476.6525</v>
      </c>
      <c r="J302" s="35">
        <f>I302</f>
        <v>12368978476.6525</v>
      </c>
      <c r="K302" s="36">
        <f>J302</f>
        <v>12368978476.6525</v>
      </c>
    </row>
    <row r="303" ht="22.5" customHeight="1" spans="1:11">
      <c r="A303" s="33" t="s">
        <v>21</v>
      </c>
      <c r="B303" s="34">
        <f>K301/12</f>
        <v>1030748206.38771</v>
      </c>
      <c r="C303" s="35">
        <f t="shared" ref="C303:H303" si="166">$B$12</f>
        <v>7358342.35468873</v>
      </c>
      <c r="D303" s="35">
        <f t="shared" si="166"/>
        <v>7358342.35468873</v>
      </c>
      <c r="E303" s="35">
        <f t="shared" si="166"/>
        <v>7358342.35468873</v>
      </c>
      <c r="F303" s="35">
        <f t="shared" si="166"/>
        <v>7358342.35468873</v>
      </c>
      <c r="G303" s="35">
        <f t="shared" si="166"/>
        <v>7358342.35468873</v>
      </c>
      <c r="H303" s="36">
        <f t="shared" si="166"/>
        <v>7358342.35468873</v>
      </c>
      <c r="I303" s="34">
        <f>K301</f>
        <v>12368978476.6525</v>
      </c>
      <c r="J303" s="35">
        <f>I303</f>
        <v>12368978476.6525</v>
      </c>
      <c r="K303" s="36">
        <f>J303</f>
        <v>12368978476.6525</v>
      </c>
    </row>
    <row r="304" ht="22.5" customHeight="1" spans="1:11">
      <c r="A304" s="29" t="s">
        <v>22</v>
      </c>
      <c r="B304" s="30">
        <f t="shared" ref="B304:H304" si="167">B295/B296</f>
        <v>1133333.33333333</v>
      </c>
      <c r="C304" s="31">
        <f t="shared" si="167"/>
        <v>1133333.33333333</v>
      </c>
      <c r="D304" s="31">
        <f t="shared" si="167"/>
        <v>1133333.33333333</v>
      </c>
      <c r="E304" s="31">
        <f t="shared" si="167"/>
        <v>1133333.33333333</v>
      </c>
      <c r="F304" s="31">
        <f t="shared" si="167"/>
        <v>1133333.33333333</v>
      </c>
      <c r="G304" s="31">
        <f t="shared" si="167"/>
        <v>1133333.33333333</v>
      </c>
      <c r="H304" s="32">
        <f t="shared" si="167"/>
        <v>1500000</v>
      </c>
      <c r="I304" s="30">
        <f>(I295/12)/I296</f>
        <v>1114285.71428571</v>
      </c>
      <c r="J304" s="31">
        <f>(J295/12)/J296</f>
        <v>780000</v>
      </c>
      <c r="K304" s="32">
        <f>(K295/12)/K296</f>
        <v>1170000</v>
      </c>
    </row>
    <row r="305" ht="22.5" customHeight="1" spans="1:11">
      <c r="A305" s="29" t="s">
        <v>23</v>
      </c>
      <c r="B305" s="30">
        <f t="shared" ref="B305:H305" si="168">B295/B298</f>
        <v>1133333.33333333</v>
      </c>
      <c r="C305" s="31">
        <f t="shared" si="168"/>
        <v>1133333.33333333</v>
      </c>
      <c r="D305" s="31">
        <f t="shared" si="168"/>
        <v>1133333.33333333</v>
      </c>
      <c r="E305" s="31">
        <f t="shared" si="168"/>
        <v>1133333.33333333</v>
      </c>
      <c r="F305" s="31">
        <f t="shared" si="168"/>
        <v>1133333.33333333</v>
      </c>
      <c r="G305" s="31">
        <f t="shared" si="168"/>
        <v>1133333.33333333</v>
      </c>
      <c r="H305" s="32">
        <f t="shared" si="168"/>
        <v>1500000</v>
      </c>
      <c r="I305" s="30">
        <f>(I295/12)/I298</f>
        <v>1114285.71428571</v>
      </c>
      <c r="J305" s="31">
        <f>(J295/12)/J298</f>
        <v>780000</v>
      </c>
      <c r="K305" s="32">
        <f>(K295/12)/K298</f>
        <v>1170000</v>
      </c>
    </row>
    <row r="306" ht="22.5" customHeight="1" spans="1:11">
      <c r="A306" s="29" t="s">
        <v>24</v>
      </c>
      <c r="B306" s="37">
        <f t="shared" ref="B306:K306" si="169">B295/B294</f>
        <v>0.00086350646689103</v>
      </c>
      <c r="C306" s="38">
        <f t="shared" si="169"/>
        <v>0.00086350646689103</v>
      </c>
      <c r="D306" s="38">
        <f t="shared" si="169"/>
        <v>0.00086350646689103</v>
      </c>
      <c r="E306" s="38">
        <f t="shared" si="169"/>
        <v>0.000529371866994166</v>
      </c>
      <c r="F306" s="38">
        <f t="shared" si="169"/>
        <v>0.000335315458821584</v>
      </c>
      <c r="G306" s="38">
        <f t="shared" si="169"/>
        <v>0.000878733783268487</v>
      </c>
      <c r="H306" s="39">
        <f t="shared" si="169"/>
        <v>0.00030273986344768</v>
      </c>
      <c r="I306" s="37">
        <f t="shared" si="169"/>
        <v>0.000616794612682467</v>
      </c>
      <c r="J306" s="38">
        <f t="shared" si="169"/>
        <v>0.000572552697117318</v>
      </c>
      <c r="K306" s="39">
        <f t="shared" si="169"/>
        <v>0.00113509777921448</v>
      </c>
    </row>
    <row r="307" ht="22.5" customHeight="1" spans="1:11">
      <c r="A307" s="47" t="s">
        <v>25</v>
      </c>
      <c r="B307" s="48">
        <f t="shared" ref="B307:G308" si="170">(B295-C295)/C295</f>
        <v>0</v>
      </c>
      <c r="C307" s="49">
        <f t="shared" si="170"/>
        <v>0</v>
      </c>
      <c r="D307" s="49">
        <f t="shared" si="170"/>
        <v>0</v>
      </c>
      <c r="E307" s="49">
        <f t="shared" si="170"/>
        <v>0</v>
      </c>
      <c r="F307" s="49">
        <f t="shared" si="170"/>
        <v>0</v>
      </c>
      <c r="G307" s="49">
        <f t="shared" si="170"/>
        <v>0.133333333333333</v>
      </c>
      <c r="H307" s="50">
        <f>((H295)-(J295/12))/(J295/12)</f>
        <v>0.282051282051282</v>
      </c>
      <c r="I307" s="73">
        <f>(I295-K295)/K295</f>
        <v>0.428571428571429</v>
      </c>
      <c r="J307" s="49">
        <f>(J295-K295)/K295</f>
        <v>0</v>
      </c>
      <c r="K307" s="50">
        <v>0</v>
      </c>
    </row>
    <row r="308" ht="22.5" customHeight="1" spans="1:11">
      <c r="A308" s="47" t="s">
        <v>26</v>
      </c>
      <c r="B308" s="48">
        <f t="shared" si="170"/>
        <v>0</v>
      </c>
      <c r="C308" s="48">
        <f t="shared" si="170"/>
        <v>0</v>
      </c>
      <c r="D308" s="48">
        <f t="shared" si="170"/>
        <v>0</v>
      </c>
      <c r="E308" s="48">
        <f t="shared" si="170"/>
        <v>0</v>
      </c>
      <c r="F308" s="48">
        <f t="shared" si="170"/>
        <v>0</v>
      </c>
      <c r="G308" s="48">
        <f t="shared" si="170"/>
        <v>0.5</v>
      </c>
      <c r="H308" s="48">
        <f>(H296-J296)/J296</f>
        <v>-0.333333333333333</v>
      </c>
      <c r="I308" s="73">
        <f>(I296-K296)/K296</f>
        <v>0.5</v>
      </c>
      <c r="J308" s="48">
        <f>(J296-K296)/K296</f>
        <v>0.5</v>
      </c>
      <c r="K308" s="51">
        <f>(K296-1)/1</f>
        <v>1</v>
      </c>
    </row>
    <row r="309" ht="22.5" customHeight="1" spans="1:11">
      <c r="A309" s="52" t="s">
        <v>27</v>
      </c>
      <c r="B309" s="53">
        <f t="shared" ref="B309:G309" si="171">(B294-C294)/C294</f>
        <v>0</v>
      </c>
      <c r="C309" s="54">
        <f t="shared" si="171"/>
        <v>0</v>
      </c>
      <c r="D309" s="54">
        <f t="shared" si="171"/>
        <v>-0.386950894646896</v>
      </c>
      <c r="E309" s="54">
        <f t="shared" si="171"/>
        <v>-0.366578619439027</v>
      </c>
      <c r="F309" s="54">
        <f t="shared" si="171"/>
        <v>1.62061816761048</v>
      </c>
      <c r="G309" s="54">
        <f t="shared" si="171"/>
        <v>-0.609545934039496</v>
      </c>
      <c r="H309" s="55">
        <f>(H294*12-J294)/J294</f>
        <v>1.424662253004</v>
      </c>
      <c r="I309" s="84">
        <f>(I294-K294)/K294</f>
        <v>1.62902467479152</v>
      </c>
      <c r="J309" s="54">
        <f>(J294-K294)/K294</f>
        <v>0.982521058636973</v>
      </c>
      <c r="K309" s="55">
        <f>(K294-12050000000)/12050000000</f>
        <v>1.05294248575146</v>
      </c>
    </row>
    <row r="310" s="8" customFormat="1" ht="8.25" customHeight="1"/>
    <row r="311" s="8" customFormat="1" ht="8.25" customHeight="1"/>
    <row r="312" ht="22.5" customHeight="1" spans="1:11">
      <c r="A312" s="9" t="s">
        <v>0</v>
      </c>
      <c r="B312" s="10" t="s">
        <v>1</v>
      </c>
      <c r="C312" s="11" t="s">
        <v>2</v>
      </c>
      <c r="D312" s="11" t="s">
        <v>3</v>
      </c>
      <c r="E312" s="11" t="s">
        <v>4</v>
      </c>
      <c r="F312" s="11" t="s">
        <v>5</v>
      </c>
      <c r="G312" s="11" t="s">
        <v>6</v>
      </c>
      <c r="H312" s="44" t="s">
        <v>7</v>
      </c>
      <c r="I312" s="10" t="s">
        <v>8</v>
      </c>
      <c r="J312" s="11" t="s">
        <v>9</v>
      </c>
      <c r="K312" s="44" t="s">
        <v>10</v>
      </c>
    </row>
    <row r="313" ht="22.5" customHeight="1" spans="1:11">
      <c r="A313" s="13" t="s">
        <v>59</v>
      </c>
      <c r="B313" s="14" t="str">
        <f>TEXT("7/1/2024","mmm-yy")</f>
        <v>Jul-24</v>
      </c>
      <c r="C313" s="14" t="str">
        <f>TEXT("6/1/2024","mmm-yy")</f>
        <v>Jun-24</v>
      </c>
      <c r="D313" s="14" t="str">
        <f>TEXT("5/1/2024","mmm-yy")</f>
        <v>May-24</v>
      </c>
      <c r="E313" s="14" t="str">
        <f>TEXT("4/1/2024","mmm-yy")</f>
        <v>Apr-24</v>
      </c>
      <c r="F313" s="14" t="str">
        <f>TEXT("3/1/2024","mmm-yy")</f>
        <v>Mar-24</v>
      </c>
      <c r="G313" s="14" t="str">
        <f>TEXT("2/1/2024","mmm-yy")</f>
        <v>Feb-24</v>
      </c>
      <c r="H313" s="14" t="str">
        <f>TEXT("1/1/2024","mmm-yy")</f>
        <v>Jan-24</v>
      </c>
      <c r="I313" s="64">
        <f>YEAR(DATE(2024,12,1))</f>
        <v>2024</v>
      </c>
      <c r="J313" s="64">
        <f>YEAR(DATE(2023,12,1))</f>
        <v>2023</v>
      </c>
      <c r="K313" s="64">
        <f>YEAR(DATE(2022,12,1))</f>
        <v>2022</v>
      </c>
    </row>
    <row r="314" ht="22.5" customHeight="1" spans="1:11">
      <c r="A314" s="15" t="s">
        <v>12</v>
      </c>
      <c r="B314" s="17">
        <f t="shared" ref="B314:H314" si="172">B23</f>
        <v>3937434321.9934</v>
      </c>
      <c r="C314" s="17">
        <f t="shared" si="172"/>
        <v>3937434321.9934</v>
      </c>
      <c r="D314" s="17">
        <f t="shared" si="172"/>
        <v>3937434321.9934</v>
      </c>
      <c r="E314" s="17">
        <f t="shared" si="172"/>
        <v>6422706252.4225</v>
      </c>
      <c r="F314" s="17">
        <f t="shared" si="172"/>
        <v>10139705493.8916</v>
      </c>
      <c r="G314" s="17">
        <f t="shared" si="172"/>
        <v>3869203693.6984</v>
      </c>
      <c r="H314" s="17">
        <f t="shared" si="172"/>
        <v>9909497764.3024</v>
      </c>
      <c r="I314" s="16">
        <f>AVERAGE(B314:H314)*12*0.9</f>
        <v>65036699234.1696</v>
      </c>
      <c r="J314" s="17">
        <f>J23</f>
        <v>49043520607.5823</v>
      </c>
      <c r="K314" s="18">
        <f>K23</f>
        <v>24737956953.3051</v>
      </c>
    </row>
    <row r="315" ht="22.5" customHeight="1" spans="1:11">
      <c r="A315" s="15" t="s">
        <v>13</v>
      </c>
      <c r="B315" s="121">
        <f>Table18[[#This Row],[Column3]]</f>
        <v>6404274.06545454</v>
      </c>
      <c r="C315" s="121">
        <f>Table18[[#This Row],[Column4]]+(C316-D316)*Table18[[#This Row],[Column6]]/F316</f>
        <v>6404274.06545454</v>
      </c>
      <c r="D315" s="121">
        <v>5870584.56</v>
      </c>
      <c r="E315" s="121">
        <v>5870584.56</v>
      </c>
      <c r="F315" s="121">
        <v>5870584.56</v>
      </c>
      <c r="G315" s="121">
        <v>5870584.56</v>
      </c>
      <c r="H315" s="121">
        <v>4870584.56</v>
      </c>
      <c r="I315" s="123">
        <v>79018443.2914286</v>
      </c>
      <c r="J315" s="121">
        <v>25417975.006</v>
      </c>
      <c r="K315" s="122">
        <f>Table18[[#This Row],[Column10]]</f>
        <v>25417975.006</v>
      </c>
    </row>
    <row r="316" ht="22.5" customHeight="1" spans="1:11">
      <c r="A316" s="22" t="s">
        <v>14</v>
      </c>
      <c r="B316" s="24">
        <v>13</v>
      </c>
      <c r="C316" s="24">
        <v>13</v>
      </c>
      <c r="D316" s="25">
        <v>12</v>
      </c>
      <c r="E316" s="25">
        <v>12</v>
      </c>
      <c r="F316" s="25">
        <v>11</v>
      </c>
      <c r="G316" s="25">
        <v>11</v>
      </c>
      <c r="H316" s="25">
        <v>11</v>
      </c>
      <c r="I316" s="23">
        <f>MAX(B316:H316)</f>
        <v>13</v>
      </c>
      <c r="J316" s="24">
        <v>3</v>
      </c>
      <c r="K316" s="83">
        <v>3</v>
      </c>
    </row>
    <row r="317" ht="22.5" customHeight="1" spans="1:11">
      <c r="A317" s="22" t="s">
        <v>15</v>
      </c>
      <c r="B317" s="24">
        <v>0</v>
      </c>
      <c r="C317" s="24">
        <v>0</v>
      </c>
      <c r="D317" s="3">
        <v>1</v>
      </c>
      <c r="E317" s="3">
        <v>1</v>
      </c>
      <c r="F317" s="3">
        <v>1</v>
      </c>
      <c r="G317" s="3">
        <v>1</v>
      </c>
      <c r="H317" s="3">
        <v>1</v>
      </c>
      <c r="I317" s="23">
        <f>MIN(B317:H317)</f>
        <v>0</v>
      </c>
      <c r="J317" s="24">
        <v>8</v>
      </c>
      <c r="K317" s="83">
        <v>6</v>
      </c>
    </row>
    <row r="318" ht="22.5" customHeight="1" spans="1:11">
      <c r="A318" s="22" t="s">
        <v>16</v>
      </c>
      <c r="B318" s="25">
        <f t="shared" ref="B318:K318" si="173">B317+B316</f>
        <v>13</v>
      </c>
      <c r="C318" s="25">
        <f t="shared" si="173"/>
        <v>13</v>
      </c>
      <c r="D318" s="25">
        <f t="shared" si="173"/>
        <v>13</v>
      </c>
      <c r="E318" s="25">
        <f t="shared" si="173"/>
        <v>13</v>
      </c>
      <c r="F318" s="25">
        <f t="shared" si="173"/>
        <v>12</v>
      </c>
      <c r="G318" s="25">
        <f t="shared" si="173"/>
        <v>12</v>
      </c>
      <c r="H318" s="25">
        <f t="shared" si="173"/>
        <v>12</v>
      </c>
      <c r="I318" s="23">
        <f t="shared" si="173"/>
        <v>13</v>
      </c>
      <c r="J318" s="24">
        <f t="shared" si="173"/>
        <v>11</v>
      </c>
      <c r="K318" s="83">
        <f t="shared" si="173"/>
        <v>9</v>
      </c>
    </row>
    <row r="319" ht="22.5" customHeight="1" spans="1:11">
      <c r="A319" s="29" t="s">
        <v>17</v>
      </c>
      <c r="B319" s="30">
        <f t="shared" ref="B319:K319" si="174">B314/B316</f>
        <v>302879563.230262</v>
      </c>
      <c r="C319" s="31">
        <f t="shared" si="174"/>
        <v>302879563.230262</v>
      </c>
      <c r="D319" s="31">
        <f t="shared" si="174"/>
        <v>328119526.832783</v>
      </c>
      <c r="E319" s="31">
        <f t="shared" si="174"/>
        <v>535225521.035208</v>
      </c>
      <c r="F319" s="31">
        <f t="shared" si="174"/>
        <v>921791408.5356</v>
      </c>
      <c r="G319" s="31">
        <f t="shared" si="174"/>
        <v>351745790.336218</v>
      </c>
      <c r="H319" s="32">
        <f t="shared" si="174"/>
        <v>900863433.1184</v>
      </c>
      <c r="I319" s="30">
        <f t="shared" si="174"/>
        <v>5002823018.01304</v>
      </c>
      <c r="J319" s="31">
        <f t="shared" si="174"/>
        <v>16347840202.5274</v>
      </c>
      <c r="K319" s="32">
        <f t="shared" si="174"/>
        <v>8245985651.1017</v>
      </c>
    </row>
    <row r="320" ht="22.5" customHeight="1" spans="1:11">
      <c r="A320" s="29" t="s">
        <v>18</v>
      </c>
      <c r="B320" s="30" t="e">
        <f t="shared" ref="B320:K320" si="175">B314/B317</f>
        <v>#DIV/0!</v>
      </c>
      <c r="C320" s="31" t="e">
        <f t="shared" si="175"/>
        <v>#DIV/0!</v>
      </c>
      <c r="D320" s="31">
        <f t="shared" si="175"/>
        <v>3937434321.9934</v>
      </c>
      <c r="E320" s="31">
        <f t="shared" si="175"/>
        <v>6422706252.4225</v>
      </c>
      <c r="F320" s="31">
        <f t="shared" si="175"/>
        <v>10139705493.8916</v>
      </c>
      <c r="G320" s="31">
        <f t="shared" si="175"/>
        <v>3869203693.6984</v>
      </c>
      <c r="H320" s="32">
        <f t="shared" si="175"/>
        <v>9909497764.3024</v>
      </c>
      <c r="I320" s="30" t="e">
        <f t="shared" si="175"/>
        <v>#DIV/0!</v>
      </c>
      <c r="J320" s="31">
        <f t="shared" si="175"/>
        <v>6130440075.94779</v>
      </c>
      <c r="K320" s="32">
        <f t="shared" si="175"/>
        <v>4122992825.55085</v>
      </c>
    </row>
    <row r="321" ht="22.5" customHeight="1" spans="1:11">
      <c r="A321" s="29" t="s">
        <v>19</v>
      </c>
      <c r="B321" s="30">
        <f t="shared" ref="B321:K321" si="176">B314/B318</f>
        <v>302879563.230262</v>
      </c>
      <c r="C321" s="31">
        <f t="shared" si="176"/>
        <v>302879563.230262</v>
      </c>
      <c r="D321" s="31">
        <f t="shared" si="176"/>
        <v>302879563.230262</v>
      </c>
      <c r="E321" s="31">
        <f t="shared" si="176"/>
        <v>494054327.109423</v>
      </c>
      <c r="F321" s="31">
        <f t="shared" si="176"/>
        <v>844975457.8243</v>
      </c>
      <c r="G321" s="31">
        <f t="shared" si="176"/>
        <v>322433641.141533</v>
      </c>
      <c r="H321" s="32">
        <f t="shared" si="176"/>
        <v>825791480.358533</v>
      </c>
      <c r="I321" s="30">
        <f t="shared" si="176"/>
        <v>5002823018.01304</v>
      </c>
      <c r="J321" s="31">
        <f t="shared" si="176"/>
        <v>4458501873.41657</v>
      </c>
      <c r="K321" s="32">
        <f t="shared" si="176"/>
        <v>2748661883.70057</v>
      </c>
    </row>
    <row r="322" ht="22.5" customHeight="1" spans="1:11">
      <c r="A322" s="33" t="s">
        <v>20</v>
      </c>
      <c r="B322" s="34">
        <f>K319/12</f>
        <v>687165470.925142</v>
      </c>
      <c r="C322" s="35">
        <f t="shared" ref="C322:H322" si="177">$B$11</f>
        <v>17972193.7511488</v>
      </c>
      <c r="D322" s="35">
        <f t="shared" si="177"/>
        <v>17972193.7511488</v>
      </c>
      <c r="E322" s="35">
        <f t="shared" si="177"/>
        <v>17972193.7511488</v>
      </c>
      <c r="F322" s="35">
        <f t="shared" si="177"/>
        <v>17972193.7511488</v>
      </c>
      <c r="G322" s="35">
        <f t="shared" si="177"/>
        <v>17972193.7511488</v>
      </c>
      <c r="H322" s="36">
        <f t="shared" si="177"/>
        <v>17972193.7511488</v>
      </c>
      <c r="I322" s="34">
        <f>K319</f>
        <v>8245985651.1017</v>
      </c>
      <c r="J322" s="35">
        <f>I322</f>
        <v>8245985651.1017</v>
      </c>
      <c r="K322" s="36">
        <f>J322</f>
        <v>8245985651.1017</v>
      </c>
    </row>
    <row r="323" ht="22.5" customHeight="1" spans="1:11">
      <c r="A323" s="33" t="s">
        <v>21</v>
      </c>
      <c r="B323" s="34">
        <f>K321/12</f>
        <v>229055156.975047</v>
      </c>
      <c r="C323" s="35">
        <f t="shared" ref="C323:H323" si="178">$B$12</f>
        <v>7358342.35468873</v>
      </c>
      <c r="D323" s="35">
        <f t="shared" si="178"/>
        <v>7358342.35468873</v>
      </c>
      <c r="E323" s="35">
        <f t="shared" si="178"/>
        <v>7358342.35468873</v>
      </c>
      <c r="F323" s="35">
        <f t="shared" si="178"/>
        <v>7358342.35468873</v>
      </c>
      <c r="G323" s="35">
        <f t="shared" si="178"/>
        <v>7358342.35468873</v>
      </c>
      <c r="H323" s="36">
        <f t="shared" si="178"/>
        <v>7358342.35468873</v>
      </c>
      <c r="I323" s="34">
        <f>K321</f>
        <v>2748661883.70057</v>
      </c>
      <c r="J323" s="35">
        <f>I323</f>
        <v>2748661883.70057</v>
      </c>
      <c r="K323" s="36">
        <f>J323</f>
        <v>2748661883.70057</v>
      </c>
    </row>
    <row r="324" ht="22.5" customHeight="1" spans="1:11">
      <c r="A324" s="29" t="s">
        <v>22</v>
      </c>
      <c r="B324" s="30">
        <f t="shared" ref="B324:H324" si="179">B315/B316</f>
        <v>492636.466573426</v>
      </c>
      <c r="C324" s="31">
        <f t="shared" si="179"/>
        <v>492636.466573426</v>
      </c>
      <c r="D324" s="31">
        <f t="shared" si="179"/>
        <v>489215.38</v>
      </c>
      <c r="E324" s="31">
        <f t="shared" si="179"/>
        <v>489215.38</v>
      </c>
      <c r="F324" s="31">
        <f t="shared" si="179"/>
        <v>533689.505454545</v>
      </c>
      <c r="G324" s="31">
        <f t="shared" si="179"/>
        <v>533689.505454545</v>
      </c>
      <c r="H324" s="32">
        <f t="shared" si="179"/>
        <v>442780.414545454</v>
      </c>
      <c r="I324" s="30">
        <f>(I315/12)/I316</f>
        <v>506528.482637363</v>
      </c>
      <c r="J324" s="31">
        <f>(J315/12)/J316</f>
        <v>706054.861277778</v>
      </c>
      <c r="K324" s="32">
        <f>(K315/12)/K316</f>
        <v>706054.861277778</v>
      </c>
    </row>
    <row r="325" ht="22.5" customHeight="1" spans="1:11">
      <c r="A325" s="29" t="s">
        <v>23</v>
      </c>
      <c r="B325" s="30">
        <f t="shared" ref="B325:H325" si="180">B315/B318</f>
        <v>492636.466573426</v>
      </c>
      <c r="C325" s="31">
        <f t="shared" si="180"/>
        <v>492636.466573426</v>
      </c>
      <c r="D325" s="31">
        <f t="shared" si="180"/>
        <v>451583.427692308</v>
      </c>
      <c r="E325" s="31">
        <f t="shared" si="180"/>
        <v>451583.427692308</v>
      </c>
      <c r="F325" s="31">
        <f t="shared" si="180"/>
        <v>489215.38</v>
      </c>
      <c r="G325" s="31">
        <f t="shared" si="180"/>
        <v>489215.38</v>
      </c>
      <c r="H325" s="32">
        <f t="shared" si="180"/>
        <v>405882.046666667</v>
      </c>
      <c r="I325" s="30">
        <f>(I315/12)/I318</f>
        <v>506528.482637363</v>
      </c>
      <c r="J325" s="31">
        <f>(J315/12)/J318</f>
        <v>192560.416712121</v>
      </c>
      <c r="K325" s="32">
        <f>(K315/12)/K318</f>
        <v>235351.620425926</v>
      </c>
    </row>
    <row r="326" ht="22.5" customHeight="1" spans="1:11">
      <c r="A326" s="29" t="s">
        <v>24</v>
      </c>
      <c r="B326" s="37">
        <f t="shared" ref="B326:K326" si="181">B315/B314</f>
        <v>0.00162650943272427</v>
      </c>
      <c r="C326" s="38">
        <f t="shared" si="181"/>
        <v>0.00162650943272427</v>
      </c>
      <c r="D326" s="38">
        <f t="shared" si="181"/>
        <v>0.00149096697999725</v>
      </c>
      <c r="E326" s="38">
        <f t="shared" si="181"/>
        <v>0.00091403597319833</v>
      </c>
      <c r="F326" s="38">
        <f t="shared" si="181"/>
        <v>0.000578969928025679</v>
      </c>
      <c r="G326" s="38">
        <f t="shared" si="181"/>
        <v>0.00151725911188423</v>
      </c>
      <c r="H326" s="39">
        <f t="shared" si="181"/>
        <v>0.000491506701534926</v>
      </c>
      <c r="I326" s="37">
        <f t="shared" si="181"/>
        <v>0.00121498237490369</v>
      </c>
      <c r="J326" s="38">
        <f t="shared" si="181"/>
        <v>0.00051827386556075</v>
      </c>
      <c r="K326" s="39">
        <f t="shared" si="181"/>
        <v>0.00102748885261538</v>
      </c>
    </row>
    <row r="327" ht="22.5" customHeight="1" spans="1:11">
      <c r="A327" s="47" t="s">
        <v>25</v>
      </c>
      <c r="B327" s="48">
        <f t="shared" ref="B327:G328" si="182">(B315-C315)/C315</f>
        <v>0</v>
      </c>
      <c r="C327" s="49">
        <f t="shared" si="182"/>
        <v>0.0909090909090908</v>
      </c>
      <c r="D327" s="49">
        <f t="shared" si="182"/>
        <v>0</v>
      </c>
      <c r="E327" s="49">
        <f t="shared" si="182"/>
        <v>0</v>
      </c>
      <c r="F327" s="49">
        <f t="shared" si="182"/>
        <v>0</v>
      </c>
      <c r="G327" s="49">
        <f t="shared" si="182"/>
        <v>0.205314164589722</v>
      </c>
      <c r="H327" s="50">
        <f>((H315)-(J315/12))/(J315/12)</f>
        <v>1.2994363125388</v>
      </c>
      <c r="I327" s="73">
        <f>(I315-K315)/K315</f>
        <v>2.10876233345796</v>
      </c>
      <c r="J327" s="49">
        <f>(J315-K315)/K315</f>
        <v>0</v>
      </c>
      <c r="K327" s="50">
        <v>0</v>
      </c>
    </row>
    <row r="328" ht="22.5" customHeight="1" spans="1:11">
      <c r="A328" s="47" t="s">
        <v>26</v>
      </c>
      <c r="B328" s="48">
        <f t="shared" si="182"/>
        <v>0</v>
      </c>
      <c r="C328" s="48">
        <f t="shared" si="182"/>
        <v>0.0833333333333333</v>
      </c>
      <c r="D328" s="48">
        <f t="shared" si="182"/>
        <v>0</v>
      </c>
      <c r="E328" s="48">
        <f t="shared" si="182"/>
        <v>0.0909090909090909</v>
      </c>
      <c r="F328" s="48">
        <f t="shared" si="182"/>
        <v>0</v>
      </c>
      <c r="G328" s="48">
        <f t="shared" si="182"/>
        <v>0</v>
      </c>
      <c r="H328" s="48">
        <f>(H316-J316)/J316</f>
        <v>2.66666666666667</v>
      </c>
      <c r="I328" s="73">
        <f>(I316-K316)/K316</f>
        <v>3.33333333333333</v>
      </c>
      <c r="J328" s="48">
        <f>(J316-K316)/K316</f>
        <v>0</v>
      </c>
      <c r="K328" s="51">
        <v>0</v>
      </c>
    </row>
    <row r="329" ht="22.5" customHeight="1" spans="1:11">
      <c r="A329" s="52" t="s">
        <v>27</v>
      </c>
      <c r="B329" s="53">
        <f t="shared" ref="B329:G329" si="183">(B314-C314)/C314</f>
        <v>0</v>
      </c>
      <c r="C329" s="54">
        <f t="shared" si="183"/>
        <v>0</v>
      </c>
      <c r="D329" s="54">
        <f t="shared" si="183"/>
        <v>-0.386950894646896</v>
      </c>
      <c r="E329" s="54">
        <f t="shared" si="183"/>
        <v>-0.366578619439027</v>
      </c>
      <c r="F329" s="54">
        <f t="shared" si="183"/>
        <v>1.62061816761048</v>
      </c>
      <c r="G329" s="54">
        <f t="shared" si="183"/>
        <v>-0.609545934039496</v>
      </c>
      <c r="H329" s="55">
        <f>(H314*12-J314)/J314</f>
        <v>1.424662253004</v>
      </c>
      <c r="I329" s="84">
        <f>(I314-K314)/K314</f>
        <v>1.62902467479152</v>
      </c>
      <c r="J329" s="54">
        <f>(J314-K314)/K314</f>
        <v>0.982521058636973</v>
      </c>
      <c r="K329" s="55">
        <v>0</v>
      </c>
    </row>
    <row r="330" ht="22.5" customHeight="1"/>
  </sheetData>
  <conditionalFormatting sqref="I15">
    <cfRule type="expression" dxfId="50" priority="93">
      <formula>$I15&lt;$K15</formula>
    </cfRule>
    <cfRule type="expression" dxfId="51" priority="94">
      <formula>$I15&gt;$K15</formula>
    </cfRule>
  </conditionalFormatting>
  <conditionalFormatting sqref="I16">
    <cfRule type="expression" dxfId="52" priority="144">
      <formula>$I16&gt;$I18</formula>
    </cfRule>
    <cfRule type="expression" dxfId="53" priority="145">
      <formula>$I16&lt;$I18</formula>
    </cfRule>
  </conditionalFormatting>
  <conditionalFormatting sqref="I17">
    <cfRule type="expression" dxfId="52" priority="143">
      <formula>I$17&gt;I$18</formula>
    </cfRule>
    <cfRule type="expression" dxfId="54" priority="147">
      <formula>I$17&lt;I$18</formula>
    </cfRule>
  </conditionalFormatting>
  <conditionalFormatting sqref="I35">
    <cfRule type="expression" dxfId="50" priority="87">
      <formula>$I35&lt;$K35</formula>
    </cfRule>
    <cfRule type="expression" dxfId="51" priority="88">
      <formula>$I35&gt;$K35</formula>
    </cfRule>
  </conditionalFormatting>
  <conditionalFormatting sqref="I36">
    <cfRule type="expression" dxfId="52" priority="90">
      <formula>$I36&gt;$I38</formula>
    </cfRule>
    <cfRule type="expression" dxfId="53" priority="91">
      <formula>$I36&lt;$I38</formula>
    </cfRule>
  </conditionalFormatting>
  <conditionalFormatting sqref="I37">
    <cfRule type="expression" dxfId="52" priority="89">
      <formula>I$17&gt;I$18</formula>
    </cfRule>
    <cfRule type="expression" dxfId="54" priority="92">
      <formula>I$17&lt;I$18</formula>
    </cfRule>
  </conditionalFormatting>
  <conditionalFormatting sqref="I60">
    <cfRule type="expression" dxfId="50" priority="81">
      <formula>$I60&lt;$K60</formula>
    </cfRule>
    <cfRule type="expression" dxfId="51" priority="82">
      <formula>$I60&gt;$K60</formula>
    </cfRule>
  </conditionalFormatting>
  <conditionalFormatting sqref="I61">
    <cfRule type="expression" dxfId="52" priority="84">
      <formula>$I61&gt;$I63</formula>
    </cfRule>
    <cfRule type="expression" dxfId="53" priority="85">
      <formula>$I61&lt;$I63</formula>
    </cfRule>
  </conditionalFormatting>
  <conditionalFormatting sqref="I62">
    <cfRule type="expression" dxfId="52" priority="83">
      <formula>I$17&gt;I$18</formula>
    </cfRule>
    <cfRule type="expression" dxfId="54" priority="86">
      <formula>I$17&lt;I$18</formula>
    </cfRule>
  </conditionalFormatting>
  <conditionalFormatting sqref="B74:K74">
    <cfRule type="cellIs" dxfId="55" priority="156" operator="lessThan">
      <formula>#REF!</formula>
    </cfRule>
  </conditionalFormatting>
  <conditionalFormatting sqref="I82">
    <cfRule type="expression" dxfId="50" priority="75">
      <formula>$I82&lt;$K82</formula>
    </cfRule>
    <cfRule type="expression" dxfId="51" priority="76">
      <formula>$I82&gt;$K82</formula>
    </cfRule>
  </conditionalFormatting>
  <conditionalFormatting sqref="I83">
    <cfRule type="expression" dxfId="52" priority="78">
      <formula>$I83&gt;$I85</formula>
    </cfRule>
    <cfRule type="expression" dxfId="53" priority="79">
      <formula>$I83&lt;$I85</formula>
    </cfRule>
  </conditionalFormatting>
  <conditionalFormatting sqref="I84">
    <cfRule type="expression" dxfId="52" priority="77">
      <formula>I$17&gt;I$18</formula>
    </cfRule>
    <cfRule type="expression" dxfId="54" priority="80">
      <formula>I$17&lt;I$18</formula>
    </cfRule>
  </conditionalFormatting>
  <conditionalFormatting sqref="I101">
    <cfRule type="expression" dxfId="50" priority="69">
      <formula>$I101&lt;$K101</formula>
    </cfRule>
    <cfRule type="expression" dxfId="51" priority="70">
      <formula>$I101&gt;$K101</formula>
    </cfRule>
  </conditionalFormatting>
  <conditionalFormatting sqref="I102">
    <cfRule type="expression" dxfId="52" priority="72">
      <formula>$I102&gt;$I104</formula>
    </cfRule>
    <cfRule type="expression" dxfId="53" priority="73">
      <formula>$I102&lt;$I104</formula>
    </cfRule>
  </conditionalFormatting>
  <conditionalFormatting sqref="I103">
    <cfRule type="expression" dxfId="52" priority="71">
      <formula>I$17&gt;I$18</formula>
    </cfRule>
    <cfRule type="expression" dxfId="54" priority="74">
      <formula>I$17&lt;I$18</formula>
    </cfRule>
  </conditionalFormatting>
  <conditionalFormatting sqref="I121">
    <cfRule type="expression" dxfId="50" priority="63">
      <formula>$I121&lt;$K121</formula>
    </cfRule>
    <cfRule type="expression" dxfId="51" priority="64">
      <formula>$I121&gt;$K121</formula>
    </cfRule>
  </conditionalFormatting>
  <conditionalFormatting sqref="I122">
    <cfRule type="expression" dxfId="52" priority="66">
      <formula>$I122&gt;$I124</formula>
    </cfRule>
    <cfRule type="expression" dxfId="53" priority="67">
      <formula>$I122&lt;$I124</formula>
    </cfRule>
  </conditionalFormatting>
  <conditionalFormatting sqref="I123">
    <cfRule type="expression" dxfId="52" priority="65">
      <formula>I$17&gt;I$18</formula>
    </cfRule>
    <cfRule type="expression" dxfId="54" priority="68">
      <formula>I$17&lt;I$18</formula>
    </cfRule>
  </conditionalFormatting>
  <conditionalFormatting sqref="I141">
    <cfRule type="expression" dxfId="50" priority="57">
      <formula>$I141&lt;$K141</formula>
    </cfRule>
    <cfRule type="expression" dxfId="51" priority="58">
      <formula>$I141&gt;$K141</formula>
    </cfRule>
  </conditionalFormatting>
  <conditionalFormatting sqref="I142">
    <cfRule type="expression" dxfId="52" priority="60">
      <formula>$I142&gt;$I144</formula>
    </cfRule>
    <cfRule type="expression" dxfId="53" priority="61">
      <formula>$I142&lt;$I144</formula>
    </cfRule>
  </conditionalFormatting>
  <conditionalFormatting sqref="I143">
    <cfRule type="expression" dxfId="52" priority="59">
      <formula>I$17&gt;I$18</formula>
    </cfRule>
    <cfRule type="expression" dxfId="54" priority="62">
      <formula>I$17&lt;I$18</formula>
    </cfRule>
  </conditionalFormatting>
  <conditionalFormatting sqref="I161">
    <cfRule type="expression" dxfId="50" priority="51">
      <formula>$I161&lt;$K161</formula>
    </cfRule>
    <cfRule type="expression" dxfId="51" priority="52">
      <formula>$I161&gt;$K161</formula>
    </cfRule>
  </conditionalFormatting>
  <conditionalFormatting sqref="I162">
    <cfRule type="expression" dxfId="52" priority="54">
      <formula>$I162&gt;$I164</formula>
    </cfRule>
    <cfRule type="expression" dxfId="53" priority="55">
      <formula>$I162&lt;$I164</formula>
    </cfRule>
  </conditionalFormatting>
  <conditionalFormatting sqref="I163">
    <cfRule type="expression" dxfId="52" priority="53">
      <formula>I$17&gt;I$18</formula>
    </cfRule>
    <cfRule type="expression" dxfId="54" priority="56">
      <formula>I$17&lt;I$18</formula>
    </cfRule>
  </conditionalFormatting>
  <conditionalFormatting sqref="I181">
    <cfRule type="expression" dxfId="50" priority="45">
      <formula>$I181&lt;$K181</formula>
    </cfRule>
    <cfRule type="expression" dxfId="51" priority="46">
      <formula>$I181&gt;$K181</formula>
    </cfRule>
  </conditionalFormatting>
  <conditionalFormatting sqref="I182">
    <cfRule type="expression" dxfId="52" priority="48">
      <formula>$I182&gt;$I184</formula>
    </cfRule>
    <cfRule type="expression" dxfId="53" priority="49">
      <formula>$I182&lt;$I184</formula>
    </cfRule>
  </conditionalFormatting>
  <conditionalFormatting sqref="I183">
    <cfRule type="expression" dxfId="52" priority="47">
      <formula>I$17&gt;I$18</formula>
    </cfRule>
    <cfRule type="expression" dxfId="54" priority="50">
      <formula>I$17&lt;I$18</formula>
    </cfRule>
  </conditionalFormatting>
  <conditionalFormatting sqref="I201">
    <cfRule type="expression" dxfId="50" priority="39">
      <formula>$I201&lt;$K201</formula>
    </cfRule>
    <cfRule type="expression" dxfId="51" priority="40">
      <formula>$I201&gt;$K201</formula>
    </cfRule>
  </conditionalFormatting>
  <conditionalFormatting sqref="I202">
    <cfRule type="expression" dxfId="52" priority="42">
      <formula>$I202&gt;$I204</formula>
    </cfRule>
    <cfRule type="expression" dxfId="53" priority="43">
      <formula>$I202&lt;$I204</formula>
    </cfRule>
  </conditionalFormatting>
  <conditionalFormatting sqref="I203">
    <cfRule type="expression" dxfId="52" priority="41">
      <formula>I$17&gt;I$18</formula>
    </cfRule>
    <cfRule type="expression" dxfId="54" priority="44">
      <formula>I$17&lt;I$18</formula>
    </cfRule>
  </conditionalFormatting>
  <conditionalFormatting sqref="I220">
    <cfRule type="expression" dxfId="50" priority="33">
      <formula>$I220&lt;$K220</formula>
    </cfRule>
    <cfRule type="expression" dxfId="51" priority="34">
      <formula>$I220&gt;$K220</formula>
    </cfRule>
  </conditionalFormatting>
  <conditionalFormatting sqref="I221">
    <cfRule type="expression" dxfId="52" priority="36">
      <formula>$I221&gt;$I223</formula>
    </cfRule>
    <cfRule type="expression" dxfId="53" priority="37">
      <formula>$I221&lt;$I223</formula>
    </cfRule>
  </conditionalFormatting>
  <conditionalFormatting sqref="I222">
    <cfRule type="expression" dxfId="52" priority="35">
      <formula>I$17&gt;I$18</formula>
    </cfRule>
    <cfRule type="expression" dxfId="54" priority="38">
      <formula>I$17&lt;I$18</formula>
    </cfRule>
  </conditionalFormatting>
  <conditionalFormatting sqref="I245">
    <cfRule type="expression" dxfId="50" priority="27">
      <formula>$I245&lt;$K245</formula>
    </cfRule>
    <cfRule type="expression" dxfId="51" priority="28">
      <formula>$I245&gt;$K245</formula>
    </cfRule>
  </conditionalFormatting>
  <conditionalFormatting sqref="I246">
    <cfRule type="expression" dxfId="52" priority="30">
      <formula>$I246&gt;$I248</formula>
    </cfRule>
    <cfRule type="expression" dxfId="53" priority="31">
      <formula>$I246&lt;$I248</formula>
    </cfRule>
  </conditionalFormatting>
  <conditionalFormatting sqref="I247">
    <cfRule type="expression" dxfId="52" priority="29">
      <formula>I$17&gt;I$18</formula>
    </cfRule>
    <cfRule type="expression" dxfId="54" priority="32">
      <formula>I$17&lt;I$18</formula>
    </cfRule>
  </conditionalFormatting>
  <conditionalFormatting sqref="I266">
    <cfRule type="expression" dxfId="50" priority="21">
      <formula>$I266&lt;$K266</formula>
    </cfRule>
    <cfRule type="expression" dxfId="51" priority="22">
      <formula>$I266&gt;$K266</formula>
    </cfRule>
  </conditionalFormatting>
  <conditionalFormatting sqref="I267">
    <cfRule type="expression" dxfId="52" priority="24">
      <formula>$I267&gt;$I269</formula>
    </cfRule>
    <cfRule type="expression" dxfId="53" priority="25">
      <formula>$I267&lt;$I269</formula>
    </cfRule>
  </conditionalFormatting>
  <conditionalFormatting sqref="I268">
    <cfRule type="expression" dxfId="52" priority="23">
      <formula>I$17&gt;I$18</formula>
    </cfRule>
    <cfRule type="expression" dxfId="54" priority="26">
      <formula>I$17&lt;I$18</formula>
    </cfRule>
  </conditionalFormatting>
  <conditionalFormatting sqref="I286">
    <cfRule type="expression" dxfId="50" priority="15">
      <formula>$I286&lt;$K286</formula>
    </cfRule>
    <cfRule type="expression" dxfId="51" priority="16">
      <formula>$I286&gt;$K286</formula>
    </cfRule>
  </conditionalFormatting>
  <conditionalFormatting sqref="I287">
    <cfRule type="expression" dxfId="52" priority="18">
      <formula>$I287&gt;$I289</formula>
    </cfRule>
    <cfRule type="expression" dxfId="53" priority="19">
      <formula>$I287&lt;$I289</formula>
    </cfRule>
  </conditionalFormatting>
  <conditionalFormatting sqref="I288">
    <cfRule type="expression" dxfId="52" priority="17">
      <formula>I$17&gt;I$18</formula>
    </cfRule>
    <cfRule type="expression" dxfId="54" priority="20">
      <formula>I$17&lt;I$18</formula>
    </cfRule>
  </conditionalFormatting>
  <conditionalFormatting sqref="I306">
    <cfRule type="expression" dxfId="50" priority="9">
      <formula>$I306&lt;$K306</formula>
    </cfRule>
    <cfRule type="expression" dxfId="51" priority="10">
      <formula>$I306&gt;$K306</formula>
    </cfRule>
  </conditionalFormatting>
  <conditionalFormatting sqref="I307">
    <cfRule type="expression" dxfId="52" priority="12">
      <formula>$I307&gt;$I309</formula>
    </cfRule>
    <cfRule type="expression" dxfId="53" priority="13">
      <formula>$I307&lt;$I309</formula>
    </cfRule>
  </conditionalFormatting>
  <conditionalFormatting sqref="I308">
    <cfRule type="expression" dxfId="52" priority="11">
      <formula>I$17&gt;I$18</formula>
    </cfRule>
    <cfRule type="expression" dxfId="54" priority="14">
      <formula>I$17&lt;I$18</formula>
    </cfRule>
  </conditionalFormatting>
  <conditionalFormatting sqref="I326">
    <cfRule type="expression" dxfId="50" priority="3">
      <formula>$I326&lt;$K326</formula>
    </cfRule>
    <cfRule type="expression" dxfId="51" priority="4">
      <formula>$I326&gt;$K326</formula>
    </cfRule>
  </conditionalFormatting>
  <conditionalFormatting sqref="I327">
    <cfRule type="expression" dxfId="52" priority="6">
      <formula>$I327&gt;$I329</formula>
    </cfRule>
    <cfRule type="expression" dxfId="53" priority="7">
      <formula>$I327&lt;$I329</formula>
    </cfRule>
  </conditionalFormatting>
  <conditionalFormatting sqref="I328">
    <cfRule type="expression" dxfId="53" priority="1">
      <formula>$I329&lt;$I330</formula>
    </cfRule>
    <cfRule type="expression" dxfId="52" priority="2">
      <formula>$I329&gt;$I330</formula>
    </cfRule>
    <cfRule type="expression" dxfId="52" priority="5">
      <formula>I$17&gt;I$18</formula>
    </cfRule>
    <cfRule type="expression" dxfId="54" priority="8">
      <formula>I$17&lt;I$18</formula>
    </cfRule>
  </conditionalFormatting>
  <conditionalFormatting sqref="I8:I10">
    <cfRule type="expression" dxfId="56" priority="148">
      <formula>$I8&lt;$K8</formula>
    </cfRule>
    <cfRule type="expression" dxfId="57" priority="149">
      <formula>$I8&gt;$K8</formula>
    </cfRule>
  </conditionalFormatting>
  <conditionalFormatting sqref="I28:I30">
    <cfRule type="expression" dxfId="56" priority="123">
      <formula>$I28&lt;$K28</formula>
    </cfRule>
    <cfRule type="expression" dxfId="57" priority="124">
      <formula>$I28&gt;$K28</formula>
    </cfRule>
  </conditionalFormatting>
  <conditionalFormatting sqref="I48:I50">
    <cfRule type="expression" dxfId="56" priority="121">
      <formula>$I48&lt;$K48</formula>
    </cfRule>
    <cfRule type="expression" dxfId="57" priority="122">
      <formula>$I48&gt;$K48</formula>
    </cfRule>
  </conditionalFormatting>
  <conditionalFormatting sqref="I75:I77">
    <cfRule type="expression" dxfId="56" priority="119">
      <formula>$I75&lt;$K75</formula>
    </cfRule>
    <cfRule type="expression" dxfId="57" priority="120">
      <formula>$I75&gt;$K75</formula>
    </cfRule>
  </conditionalFormatting>
  <conditionalFormatting sqref="I94:I96">
    <cfRule type="expression" dxfId="56" priority="117">
      <formula>$I94&lt;$K94</formula>
    </cfRule>
    <cfRule type="expression" dxfId="57" priority="118">
      <formula>$I94&gt;$K94</formula>
    </cfRule>
  </conditionalFormatting>
  <conditionalFormatting sqref="I114:I116">
    <cfRule type="expression" dxfId="56" priority="115">
      <formula>$I114&lt;$K114</formula>
    </cfRule>
    <cfRule type="expression" dxfId="57" priority="116">
      <formula>$I114&gt;$K114</formula>
    </cfRule>
  </conditionalFormatting>
  <conditionalFormatting sqref="I134:I136">
    <cfRule type="expression" dxfId="56" priority="113">
      <formula>$I134&lt;$K134</formula>
    </cfRule>
    <cfRule type="expression" dxfId="57" priority="114">
      <formula>$I134&gt;$K134</formula>
    </cfRule>
  </conditionalFormatting>
  <conditionalFormatting sqref="I154:I156">
    <cfRule type="expression" dxfId="56" priority="111">
      <formula>$I154&lt;$K154</formula>
    </cfRule>
    <cfRule type="expression" dxfId="57" priority="112">
      <formula>$I154&gt;$K154</formula>
    </cfRule>
  </conditionalFormatting>
  <conditionalFormatting sqref="I174:I176">
    <cfRule type="expression" dxfId="56" priority="109">
      <formula>$I174&lt;$K174</formula>
    </cfRule>
    <cfRule type="expression" dxfId="57" priority="110">
      <formula>$I174&gt;$K174</formula>
    </cfRule>
  </conditionalFormatting>
  <conditionalFormatting sqref="I194:I196">
    <cfRule type="expression" dxfId="56" priority="107">
      <formula>$I194&lt;$K194</formula>
    </cfRule>
    <cfRule type="expression" dxfId="57" priority="108">
      <formula>$I194&gt;$K194</formula>
    </cfRule>
  </conditionalFormatting>
  <conditionalFormatting sqref="I213:I215">
    <cfRule type="expression" dxfId="56" priority="105">
      <formula>$I213&lt;$K213</formula>
    </cfRule>
    <cfRule type="expression" dxfId="57" priority="106">
      <formula>$I213&gt;$K213</formula>
    </cfRule>
  </conditionalFormatting>
  <conditionalFormatting sqref="I233:I235">
    <cfRule type="expression" dxfId="56" priority="103">
      <formula>$I233&lt;$K233</formula>
    </cfRule>
    <cfRule type="expression" dxfId="57" priority="104">
      <formula>$I233&gt;$K233</formula>
    </cfRule>
  </conditionalFormatting>
  <conditionalFormatting sqref="I259:I261">
    <cfRule type="expression" dxfId="56" priority="101">
      <formula>$I259&lt;$K259</formula>
    </cfRule>
    <cfRule type="expression" dxfId="57" priority="102">
      <formula>$I259&gt;$K259</formula>
    </cfRule>
  </conditionalFormatting>
  <conditionalFormatting sqref="I279:I281">
    <cfRule type="expression" dxfId="56" priority="99">
      <formula>$I279&lt;$K279</formula>
    </cfRule>
    <cfRule type="expression" dxfId="57" priority="100">
      <formula>$I279&gt;$K279</formula>
    </cfRule>
  </conditionalFormatting>
  <conditionalFormatting sqref="I299:I301">
    <cfRule type="expression" dxfId="56" priority="97">
      <formula>$I299&lt;$K299</formula>
    </cfRule>
    <cfRule type="expression" dxfId="57" priority="98">
      <formula>$I299&gt;$K299</formula>
    </cfRule>
  </conditionalFormatting>
  <conditionalFormatting sqref="I319:I321">
    <cfRule type="expression" dxfId="56" priority="95">
      <formula>$I319&lt;$K319</formula>
    </cfRule>
    <cfRule type="expression" dxfId="57" priority="96">
      <formula>$I319&gt;$K319</formula>
    </cfRule>
  </conditionalFormatting>
  <conditionalFormatting sqref="B17:K17 B37:J37 B62:K62 B84:K84 B328:K328 B308:K308 B288:K288 B268:K268 B103:K103 B123:K123 B143:K143 B163:K163 B183:K183 B203:K203 B222:K222 B247:K247">
    <cfRule type="cellIs" dxfId="55" priority="155" operator="greaterThan">
      <formula>#REF!</formula>
    </cfRule>
  </conditionalFormatting>
  <pageMargins left="0.7" right="0.7" top="0.75" bottom="0.75" header="0.3" footer="0.3"/>
  <pageSetup paperSize="1" orientation="portrait" horizontalDpi="360" verticalDpi="360"/>
  <headerFooter/>
  <legacy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Revenue+Headcount (ALL)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Fadare</dc:creator>
  <cp:lastModifiedBy>Temitope Bankole</cp:lastModifiedBy>
  <dcterms:created xsi:type="dcterms:W3CDTF">2024-06-11T17:56:00Z</dcterms:created>
  <dcterms:modified xsi:type="dcterms:W3CDTF">2024-06-18T03:43:09Z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F971D1FC484648AABFBC6EE3415197D8_12</vt:lpwstr>
  </property>
  <property fmtid="{D5CDD505-2E9C-101B-9397-08002B2CF9AE}" pid="3" name="KSOProductBuildVer">
    <vt:lpwstr>1033-12.2.0.17119</vt:lpwstr>
  </property>
</Properties>
</file>