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orted" sheetId="1" r:id="rId3"/>
    <sheet state="visible" name="Data Entry" sheetId="2" r:id="rId4"/>
  </sheets>
  <definedNames/>
  <calcPr/>
</workbook>
</file>

<file path=xl/sharedStrings.xml><?xml version="1.0" encoding="utf-8"?>
<sst xmlns="http://schemas.openxmlformats.org/spreadsheetml/2006/main" count="1210" uniqueCount="1210">
  <si>
    <t>Name Here</t>
  </si>
  <si>
    <t>S40 Tony</t>
  </si>
  <si>
    <t>S39 Tommy</t>
  </si>
  <si>
    <t>S38 Chris</t>
  </si>
  <si>
    <t>S37 Nick</t>
  </si>
  <si>
    <t>S36 Wendell</t>
  </si>
  <si>
    <t>S35 Ben</t>
  </si>
  <si>
    <t>S34 Sarah</t>
  </si>
  <si>
    <t>S33 Adam</t>
  </si>
  <si>
    <t>S32 Michele</t>
  </si>
  <si>
    <t>S31 Jeremy</t>
  </si>
  <si>
    <t>S30 Mike</t>
  </si>
  <si>
    <t>S29 Natalie</t>
  </si>
  <si>
    <t>S28 Tony</t>
  </si>
  <si>
    <t>S27 Tyson</t>
  </si>
  <si>
    <t>S26 Cochran</t>
  </si>
  <si>
    <t>S25 Denise</t>
  </si>
  <si>
    <t>S24 Kim</t>
  </si>
  <si>
    <t>S23 Sophie</t>
  </si>
  <si>
    <t>S22 Rob</t>
  </si>
  <si>
    <t>S21 Fabio</t>
  </si>
  <si>
    <t>S20 Sandra</t>
  </si>
  <si>
    <t>S19 Natalie</t>
  </si>
  <si>
    <t>S18 J.T.</t>
  </si>
  <si>
    <t>S17 Bob</t>
  </si>
  <si>
    <t>S16 Parvati</t>
  </si>
  <si>
    <t>S15 Todd</t>
  </si>
  <si>
    <t>S14 Earl</t>
  </si>
  <si>
    <t>S13 Yul</t>
  </si>
  <si>
    <t>S12 Aras</t>
  </si>
  <si>
    <t>S11 Danni</t>
  </si>
  <si>
    <t>S10 Tom</t>
  </si>
  <si>
    <t>S09 Chris</t>
  </si>
  <si>
    <t>S08 Amber</t>
  </si>
  <si>
    <t>S07 Sandra</t>
  </si>
  <si>
    <t>S06 Jenna</t>
  </si>
  <si>
    <t>S05 Brian</t>
  </si>
  <si>
    <t>S04 Vecepia</t>
  </si>
  <si>
    <t>S03 Ethan</t>
  </si>
  <si>
    <t>S02 Tina</t>
  </si>
  <si>
    <t>S01 Richard</t>
  </si>
  <si>
    <t>S28 Tony (1/3): I've been a police officer up in Jersey City for thirteen years. I'm always jumping over cars, climbing over fences, jumping from roof to roof, chasing people. So this game to me should be easy. Knock on wood.</t>
  </si>
  <si>
    <t>S28 Tony (2/3): Soon as we arrive to camp, Trish came with open arms. She says, “I had the choice of looking for the idol for myself or helping my tribe out in getting a second bag of rice.” And we were, like, so excited. We were like, “Yes, you did the right thing.” But if I was in Trish’s shoes, it would have been one bag of rice... and one idol in my pocket.</t>
  </si>
  <si>
    <t>S28 Tony (3/3): I thought for a split second, “Should I tell her I’m a cop?” But then I said, “You know what? If I tell them I’m a police officer, the first thing they’re gonna be thinking is, like, this guy’s strategical, he’s tactical, he’s probably sharp on his toes, he’s very observant.” And they’re gonna be right. So obviously I’m a threat to them, so they’re gonna probably want to try and blindside me right away.</t>
  </si>
  <si>
    <t>S28 Tony (1/7): I’m looking at Cliff. I can’t tell you for a fact what basketball team he was on or what he did for a living or what he does for a living because I don’t really care. And then we have Lindsey and Sarah and Woo. Apparently they... they’re like fans of him. This is a game, I understand how the game is played. I just gotta make sure I’m aware of what’s going on.</t>
  </si>
  <si>
    <t>S28 Tony (2/7): I trust Trish. She’s a genuine person. So she’s out there, she’s busting her ass too, while everybody else is just full of drama.</t>
  </si>
  <si>
    <t>S28 Tony (3/7): Trish and I, we’re walking on eggshells with these people and that’s when I came up with the idea: I could try to spy on them. So as I’m building the shelter, I’m trying to act like I’m trying to protect ‘em from the rain and everything, but I’m building a spy shack. I’m trying to cover up a little cubby-hole in the corner and I’m gonna run around the beach and crawl up to here and I’m gonna be right here listening to what they gotta say and I’m gonna hear everything. So whatever Useless Cliff tells Weasel Woo, I’m gonna know crucial information. That’s the key to this. It’s not just small talk, it’s gonna be big talk. That’s what I’m looking for. My main target is Cliff. The lion of the pride. So in order to take over the pride, the other lion has to come in and kill that one. And then he has to kill the cubs. I have more brain than brawn. Little do they know.</t>
  </si>
  <si>
    <t>S28 Tony (4/7): We prevailed. We won some fishing gear. We won the whole works. We have olive oil, we have sea salt, it’s just beautiful. It’s a beautiful thing. The first thing that popped in my mind: there has to be some kind of idol or a clue to an idol in that basket.</t>
  </si>
  <si>
    <t>S28 Tony (5/7): I opened up the little wooden tackle box and I see the piece of... little piece of paper in there. So when I went back into the basket, I took it out and I put it in my pocket. This is what it looks like. This is what it looks like! (unfolds clue) This is what it looks like! “The ocean offers fish, your well offers drink, another body of water offers protection...” – and protection’s what I need right now – “Tied to something solid is the idol you want to get. Very hidden but not too deep and requires that you get wet.” I love it! And I know exactly where this thing is! It’s in the pond that we have behind camp and there’s a big, big monster log and that’s solid. (kisses the clue) I love you! Love it!</t>
  </si>
  <si>
    <t>S28 Tony (6/7): I went right into the lake and finally I felt a lump and sure enough, it was an idol right there and I found it!</t>
  </si>
  <si>
    <t>S28 Tony (7/7): I don’t need to tell anybody about the idol, it’s not gonna benefit me in any way to tell anybody about the idol because that’s just gonna give them leverage for them to try to sneak attack me and I don’t want that. I’d rather try to sneak attack them. So that idol? Nobody will know about it.</t>
  </si>
  <si>
    <t>S28 Tony (1/5): I don’t trust nobody here! They’re against me and I’m by myself. Me, myself, my idol and I. (chuckles) Now there’s four of us. But, uh, I was sitting by the fire all by my lonesome and Sarah comes over and I said to myself – let me just give her something and see what happens. So I say, “Y’know what Sarah?” I said, “Listen. I’m also a police officer. You were right when you… when you told me.”</t>
  </si>
  <si>
    <t>S28 Tony (2/5): I told Sarah of one conversation that took place between Cliff and Lindsey, but that was a lie. That was a total lie. I just told her I heard stuff, just so I could try to get her on my side. To me, it means nothing. Y’know, you could swear on your kids and your family and your dead grandmother. It doesn’t matter to me. It’s just words.</t>
  </si>
  <si>
    <t>S28 Tony (3/5): I-I haven’t been dry for more than a couple hours on this Island. Non-stop rain. It’s just really bad for morale, we’re all miserable. I mean, this is, this is what I envisioned hell to be like.</t>
  </si>
  <si>
    <t>S28 Tony (4/5): No matter what you tell anybody, you can’t trust them. I don’t trust nobody here! Nobody here! None of them! And I’m sure they don’t trust me.</t>
  </si>
  <si>
    <t>S28 Tony (5/5): When we brought back the comfort items from the Reward/Immunity Challenge, I said to myself: “There might be a potential clue in there or potential advantage of some sort.” My-my brain is ticking while theirs is not, I guess. I don’t know what’s going on with the rest of my tribemates, but the first thing I’m saying is, “I gotta get my hands on everything.” So I took the hammock off to the side, just in case something fell off and I open it and a little piece of paper that looked like a clue fell out and dropped on the floor. I immediately put my foot right on top of it. I looked around – nobody’s there. I bend down, pick it up, put it in my pocket. It didn’t pertain to anything I needed. I already have the idol, but I wanted to make sure that if there was anything in there, if there was a clue in there or if there was anything in there, an advantage of some sort – I wanted to get my hands on it. I didn’t want nobody else to see it. And that’s what I did.</t>
  </si>
  <si>
    <t>S28 Tony (1/1): I saw Woo and Sarah whispering something and I say, you know, let me go see what’s going on. So I go up to them and they look like this, (mimes wide eyes) like a deer in the headlights as soon as I walked up. So I pulled Sarah to the side. “Hey Sarah, what’s going on?” A few days ago, I went to Sarah and I fed her some kind of lie telling her that I heard Cliff and Lindsey talking about her. And I think from that moment on, I think I changed the game by having her on my side. So I believe now that she’s part of my alliance. As far as Sarah’s concerned, Woo’s on her side which means he’s also on my side. So I believe we’re in an alliance of four right now against Cliff and Lindsey. She had me swear on my badge, which... That doesn’t mean anything to me, swearing on my badge. ‘Cause I’m here to lie, cheat and steal. I’m here to drag people’s dreams through the mud so I can fulfill mine. That’s what I’m here for. Whatever I have to do, I’m gonna do. It’s as simple as that.</t>
  </si>
  <si>
    <t>S28 Tony (1/3): How could we lose this challenge? It was custom-made for Brawn. Fortunately, we’ve got the numbers. Let's strike now. LJ’s a threat, so he’s going home first.</t>
  </si>
  <si>
    <t>S28 Tony (2/3): Trish pulls me to the side and says she wants to get rid of Cliff. We need to cut the head off the snake. Which is crazy! I don’t know if she’s bipolar, or schizo. I don’t know what she is. But there’s no reason to do this right now. What we need to do is get rid of LJ. He has the heart, he has the drive, he has the ambition, y’know, he has the strategic mind. So he’s dangerous.</t>
  </si>
  <si>
    <t>S28 Tony (3/3): Here’s the deal: I don’t like Cliff. I didn’t trust him from the beginning because Cliff is a very influential person and he wraps people around his finger which makes him a very dangerous person. But! If we get rid of Cliff, I’m putting all my cards on LJ. Do I trust him? Hell no! So I don’t know what I’m gonna do.</t>
  </si>
  <si>
    <t>S28 Tony (1/6): Just as we expected: you turn the head, the body always follows. She was the body, Cliff was the head. She followed right behind him out the exit door. And it was a beautiful thing. Two for the price of one.</t>
  </si>
  <si>
    <t>S28 Tony (2/6): There’s so much more energy in the camp now that Cliff is gone and now that Lindsey’s gone. We went there and we made a statement: we’re less in numbers, but we’re high in morale. And we showed it to them and we won the challenge.</t>
  </si>
  <si>
    <t>S28 Tony (3/6): So after winning today’s Reward Challenge, Jeff gave us instructions on what we can do in that tribe. There was also a part two to the instructions and it was a Hidden Immunity Idol clue. Woo and myself read it and it didn’t pertain to the Aparri beach. It pertained to the Solana tribe where we have a wall of rocks.</t>
  </si>
  <si>
    <t>S28 Tony (4/6): I think it would be great to try to oust one of these people to stir up the pot and the strongest person on the Aparri team right now is Jeremiah.</t>
  </si>
  <si>
    <t>S28 Tony (5/6): So I gave him the clue. Meanwhile, I’m sure it was going through everybody’s mind at the tribe, like, “Why is Jeremiah getting the scoop? What’s going on?” So they already, probably... Their wheels are spinning, like “Uh-Oh, he’s gonna go find the idol,” blah-blah-blah, blah-blah-blah.</t>
  </si>
  <si>
    <t>S28 Tony (6/6): I bonded with the old Aparri tribe for thirteen days and I had nothing. Nothing for them. No feelings for any of them except for Trish. I come here to the new Solana tribe and we just bonded and it’s just harmonious now.</t>
  </si>
  <si>
    <t>S28 Tony (1/7): When I first started this game, I wasn’t having fun with my tribe members. Now I’m out here with the new Solana tribe and I’m having fun with everybody. Day 17 and I’m having the time of my life. But it’s kinda boring to be honest with you because there’s no scrambling going on, there’s no trickery going on, there’s no spying. And that’s fun for me, y’know?</t>
  </si>
  <si>
    <t>S28 Tony (2/7): The feeling that I have with this idol, I feel like it’s an extra person in my alliance. We have five, plus the idol. If any of my tribe, the Solana Five, need it, I’ll help them out. So I think we’re in pretty good shape.</t>
  </si>
  <si>
    <t>S28 Tony (3/7): Wow, there’s a Hidden Immunity Idol with special powers?! I mean, it’s powerful enough on its own, but now it’s special powers? There’s only one way to find out what these special powers can be, and I guess that person that finds that idol is the only person that’s going to know what those special powers are. Of course I’m going to go look for it. I’ll spend, two, three, four days looking for it!</t>
  </si>
  <si>
    <t>S28 Tony (4/7): We might be in some trouble. Six against five is pretty tough, so the only hope that I had, personally, was Sarah ‘cause Sarah was an old Aparri and, uh, she swore on her badge to me, telling me that she wants to be with me. But my biggest fear is that if Sarah doesn’t flip, we’re done; I’m done. I don’t want to be done.</t>
  </si>
  <si>
    <t>S28 Tony (5/7): As it stands right now, there’s a group of five which is my alliance and there’s a group of six where it’s half Brain and half Beauty and then you have Sarah. That makes the sixth person. We need one person to come on our side and it’ll flip the script and make it six my side, and five their side. So Sarah... I’m hoping Sarah’s the missing link to this.</t>
  </si>
  <si>
    <t>S28 Tony (6/7): My goal is to make Sarah believe that I want to sit at the Top Two with her, just like we mentioned. Two cops sitting in front of the jury. So I’m gonna promise her, I’m gonna guarantee her, I’m gonna do whatever it takes to reassure her that I’m not lying to her, that I really want her to come on our side and move forward with the game as opposed with the other tribe.</t>
  </si>
  <si>
    <t>S28 Tony (7/7): When Sarah’s telling me, “Let me think about it, let me make my decision at Tribal Council.” Are you kidding me?! I couldn’t believe she said that! And I look at her and you know what? They were right. I talked to Sarah and I got a good, strong feeling that she’s not coming on our side. So one thing’s for sure. If I feel a little iffy-iffy, that idol’s being played. I’m not going home with the idol.</t>
  </si>
  <si>
    <t>S28 Tony (1/6): I am so pissed off that we didn’t win that challenge today where we could’ve went and eaten a nice juicy steak. But you know what they say? It’s better to be pissed off than to be (expletive censor) on.</t>
  </si>
  <si>
    <t>S28 Tony (2/6): Kass is telling me how she’s gonna be solid with us. She seems sincere, but she’s really hard to read because she doesn’t have any facial expressions. She’s just like a stone face. I can’t tell if she’s lying to me or not, and I’m a police officer. So I’m hoping she stays with us, but again, you always gotta prepare for the worst. Last night at Tribal, LJ and I played idols. But there’s a Hidden Immunity Idol with special powers around camp. That’s a needle in a haystack. But there’s nothing but time on this Island, so I went out there and I started looking in tree holes, climbing trees. I’m doing all kinds of stuff ‘cause I need to find that idol! It’s a security blanket that I would love to cover myself with.</t>
  </si>
  <si>
    <t>S28 Tony (3/6): It’s a mad treasure hunt for this idol and you know me: I love action. So I was like, you know what? I’m in. Count me in! Which way is this?</t>
  </si>
  <si>
    <t>S28 Tony (4/6): You have two different alliances just looking for an idol at the same time. You know it’s bad when Morgan – the girl that you can’t tell if she’s a pillow or a person ‘cause she doesn’t do anything – you know it’s serious when she’s up on her ass and she’s looking for this idol.</t>
  </si>
  <si>
    <t>S28 Tony (5/6): Spencer was very desperate to win and he won. He pulled it off. That’s the will that you need out here, y’know, to survive.</t>
  </si>
  <si>
    <t>S28 Tony (6/6): Tasha’s definitely a physical threat and a social threat. But Morgan does not deserve to be here. People that work hard, that bust their ass around camp, deserve to be here. People like Morgan, that don’t do anything – they don’t deserve to be here. As far as numbers, my alliance is in the power position right now. It’s six of us against four of them. But it’s not as easy as it sounds. The problem with tonight’s Tribal Council is going to be that if Spencer found that idol, it’s going to be very tricky on who we vote for. If they have an idol and we vote for the person that used the idol, one of us six is going home. If they don’t have an idol and Kass flips back with them, there’ll be a tie: 5-5. We draw rocks. One of us goes home. So I’m hoping she stays with us because if she doesn’t, it’s gonna cause some trouble.</t>
  </si>
  <si>
    <t>S28 Tony (1/10): When Jeff turned over that card and it said “Tony,” I probably pooped on myself. I wasn’t expecting to see my name. I’m a forty-year-old, bald, old man. You have Woo that’s clearly more athletic than me. You have LJ that’s younger and more athletic than me. Why am I a threat? Why is everyone trying to get me out?</t>
  </si>
  <si>
    <t>S28 Tony (2/10): Now, here we are again: six against three. But it’s never that easy just because you have three sitting ducks. I could be gone tomorrow. I’m not going to sit there and make a fool out of myself by saying, “Yeah, I can’t wait for when we get to the six.” That chance might never come for me. And it’s definitely not going to come for some of them.</t>
  </si>
  <si>
    <t>S28 Tony (3/10): Looking at LJ is like looking at myself in the mirror. He’s sharp, he’s keeping himself two, three steps ahead. So I would like to see LJ gone, but I don’t want to be the bad one to get rid of LJ because he is my alliance. We’re tight and he trust me 100%. So I have to try to trick LJ to make him want to break a promise that he made to one of our six. Once he does that, that’s my safe way out. I’m not only leading the horse to the water, but I’m going to make the horse drink the water. That’s my goal right now.</t>
  </si>
  <si>
    <t>S28 Tony (4/10): I’m telling LJ that I’m very nervous about Woo having an idol, but it’s not true. LJ proposed to me: “Let's blindside Woo.” That’s all I wanted to hear. So I’m going to tell people, “You don’t know what he’s thinking.” He’s quiet and he’s sneaky, and that’s more scarier than a person like me. Y’know, I’m in your face, but LJ, on the other hand, he’s been thinking about all you guys since Day 1 behind your backs and you wouldn’t even know about it. And that’s what I have to do. I have to pin everybody against LJ.</t>
  </si>
  <si>
    <t>S28 Tony (5/10): So today we get Tree Mail and it says it’s gonna be a Reward Challenge. And when you go in for immunity and get pampered and people get sensitive and emotions come out, they might form bonds. There’s possibility of talk there. There’s possibilities of strategies being mentioned and scenarios. So it’s very scary and that’s why I want to win this challenge. If anybody’s strategizing, coming up with plans, it’s gonna be me.</t>
  </si>
  <si>
    <t>S28 Tony (6/10): Winning reward – sometimes it can be very crucial in the game. I’m gonna talk to Spencer and Jeremiah because I’m thinking of blindsiding LJ. I mean, you might as well just call me “The Opportunist” because if I see an opportunity, I’m gonna jump on it.</t>
  </si>
  <si>
    <t>S28 Tony (7/10): Talking to Jeremiah and Spencer is allowing me to have another big move that’s gonna get me to the top. I just need them for one vote when it’s time to take LJ out and then I’ll go back to my alliance. But right now, they’re desperate. When people are desperate, you do the thinking for them. So whatever I tell them, they’ve got to go with it. If they go against me, they’re sealing their own fate.</t>
  </si>
  <si>
    <t>S28 Tony (8/10): This challenge today is huge. I’m thinking in my head: LJ’s a clever guy. It’s going to be a matter of who throws the first punch between the both of us. Timing is everything and this could be my time to strike. So if LJ doesn’t win immunity, he might be the next one going home.</t>
  </si>
  <si>
    <t>S28 Tony (9/10): Here’s the deal: I’m not going to wait to get a punch thrown at me by LJ. He said he was willing to blindside Woo. It’s true I kind of set him up, but I don’t care. I’m gonna try to pin all the trouble making around camp on LJ because that’s what I have to do. LJ’s a threat. So I gotta strike now before he gets the idea of doing it to me. But first, I have a lot of work to do.</t>
  </si>
  <si>
    <t>S28 Tony (10/10): Right now, I have a huge plan in play, but Trish is telling me let’s just keep the Six strong. So if I get rid of LJ, there’s going to be a lot of hard feelings. Trish has been with me since Day One. She’s my closest ally, but if I do this, she might turn her back on me and the whole thing could blow up in my face. If that’s the case, then I’m going to have to stick with my alliance. I’d rather make my power move now, but in life, as in Survivor, you’ve got to know when to kiss ass and gotta know when to kick ass. And unfortunately I’m in a position right now where I might have to kiss ass and get rid of Spencer or Jeremiah.</t>
  </si>
  <si>
    <t>S28 Tony (1/9): Right now, my red flag is raised because I blindsided LJ. I’m in trouble, so I’m gonna have to do something to get myself out of it. Most people, including myself, we go all the way to the water well ‘cause it’s a bit further away from camp where people can’t hear you and that’s where they talk strategy. So I started working on some blueprints to make a nice little shack around the water well. The water well is here, there’s a tree there and I put some bushes and some shrubs and some broken branches where I can hide right in there and I’m within five feet away. That’s where I’ll be the most patient: when I’m sitting in my spy shack.</t>
  </si>
  <si>
    <t>S28 Tony (2/9): While I was doing my surveillance, I did hear Jefra and Trish talking and, uh, Trish said that Tony’s going to win a-an Academy Award for his acting skills.</t>
  </si>
  <si>
    <t>S28 Tony (3/9): Right now, in the game, I trust Trish, I trust Woo, I trust Kass. That’s pretty much it. I-I don’t really trust Jefra anymore because she doesn’t trust me and if she doesn’t trust me, I’m not gonna trust her. So now I’m in trouble.</t>
  </si>
  <si>
    <t>S28 Tony (4/9): We lost today’s challenge and the first thing that comes to my mind is we’re in trouble. Tony’s in trouble too, but we’re all in trouble now. There’s four people: Spencer, Tash, Jeremiah, Jefra – Jefra that doesn’t believe in me anymore; that doesn’t believe that she’s in an alliance anymore. That’s a problem. Bad things are going to happen.</t>
  </si>
  <si>
    <t>S28 Tony (5/9): I’m telling Trish I’m trying to talk strategy, I’m trying to do something, trying to enlighten them on what’s going on; how-how crucial this was today. I mean, this can be the beginning of our demise. And she’s saying, “Where’s the limes and the papayas?” So Tony has to go strategise by himself as usual. And I just need a few minutes to myself, I’m gonna go look for the idol. As far as the idol that’s hiding in the riverbank, is very possible that Spencer, Tash or Jeremiah have it. But when we had a merge, it said hidden near camp is an idol with special powers. That’s all I know about it. Let me find that idol. I’ll be Super Tony. Tony in trouble no more.</t>
  </si>
  <si>
    <t>S28 Tony (6/9): No necklace for Tony once again. So today, I’m not chopping down no wood, I’m not making a fire, I’m not boiling water. I’m on a mission. I need an Immunity Idol. In the past seasons of Survivor, it’s always something iconic. Something... Some landmark. So I figured there’s a crazy-looking tree behind Tree Mail. I checked that when I first came here. I’m gonna check that again. I’m looking for that special idol. And you know what? I’m gonna find it.</t>
  </si>
  <si>
    <t>S28 Tony (7/9): So I went to the crazy-looking tree by Tree Mail. Nothing is there. So I say, “Y’know what? Let me just walk the path in case something pops out.” I run into a tree. It looked like a rocket ship! It had, like, these big roots like... I’ve never seen anything like it! I said, “I gotta start looking here.”</t>
  </si>
  <si>
    <t>S28 Tony (8/9): So I start digging, I start scratching. And then I felt something! So I took a piece of stick and I start digging, I start digging, I start digging! I said, “Oh please, please let this be it!” I almost passed out. I was just so happy. And then when I opened it, it’s the special idol. Oh! This special idol that I found today is priceless. After you see the votes, you can use it? (blows raspberry) Everybody’s eyes say, “Bing!”</t>
  </si>
  <si>
    <t>S28 Tony (9/9): You know how powerful that is? I’m gonna show you how powerful that is.</t>
  </si>
  <si>
    <t>S28 Tony (1/13): Historically, in the game of Survivor, every time there’s an Auction, there’s always some kind of advantage to a challenge. The second I hear Jeff say, “Adva... (raises hand) Five hundred!” I want that advantage and I don’t want Spencer or Tash to have it.</t>
  </si>
  <si>
    <t>S28 Tony (2/13): My stomach is starting to tie up in knots. I-I-I didn’t know if I could hold out on temptation. I-I felt shaky, I felt light-headed and I just had to hold off. I wasn’t walking out of there without an advantage.</t>
  </si>
  <si>
    <t>S28 Tony (3/13): There’s five people in my alliance. All of them were eating. I sacrificed all that food. I’m starving. So I-I felt kind of disgusted, y’know? It’s like, why-why put all that weight on my shoulders?</t>
  </si>
  <si>
    <t>S28 Tony (4/13): The girls don’t do anything. You guys wanted to eat, I starved. This is what I sacrificed not eating for. Right here. So as my alliance is all talking about how good they feel that they ate this and they ate that, I say, “Guys, I’ll be right back. I’m just gonna go for a walk up the beach.”</t>
  </si>
  <si>
    <t>S28 Tony (5/13): I open up my tube that I won at the Auction today and lo and behold: it’s not an advantage in the next Immunity Challenge, it’s a clue to a Hidden Immunity Idol!</t>
  </si>
  <si>
    <t>S28 Tony (6/13): As it stands right now, I have a special-power idol, and now I have the possibility of finding another idol that I can just do whatever I want with it. If I could find it, I don’t have to worry about nothing. Once I have this bad boy, I’m in power.</t>
  </si>
  <si>
    <t>S28 Tony (7/13): When Spencer told me that the girls could be in cahoots with each other, and they want to oust the guys, I was thinking that, “You know what? Hold up, don’t trust Spencer just yet ‘cause he’s desperate, but you’ve got to look into it.” Then I said to myself, “Y’know what? It just makes so much sense. They’re gonna say guys are threats – let’s just try to get rid of them one-by-one and they can do it because right now we have four girls, three guys.” All the tell-tale signs are there that they need to blindside me. They won’t want me to go to the end. But I’m not going anywhere. I’ll take matters into my own hands like I usually do.</t>
  </si>
  <si>
    <t>S28 Tony (8/13): After finding all that out with Spencer, then I said to myself, “You know what? It’s four girls and three guys. They might be up to something. They might want to make a power move.” So I say, “You know what? I’m gonna get that idol right now. That’s priority number one.”</t>
  </si>
  <si>
    <t>S28 Tony (9/13): That’s the third idol that I found this game! Right now, I currently have two idols in my possession –one special one, and one idol that I can just play around with. I can use it for me, I can give it to somebody to blind somebody else. I feel like I’m on top of the world – on top of this game!</t>
  </si>
  <si>
    <t>S28 Tony (10/13): I decided I was going to show my alliance that idol. I showed each individual one; I said, “Listen, I have the idol. We’re protected.” But what I really wanted to tell them is, “I’m protected, so don’t even think about voting for me.” It’s still four girls and, uh, I made a conscious effort to try and scare them a little bit. Just in case they’re even thinking or plotting to vote against me, they know I have an idol.</t>
  </si>
  <si>
    <t>S28 Tony (11/13): Tonight at Tribal Council, if Tash didn’t win that necklace, she was going home. So now we have to resort to Plan B which is Spencer. This is the worst case scenario for me. Tasha’s still here. It’s still four girls. With Spencer gone, it’s only two guys now. It’s very easy to see it’s four against two! They could pick us off one-by-one! So you know what? I have to turn on one of the females in my alliance and the only female that I can turn on is Jefra right now. She was willing to turn on me. She was willing to turn on all of us. So it’s once again time to change the game.</t>
  </si>
  <si>
    <t>S28 Tony (12/13): But now here’s the problem: I won’t be able to tell Trish or Kass that I’m planning that, so we’re obviously going to need Spencer and Tash in this.</t>
  </si>
  <si>
    <t>S28 Tony (13/13): He’s actually looking for that idol! And that, to me, is scary. It’s alarming that Spencer was doing that when I was trying to come up with a plan to save him. So I’m going through my mind: “Is voting off Jefra a good idea? Is it good for my alliance? Is it good for my game? Or is it better to just get rid of a threat like Spencer?” ‘Cause Jefra really is not a threat and Spencer’s lethal out here, y’know. You see what he’s done! I don’t know what to do at this point. I would say I’m driving myself crazy, but I don’t think it’s me driving myself crazy. I think it’s the game that’s driving me crazy.</t>
  </si>
  <si>
    <t>S28 Tony (1/6): For some reason Kass says “I heard you talking about me” and I'm looking at her and said “What are you talking about? Nobody's talking about you.” She's off her rocker. I don't know what's wrong with that girl and I don't even care. Just stay with me. Let's keep the numbers going. Let's-le-let’s keep on voting people off. Let me take you to the end with me so I can win the votes. That's all I care about.</t>
  </si>
  <si>
    <t>S28 Tony (2/6): I don't like tension around camp. Kass, she was mad at me thinking that I said something about her. So I said “You know what? Let me just, let me just squash this and move forward according to plan so she doesn't get any brilliant ideas to try to oust me.”</t>
  </si>
  <si>
    <t>S28 Tony (3/6): Up to this point now, Woo has been a disciplined ally so I have no reason not to trust him, you know?</t>
  </si>
  <si>
    <t>S28 Tony (4/6): Woo was telling me “Oh yes, Spencer wanted to vote off Tash.” It didn't make no sense at all. And I'm saying to myself “OK, so you're lying to me!” You know, in Woo's mind he might think of making a power move right now. I might have been wrong about Woo all along.</t>
  </si>
  <si>
    <t>S28 Tony (5/6): Tash, out of all people, did not win immunity today and she's not scrambling?! Especially when she knows it's her tonight. There's something going on.</t>
  </si>
  <si>
    <t>S28 Tony (6/6): As of now, I have two idols. One regular idol and one with special powers. Special powers that it has is that I can use it after the votes are read. I don't wanna play my special idol tonight but if they call my bluff, that I'm not using the regular idol, and they all put my name down, that special idol has to come out or I go home.</t>
  </si>
  <si>
    <t>S28 Tony (1/8): Woo has been with me since the beginning. He's proven his trust and his loyalty to me throughout. The kid is genuine and it just tears me apart that I'm gonna have to eventually blindside him. You don't want to take someone like Woo to the end because he might have a shot at getting a few votes. He might get a lot of votes and that's not good for business. I'm just thinking about my family. My wife told me “Tony, when you go out there, don't do anything stupid. Try to win the game.” Taking Woo to the end is stupid. I'm going to listen to my wife on this one.</t>
  </si>
  <si>
    <t>S28 Tony (2/8): Both the idols I have now, even the idol with the special powers, have to be used when it's down to five Survivors left. My intentions are to lie to them and act like the special power idol, I'm allowed to use it when there's four Survivors left. If they do believe my bluff, I'm guaranteed final three.</t>
  </si>
  <si>
    <t>S28 Tony (3/8): The game right now is in my hands. I have the power right now. I'm in the driver's seat and I want to stay strong with Trish and Kass because those are the two less likely people to win more votes over me. I know I have Trish but Kas and I, we have to solidify some kind of plan.</t>
  </si>
  <si>
    <t>S28 Tony (4/8): That was the last straw that broke the camel's back. It's like “Are you kidding me?!” Strategically, Kass is perfect to bring to the end but she's such an insult to this game! So, as far as I'm concerned we're done.</t>
  </si>
  <si>
    <t>S28 Tony (5/8): Worst case scenario came true for me today. Spencer has won immunity once again so now we have to speed up the process of elimination from our own alliance. Which is going to be very, very, very hard.</t>
  </si>
  <si>
    <t>S28 Tony (6/8): Today I was doing a lot of scrambling, a lot more lying. All because Kass went blabbing her mouth to Woo telling him that I was taking her to the final three. The problem is I didn't make any promises to Woo to go to the final three and now he's suspicious of me.</t>
  </si>
  <si>
    <t>S28 Tony (7/8): Kass might be a beautiful person on the outside world but as far as Survivor is concerned she is absolutely horrible. Why would she go and tell them I said all this stuff unless she was looking to blindside me? Therefore, she's going home. Period.</t>
  </si>
  <si>
    <t>S28 Tony (8/8): I just saw Woo talking to Spencer and Kass and I'm thinking to myself “What the hell just happened?” I thought we were a strong alliance. I gotta just make sure that me and Woo are on the same page. If not, I might have to break my promise and change the plan. I don't wanna do that but we'll see what happens tonight.</t>
  </si>
  <si>
    <t>S28 Tony: I'm probably the villain. But everything I did was survival-based. I came out here to win a million dollars and my focus is still to win a million dollars.</t>
  </si>
  <si>
    <t>S28 Tony (1/13): I'm a little bit sad that I had to oust one of my best allies, one of my most loyal, most honest, most sincere, most genuine ally, which was Trish. But I had no choice but to stick to the plan of the vote and, uh, I feel horrible about it. But I think it was the most strategic move for me to make.</t>
  </si>
  <si>
    <t>S28 Tony (2/13): Back home in the motherland, I'm a police officer. I can't be corrupt. Out here, all I'm doing is bluffing and I'm lying my ass off. I've been telling them about this special idol now. Just planting the seed in their head that I'm gonna use it but I've been bluffing saying that I can use it for final four. But right now, this idol is nothing more than a souvenir. It's useless in this game because today was the last day I could use it at this Tribal Council. The only thing that I have going for me right now is my bluff. But if I don't pull this off and I don't win an individual Immunity Necklace, I might be in serious trouble so close to the end where it's going to hurt the most.</t>
  </si>
  <si>
    <t>S28 Tony (3/13): I'm looking around, I'm looking around like please, I was looking for my wife and I didn't see my wife and... (takes deep breath) I've seen my best friend Arnold and it sucks because I was anticipating my wife, you know, I was looking forward to seeing my wife but I just don't think she could leave a four month old baby home to come out here. I mean it was hard enough for me to do it but I know it was in her mom's hands.</t>
  </si>
  <si>
    <t>S28 Tony (4/13): Arnold told me everything about my little baby. He told me... (stands up, looks away from the camera and wipes tears) He told me that my baby is almost twice the size. I was so happy to hear that, you know, it was like my daughter is in her mom's hands, I'm at peace.</t>
  </si>
  <si>
    <t>S28 Tony (5/13): Spencer, Kass and Woo are still under the impression that I have an idol that I can use at final four. That's why I feel safe. But all I wanted was to wear one Immunity Necklace, one time. And I'm crying about I didn't even get a chance to wear an Immunity Necklace and Spencer says “Hold on, Tony. That's what I want to talk to you about.”</t>
  </si>
  <si>
    <t>S28 Tony (6/13): So we walk to Tree Mail and he's like “Tone, it's going to be final two this season.” He's a super fan so I'm listening to him and he makes all the sense in the world.</t>
  </si>
  <si>
    <t>S28 Tony (7/13): Here I am, Day 38, and now my destiny lies in Woo's hands. My back is up against the wall. He's not going to be so easy to convince to vote against Kass.</t>
  </si>
  <si>
    <t>S28 Tony (8/13): So I wanna be as subtle, as soft as I can but at the same time aggressive. I'm just planting the seeds once again hoping something catches.</t>
  </si>
  <si>
    <t>S28 Tony (9/13): My argument to Woo is a pretty valid argument. Woo has based this game around loyalty, honor, integrity and so I'm telling him “Woo, final two, for you to oust me now, you just threw your game plan out the window!”</t>
  </si>
  <si>
    <t>S28 Tony (10/13): Is he buying it? I wouldn't buy it. I'd take my chances with Kass.</t>
  </si>
  <si>
    <t>S28 Tony (11/13): Today we take a walk to Tree Mail. (blows raspberry) Oh my goodness! Eggs, croissants, sausages, bacon. I'm really am loving life.</t>
  </si>
  <si>
    <t>S28 Tony (12/13): I'm still in Survivor mode. As a matter of fact, there was a clue in the basket. I've seen the clue and-and automatic I went into my basic instinct. So you know, Woo is cooking up the food and as I'm talking to him I grab the clue, put it in my pocket and I was like “What else could this be? Maybe it's a free vote or something!” you know. I don't know what it was. So then I took it behind Woo's back and I started reading it and it just gave me a hint about going to the back of the camp and there's another surprise waiting for me. So I said “Let me just go see what this is.” And it was a mirror with a scale. I looked in the mirror and thank God it didn't crack.</t>
  </si>
  <si>
    <t>S28 Tony (13/13): I came out here not knowing anything about making fires, not knowing anything about cutting palm fronds, I never held a machete in my hand in my life. I just used my common sense. Throughout this game, Tony had so many names: Tony In Trouble, Tony In Charge, Tony In The Driver Seat, Tony In Control. Today, I feel like I'm a Tony In Need of a Million Dollars. The million dollars was my main priority to come out here to better my life, better my wife's life and all my wife wants is a pink chandelier for my baby daughter. And my baby daughter is going to have a beautiful pink chandelier when I get back home.</t>
  </si>
  <si>
    <t>S29 Natalie (1/2): On Amazing Race we had all the basic needs. You take away all the basic needs and that's Survivor. Survivor is going to be way harder than Amazing Race.</t>
  </si>
  <si>
    <t>S29 Natalie (2/2): I really like Jeremy, you know, the way he fought today and the way he, his emotions after he had sent his wife to Exile Island showed, like, real true, like a good heart, you know. So I would say if I had to choose one person as my designated Twinnie, it's Jeremy. Everybody loves a firefighter.</t>
  </si>
  <si>
    <t>S29 Natalie (1/1): (weeping) Oh, Nadiya got voted off. She's probably fine and its just that we're not together will be the hard part. Now it's just, like, really good motivation for me to keep my head in the game and just play hard so that I can just at least go as far as I can.</t>
  </si>
  <si>
    <t>S29 Natalie (1/2): I don’t understand how you come out here and you’re with total strangers and you don’t feel the need to just pull your own weight. Drew is just a waste of space.</t>
  </si>
  <si>
    <t>S29 Natalie (2/2): Well, I don’t feel sorry for Julie at all. Julie’s just covering his ass and trying to cover her’s. Knowing that Big John made some racist comments and homophobic comments, I just want the other tribe to just grow, you know, a pair of balls and just stand up against him.</t>
  </si>
  <si>
    <t>S29 Natalie (1/2): Drew, he's scared the girls are going to vote out guys which is stupid. We don't even have the numbers to do that but he's convinced of this girl-girl alliance. Luckily, the guys have kind of a mess, you know. They're not on the same page, which is good.</t>
  </si>
  <si>
    <t>S29 Natalie (2/2): Getting rid of Drew... that would be so sweet if we can pull this off. He's so annoying but we have to do it now while the guys are all over the place.</t>
  </si>
  <si>
    <t>S29 Natalie (1/3): Me making this move to volunteer to go to Exile, I hope it plays in my favor. Once I merge I'll just prove to Missy and Baylor like, “Listen, we need to take care of Natalie if she's not taken care of.”</t>
  </si>
  <si>
    <t>S29 Natalie (2/3): Baylor has the Immunity Idol clue. She straight up showed it to me. I didn't ask her, she just showed it to me. Getting information from Baylor, I feel like long term is way more important to me right now than some food reward.</t>
  </si>
  <si>
    <t>S29 Natalie (3/3): Me, Jeremy, and Julie, we're on the chopping block now. Long term, whatever Baylor says, I'm listening to because Missy I trust, and so if I can trust Missy, I can trust Baylor.</t>
  </si>
  <si>
    <t>S29 Natalie (1/1): There's no real alliance between anybody here. It's kinda like Jeremy and me on one side and Reed, Keith and Wes on the other side. You know, we had Missy or we had Jon over here, we would be strategizing the entire time.</t>
  </si>
  <si>
    <t>S29 Natalie (1/1): We ended up getting the W but I decided that I would give up my spot to Jon. I just wanted to do this so that he knew that I appreciated him siding with us last night at Tribal but also just to make sure that moving forward I could always count on Jaclyn and Jon to trust me and Jeremy. and, you know, this is going to be leverage for me down the road.</t>
  </si>
  <si>
    <t>S29 Natalie (1/6): Oh my God! Talk about a blindside. It sucks because I had Jeremy as my partner. It was really hard for me but I just had to put on like a good face and just try and figure out what to do next.</t>
  </si>
  <si>
    <t>S29 Natalie (2/6): It was definitely Jon in charge of the whole blindside and, you know, I want to give Jon a little bit taste of his own medicine. I want to do it for Jeremy. It's just figuring out the right plan and the right moment. Baylor showed me her Immunity Idol clue when we were at Exile. I think it said 10 something from the flag. So, To Do List: find the idol. If I could pull it off that would be amazing 'cause I would love to get rid of Jon.</t>
  </si>
  <si>
    <t>S29 Natalie (3/6): I went back to the flag and I took larger steps this time, pass the campfire and right in the middle of camp. It's like literally the heart of our camp by the fire.</t>
  </si>
  <si>
    <t>S29 Natalie (4/6): We went berserk. We're like, literally out of our minds. We pick up the pots and we run to the water well as fast as we have ever done in our lives. This is the idol. So sick. Finding it was exactly how you'd think it'll feel, you know, just like, you're so elated, so excited. It's like my little Twinnie, it's just me and my, you know, friend out here.</t>
  </si>
  <si>
    <t>S29 Natalie (5/6): I want Jon out bad but we have to get rid of one more boy before Jon because that allows us to take out Jon and still have a majority girls. Baylor's become my number one. Me and her are on the same page as far as we have to get rid of Reed because he's really good at Immunity Challenges and all he does is make up stuff so that the target's off him and it's on other people.</t>
  </si>
  <si>
    <t>S29 Natalie (6/6): When I started closing my eyes and seeing stars and when I felt like I was going to throw up, I knew like, I was going to go out so I figured I might as well get some sustenance in my body even when I lose.</t>
  </si>
  <si>
    <t>S29 Natalie (1/5): Jon keeps saying that he knew he was going to play the idol which is total bullcrap. He wasn't going to play it and I convinced him to play it but Jon is so concerned with looking like he's the mastermind of everything he does, but he's really not at all.</t>
  </si>
  <si>
    <t>S29 Natalie (2/5): Riding horses was amazing. We got to see, like, Nicaragua from another view. We weren't stuck on a beach anymore and we were just taking it all in. It was absolutely magnificent. I don't think I'll ever forget, you know, the experience.</t>
  </si>
  <si>
    <t>S29 Natalie (3/5): Final three with me, Baylor, and Missy would be a hand-picked team for me to go to final three with. I would be a sure win, in my head. I mean, anything can happen but I would be completely comfortable going into final three with them.</t>
  </si>
  <si>
    <t>S29 Natalie (4/5): Looking at Alec and Jaclyn, I'm thinking “Why is Jaclyn flirting with him?” Jon's been gone two days and Alec's and her body language is just really inappropriate. If I had a boyfriend here, I wouldn't be acting like that with Alec.</t>
  </si>
  <si>
    <t>S29 Natalie (5/5): My fears are that Jon and Jaclyn are not as attached to the hip as they seem to be and they do have a lot of friction when it comes to how to play this game. At the end of the day, I want Jon and Jaclyn fine for tonight. I don't want any, I can't do any more surprises at Tribal.</t>
  </si>
  <si>
    <t>S29 Natalie (1/10): I've been wanting to get Jon out ever since he voted out Jeremy. So picking Jaclyn and Jon for the reward just showed that I'm such a loyal person and they would trust me even more. So then when I take my revenge, he would never see it coming.</t>
  </si>
  <si>
    <t>S29 Natalie (2/10): Reward at this point in the game is way more than just getting to sleep in a bed and enjoying pasta and, you know, chicken parm. Everybody is so comfortable now, they probably want to get rid of Keith because Keith's story and his connection with the jury is scary. But I want to blindside Jon. I'm getting back at Jon for Jeremy. I kinda don't trust Jon in the long run. All I want is to move forward with a new plan without Jon in it.</t>
  </si>
  <si>
    <t>S29 Natalie (3/10): Jon is always bringing up any excuse to talk about wine and how he wants to, I don't know, be some kind of wine specialist in the future and move to Vegas and... I don't know what it is. But he is always trying to pretend like he knows everything and the arrogance or the entitlement Jon has... Honestly, every time he talks about wine, I just want to be like, “Shut up!” It was torture, basically. (smirks)</t>
  </si>
  <si>
    <t>S29 Natalie (4/10): Jon should not trust me but I'm happy that he does. The fact that he told me that he found an idol on Exile is amazing 'cause I've become like the best friend now for him. (crosses fingers) So, getting Jon out now is really important. I just have to figure out how to do all this and if I could pull it off that would be amazing.</t>
  </si>
  <si>
    <t>S29 Natalie (5/10): Jon is very confident. He thinks that it's going to be a really easy cakewalk to the final three 'cause he's got Missy around his finger. He thinks that Baylor is not going to do anything to mess up her mom's plans. He's got his girlfriend wrapped around his finger and he thinks that I'm just going to do whatever he wants. The thing is, even though he's obnoxious, Jon's played a really good game. So, the more and more I'm thinking of the jury, I'm like, “Why risk even going to final three with somebody like Jon?” 'Cause if he wins, I will literally kill myself.</t>
  </si>
  <si>
    <t>S29 Natalie (6/10): I literally thought we could get out Jon tonight and he won immunity so we have to come up with a Plan B and fast because we have no Plan B right now. I'm just feeling kinda just like, “Oh my God! Now what do I do?”</t>
  </si>
  <si>
    <t>S29 Natalie (7/10): Jon wins immunity and I was just so mad. I feel like everything that I was doing for the last couple of days is just down the drain and it makes me really depressed at this point.</t>
  </si>
  <si>
    <t>S29 Natalie (8/10): I've been feeling completely helpless to do anything at this point. But I just realized, “Oh my God!” I could totally flip the entire game.</t>
  </si>
  <si>
    <t>S29 Natalie (9/10): Right now, the plan is split votes. Me, Jon, and Jaclyn are voting for Keith. But if I flip, and Keith and I both vote Alec, Alec would go home instead. That way Keith’s still here, he'll be loyal to me and I could use him to blindside Jon. If I do this and betray Jon, would be my biggest move yet. The only scary thing for me then is dealing with everything when I come back to camp because Jon is going to be really pissed.</t>
  </si>
  <si>
    <t>S29 Natalie (10/10): The thing is, I don't know if it's even worth it me getting in trouble with my alliance. So I'm gonna have to make a decision, I guess, tonight. Ultimately, is just deciding if I have the balls or not.</t>
  </si>
  <si>
    <t>S29 Natalie (1/4): Just the way Tribal went, I knew I had to pretend to mess up and accidentally vote out Alec instead of Keith, and act my ass off to convince them that it was a mistake. It was a risk that I was willing to take, because I just didn't want Jon to have more power and control in this game right now than he needs. I mean, I think I sold it to them properly, but it's going to be scary. But Jon is on my hit list. He's been on my hit list since he sent Jeremy home. So, it's been a long time coming, and I need to make some moves soon.</t>
  </si>
  <si>
    <t>S29 Natalie (2/4): Keith is still kinda unpredictable but I told Keith he was basically here because of me. I told him that me and Baylor, at the end of the day have his back. Hopefully, that will resonate with him and he will be a perfect person to use in a plan against Jon.</t>
  </si>
  <si>
    <t>S29 Natalie (3/4): I volunteered to go to Exile but at this point in the game, when you're body is already so drained and it's so close to the end, you can almost taste it but you're not there yet. It's been, you know, really depressing being out here. It's been really a roller coaster of emotions for me because, this is the longest I've gone without seeing or talking to my sister. I've lived with Nadiya for 28 years. We've never done anything alone and I never let anybody see how much I miss her. I never cry in front of anybody (sniffles) and I kinda always just pretend like I'm fine but (cries) Nadiya has been gone for like 30 Days now and, you know, I've been kinda doing this without her. But I'm just trying to make it into something where I can use it as motivation instead of just bringing me down. It's time to, you know, buck up and make every decision moving forward count. I have one shot to prove to myself that, you know, I left everything on the table and make this last 4 Days fully worth it.</t>
  </si>
  <si>
    <t>S29 Natalie (4/4): Jon and Jaclyn think we're all voting off Keith and Keith is going home. But my plan is to basically get out Jon. But Jon has an idol so, I know it's not going to be easy. My ultimate plan is to split the votes and blindside Jon tonight.</t>
  </si>
  <si>
    <t>S29 Natalie: When Nadiya got out it lit a fire under me that I was like, “I'm gonna get it, I'm gonna get it,” for Nadiya, for myself. Just to prove to everybody else that I'm the best one out here.</t>
  </si>
  <si>
    <t>S29 Natalie (1/9): It's good that Jaclyn had a fit in front of everybody 'cause if anybody was trying to work with her, it's not happening. It does scare me a little that now I'm in this situation where I have to trust Baylor and Missy to want to take me to the final three with them 'cause at this point they could technically vote me out unless I win immunity. But that's what Survivor is. It's a lot of work, but there's a big prize at the end so you gotta put in work if you wanna win this.</t>
  </si>
  <si>
    <t>S29 Natalie (2/9): Getting beat by a 55-year-old man is not easy. Um, I need to be able to beat him at that Immunity Challenge even with his advantage. It's going to be really tough but, if I want my plan to go the way I want it to, then I need to get rid of Keith first.</t>
  </si>
  <si>
    <t>S29 Natalie (3/9): Basically I have two decisions at this point. Missy and Baylor feel like I'm definitely going to be with Missy and Baylor. But I can decide to go with Keith and Jaclyn and say “Let's get one of these girls out.” I have an idol for myself tonight if I don't win immunity but the advantage is basically going to help Keith in the next Immunity Challenge. Totally sucks that he got it. He's going to be the hardest one to beat. I know that I'm safe to the next challenge so it is a big decision on who goes home tonight.</t>
  </si>
  <si>
    <t>S29 Natalie (4/9): I know I'm in the final four because of my idol. I also, you know, know that, uh, Missy and Baylor probably won't vote me off because they feel confident. We're so tight, we trust each other.</t>
  </si>
  <si>
    <t>S29 Natalie (5/9): One thing's for sure, big moves do win this game and I feel like I've done moves that haven't been as impactful as I'd like but, it's not about anybody else at this point. I'm just thinking about myself. It's either making a big move today. Getting rid of Baylor or Missy and risking losing it all and not making final three or kinda playing it safe and vote out Jaclyn. That's the only fear that I have is that people would be like, “Oh, look at the move Natalie made.” People are always scared of people who make big moves so if I did something big tonight then tomorrow I could be the one going home. It's scary.</t>
  </si>
  <si>
    <t>S29 Natalie (6/9): When I walked into Tribal, I had an Immunity Idol and my plan was basically deciding between keeping Baylor around or Jaclyn around. Trusting two family members in this situation, where I could be the outsider, just seemed like a really dangerous thing. So Baylor went home. Making this move, I realized that I can get rid of a couple but not be the main threat. If Keith wins tomorrow, he'd probably want to vote out Missy over me. This way, I get to go to the final three and I'm not just putting my fate in Missy and Baylor's hands. And Missy's case, in a final three, is so much stronger sitting next to Baylor than sitting without Baylor.</t>
  </si>
  <si>
    <t>S29 Natalie (7/9): The problem with Jaclyn is now, she's wearing a necklace. She knows she's like in the power seat but I want Keith gone and I hope that she doesn't let this power trip go to her head.</t>
  </si>
  <si>
    <t>S29 Natalie (8/9): I don't want Jaclyn thinking too much. “I'm trying to tell you to do what's good for you and me here. Just listen to me and let's get rid of Keith.” You know. I shouldn't spaz out but, you know, this is the end, I have a little bit room to be nervous.</t>
  </si>
  <si>
    <t>S29 Natalie (9/9): I've actually learned a lot about myself. The fact that I was able to navigate through this without the one comfort I've had my entire life, which is Nadiya, and I was able to do this on my own makes me really proud. And I know, our parents will be proud too because they feel like we can't do anything without each other. Now I need to really work though what I'm going to say to the jury. I don't want to leave having any regrets about this Final Tribal. I can't leave anything up to fate. I gotta do the jury job for them. I gotta make them see why they need to pick me and why I deserve to be the Sole Survivor.</t>
  </si>
  <si>
    <t>S30 Mike (1/4): I work in the oil and gas industry. I'm normally the one that is covered the most in oil, covered the most in mud. Same thing with this game. If you're not getting your hands dirty, you ain't going to win. My hands are going to be filthy.</t>
  </si>
  <si>
    <t>S30 Mike (2/4): So I grab this piece of bamboo that I'm about to cut. I happen to see this scorpion go by. It's not that big of a scorpion at all but big enough that I'm sure if it stung you it would do some damage. First instinct is protein. So I cut its tail off. Bang! Down the hatch. It tasted like crap.</t>
  </si>
  <si>
    <t>S30 Mike (3/4): I knew whenever I came out here, that if there was an extra chance to get protein, that I was going to take that chance. It just so happens that that might not have been the greatest decision that I ever made.</t>
  </si>
  <si>
    <t>S30 Mike (4/4): Maybe not the best decision to eat a scorpion on the first day of Survivor. But I'm the type of person, if I see an opportunity in front of me, I'm going to go grab it. I'm going to run as fast as I can and clench on as hard as I can and ride that bull for as long as I can. I saw the scorpion, I seized the opportunity. And I paid the consequence. That's your boy.</t>
  </si>
  <si>
    <t>S30 Mike (1/2): Dan lost his underwear and made this makeshift shirt-pants where he's got his belt wrapped around his waist with a shirt folded in such a way where he doesn't show his rear or his junk.</t>
  </si>
  <si>
    <t>S30 Mike (2/2): Coming from a background where I pretty much had to work hard for everything my whole life, it is in my nature to be a hard worker. So it is very frustrating to me being a true Blue Collar and then looking around and other people just aren't. Yeah, I want to play basketball with everybody, but there are stuff to be done out here to where we have to survive. You shouldn't have to tell an adult “Hey, there's stuff to be done. Get it done.”</t>
  </si>
  <si>
    <t>S30 Mike (1/2): The man that I call dad is the pastor of my church, and he taught me at a very early age that, you know, if you work hard, good things will come to you. So you don't have to tell me to do something because I see that something needs to be done and I just do it. But this Blue Collar tribe, which is supposed to have the best work ethic out of all three tribes, is failing in work ethic, and I feel like Rodney is the worst.</t>
  </si>
  <si>
    <t>S30 Mike (2/2): I'm not sitting here saying that I'm the best Christian in the world, but I do have a relationship with God. That was very offensive to me. And I mean, honestly, hurt my feelings on a personal level.</t>
  </si>
  <si>
    <t>S30 Mike (1/3): We’re still unable to get a fish, which is, uh, breaking my heart a little bit. And we’re not getting chickens, obviously. But, uh, we’ve been seeing a couple of snakes throughout camp, and we have got a snake. Any opportunity to get food, you know your boy from Texas is going to eat it. I don’t care what it is, you know what I mean? Whether it be a scorpion or a snake, it don’t matter.</t>
  </si>
  <si>
    <t>S30 Mike (2/3): The girl, Kel Kel, got knocked in the head today. She ended up getting six stitches. This is one of the toughest girls I’ve seen in a long time, so fitting the stereotype of the blue collar. I have mad respect for that and I feel like we could go really, really far in this game... together.</t>
  </si>
  <si>
    <t>S30 Mike (3/3): This loss could be exactly what the Blue tribe needed. You do not know who your true alliance is until Jeff is reading those names.</t>
  </si>
  <si>
    <t>S30 Mike (1/5): Tribal went exactly as our alliance planned. I’m 100% happy with the decision that we made tonight. I’m not happy about Sierra being cut off and alienated from the tribe.</t>
  </si>
  <si>
    <t>S30 Mike (2/5): What I would really like nothing more than to pull Sierra back in. But I don’t think that she’ll ever trust us.</t>
  </si>
  <si>
    <t>S30 Mike (3/5): The new Escameca is basically four Blue Collar, two White Collar, and one No Collar. We got the majority. So the numbers couldn’t have worked out better in our favor. But with Dan and Rodney cutting into Sierra last night, it definitely has a little bit cause of concern. These three guys could woo Sierra over. I’m gonna have to make sure she doesn’t get too close to somebody and her mind get mixed up and then swayed over to the other side.</t>
  </si>
  <si>
    <t>S30 Mike (4/5): I see Sierra talking with the three guys, which makes me a little bit nervous because if Joe, Joaquin and Tyler can flip Sierra, then it's me and Dan and Rodney on the outskirts. We need her as a number. 'Cause in this game of Survivor, if you do not have the numbers, you go home.</t>
  </si>
  <si>
    <t>S30 Mike (5/5): Dan, just listen to what I'm telling you. “Shut your mouth, apologize and let's move forward.”</t>
  </si>
  <si>
    <t>S30 Mike (1/2): Rodney and his great vast plan of, “Oh, I'm such a... an amazing strategist and I'm so good at this game,” thinks we should throw a challenge so we can get rid of Joe. Very rarely in the game of Survivor does it work out in your favor to throw challenges. But in this particular instance, I think we have a very special situation. My real alliance is with Kelly, who poor girl is on the other side all by herself. But I think Kelly's a fighter, enough that she'll find a way to make it to the merge, especially if we can throw a couple challenges and keep her safe.</t>
  </si>
  <si>
    <t>S30 Mike (2/2): By throwing the challenge today, a little something inside of me died in this game. I'm not going to lie to you. But here's the deal, I'm starting to not trust Rodney. Joaquin is just crafting Rodney in every second, more and more. And in this game, whenever you start showing that you're too close to anybody, you become a power couple. And the power couples have to be split up before they can start making power moves.</t>
  </si>
  <si>
    <t>S30 Mike (1/7): I knew by the look on Rodney's face that he was pissed and there had to be some damage control done. This is the second time that we have had to have one of our members on the out because they were too close to the situation. Anytime that you blindside somebody, it can cause a big rift in this game. So... hopefully, he doesn't take it too personal.</t>
  </si>
  <si>
    <t>S30 Mike (2/7): Now it's one tribe, and we're left with the responsibility of making a new world for ourselves. One people, battling it out for a million dollars.</t>
  </si>
  <si>
    <t>S30 Mike (3/7): Right now strategy-wise, it looks like the five Blue are still strong. So all we gotta do is pull two and we run numbers in this game. But we'll see how it all plays out because who knows who's really together and who's really forming new bonds at this point.</t>
  </si>
  <si>
    <t>S30 Mike (4/7): Our tribe Merica, it's kind of fitting because you have the White Collar, you have the No Collar and obviously the best, the Blue Collars. We're all part of the melting pot which makes America so great. So... that's our tribe name, Merica.</t>
  </si>
  <si>
    <t>S30 Mike (5/7): The game plan at this point is to run the game all the way to the end with the Blue Collars. We've got some numbers to knock out Joe being at the top of that list, but I definitely need Rodney as numbers right now. So if I gotta do Rodney maintenance, I'll go do Rodney maintenance.</t>
  </si>
  <si>
    <t>S30 Mike (6/7): Of course, the golden boy, Joe, wins the first individual immunity. So we gotta switch the plan. I'm thinking in my head, “Why not let's switch it to vote out Jenn or Hali?” I mean, we broke up a power couple and the five Blue Collars are still running this game.</t>
  </si>
  <si>
    <t>S30 Mike (7/7): Rodney thinks he's got Will, but I don't trust Will at this point. We're telling Will to write down Hali's name and, uh, the rest of us write down Jenn. When I see Hali's name written down tonight, then I'll know I can trust Will.</t>
  </si>
  <si>
    <t>S30 Mike (1/8): Joe winning this reward was devastating because probably getting a clue to the Hidden Immunity Idol on the reward. The kid's amazing, man. I don't know how I'm gonna beat him. So this is where the rubber meets the road.</t>
  </si>
  <si>
    <t>S30 Mike (2/8): I'm actually sitting in the chair with my eyes halfway open to see what's going on, acting like I'm sleeping. Joe and Tyler get up and go around the corner. They bring the dishes like they're going down the river. I knew today was going to be a mad dash because I figured there was a Hidden Immunity Idol clue at the reward. The whole time I'm tracking them down the beach from tree to tree. I'm like Spy vs. Spy. I'm jumping in bushes. I'm climbing up this tree. I'm peeking through the leaves, you know, trying to stay camouflaged where they can't see me.</t>
  </si>
  <si>
    <t>S30 Mike (3/8): Why would Joe be showing Tyler a Hidden Immunity Idol clue?! Unless he's trying to woo him over!</t>
  </si>
  <si>
    <t>S30 Mike (4/8): Joe just takes off by himself. He's out looking for the idol right now. Well no one else... is watching Joe. I gotta find Joe before he finds the idol so that... (deep sigh) we can send this guy home and it's not me. Because I honestly feel that once Joe is out of the game, if I don't have something in my back pocket, I'm the next one to go home. So, going to look for Joe.</t>
  </si>
  <si>
    <t>S30 Mike (5/8): Sure enough, I roll up and I find Joe, and it dawns on me that I want a bigger target on Joe's back. Boom! I didn't see him grab an idol. I didn't see him put an idol in his pocket. So I head to the river.</t>
  </si>
  <si>
    <t>S30 Mike (6/8): I just basically screamed out, “Hey, man. Good job on finding the idol.” He tries to play it off and, you know, I'm not gonna let him play it off. Like, I'm going to say that I believe that he found it, that I saw him put it in his pocket. The whole nine.</t>
  </si>
  <si>
    <t>S30 Mike (7/8): I've been running around looking for this idol all day, and, uh, I'm down to a little termite nest trying to get a little bit of, uh, sustenance in my belly. Help me keep going looking for this idol. Still no luck finding the idol for Mike. This is such a mind-beating exhausting game. It's tough. It's a tough part of the game. But I got to find it, have to find it. So... I got work to do. This is not an easy task. Don't think you're going to come out here and you're just going to find an idol and it's that easy because you can't. You have to keep searching, keep looking in every nook, every cranny. People who find idols in this game are the people who are working hardest in this game.</t>
  </si>
  <si>
    <t>S30 Mike (8/8): This is what we do, baby. We do the happy dance. We do the happy dance. Are you kidding me right now? You're feeling like everything's going against you, you keep digging within yourself, when you have nothing left. And this, this right here, this is what you find. And you know what? Not going to share it, because I need that protection for myself and right now I have a chance to get rid of Joe. So if Joe doesn't win individual immunity, Joe has to go. And that's just plain and simple.</t>
  </si>
  <si>
    <t>S30 Mike (1/5): Pulling Shirin in, 'cause no one would think that I would pull her in, is a perfect strategy to get rid of some of these other threats that are in this game.</t>
  </si>
  <si>
    <t>S30 Mike (2/5): Shirin's smart enough to realize that there's a group within our group. Well, I see it. You can't hide. There's only ten people here.</t>
  </si>
  <si>
    <t>S30 Mike (3/5): Opening that Snickers and smelling that caramel-y, peanut-y nougat goodness really brought me back to my childhood. It's really strange out here when you are so deprived of the little amenities, how much a Snickers bar truly means to you.</t>
  </si>
  <si>
    <t>S30 Mike (4/5): The scary thing about splitting the vote is literally one person could make the difference in who you want to go home and the goat going home. So I want Shirin to vote Joe tonight in order to get Joe out of this game.</t>
  </si>
  <si>
    <t>S30 Mike (5/5): I have the Hidden Immunity Idol to his clue that he got. But if he has a different Hidden Immunity Idol, you give it to me tonight... and you know what? Legitimately, I would switch my vote... maybe!</t>
  </si>
  <si>
    <t>S30 Mike (1/8): I overheard Rodney, Will, Tyler and Mama C, and there's definitely been a power shift in this game. Rodney has flipped on the Blue Collars and he is no longer in my alliance. So I know that they are coming for my head. That's why I've got to start doing a lot of work starting today.</t>
  </si>
  <si>
    <t>S30 Mike (2/8): I came into this game knowing that whenever it was Survivor Auction time that I'll starve today. It's just all there is to it. Some if not all of my alliance have flipped on me. No food in this world is worth what an advantage is worth in this game to me.</t>
  </si>
  <si>
    <t>S30 Mike (3/8): I screwed up big time at the auction. But I know that there was an alliance formed that was coming for me. And I'm not gonna just sit there and watch it happen. Because if I don't out this alliance immediately, Dan, Sierra and myself are going home.</t>
  </si>
  <si>
    <t>S30 Mike (4/8): I just outed the alliance that was trying to get me out today and now they're all mad at me because I ruined the moment for everybody. But this is a game and I'm here to win. Hopefully, my strategy works. It may not, but at least it's out in the open now.</t>
  </si>
  <si>
    <t>S30 Mike (5/8): Supposedly, Will shared all the food with us. These rations that are supposed to last him the rest of the game, which is a little suspect to me.</t>
  </si>
  <si>
    <t>S30 Mike (6/8): At this point, me, Shirin and Jenn, we only have each other, but we're still in this game. And I'm going to keep working every angle I can until either something breaks or I go home.</t>
  </si>
  <si>
    <t>S30 Mike (7/8): When you win immunity, we do the happy dance! We do the happy dance when we do something good! It felt amazing. And it could not have come at a better time in this game because I was 100% on the chopping block tonight.</t>
  </si>
  <si>
    <t>S30 Mike (8/8): I gave it my best shot. I don't know if he'll come around to my way of thinking or not. I would like to think deep down in his heart of hearts Dan does still want to work with me.</t>
  </si>
  <si>
    <t>S30 Mike (1/3): The Reward Challenge started off really, really good. We had a lead but lost it. It was me doing the work while three other people stood around and watched. It ended up being the losing strategy. You know, I'm just gonna take full credit for that. If my tribemates are mad at me, I mean, how much more mad can they be? I'm already their number one public enemy. So I got nothing to lose at this point.</t>
  </si>
  <si>
    <t>S30 Mike (2/3): I won. It feels pretty good. It feels pretty awesome. And today I don't have to worry about anything, because I'm safe. But I'm not guaranteed to win the next immunity, so I got some work to do in order to get myself further in this game.</t>
  </si>
  <si>
    <t>S30 Mike (3/3): There was a time in this game when I would have said Dan is my strongest ally, but I screwed up and I wish there was a way that I could convince him of how loyal I truly am to him. But Dan is unwilling to give me a chance. So now I see what kind of a person he truly is, and it's sad that you put your faith and trust in someone and, uh, they turn out being a lot different than you thought they were. This whole game I've been playing ninety to nothing. And there is definitely some strategy to be thought of about using the Hidden Immunity Idol tonight, for the simple fact that I could get a big threat out of this game. Everyone is going to be voting Shirin. I could literally give the idol to Shirin and shake this game all up again. Who knows? Let's see where the chips fall and maybe those chips will fall in my direction.</t>
  </si>
  <si>
    <t>S30 Mike (1/5): When we got back to camp after Tribal, they called a little team meeting of the Six, and it was kind of fun. It was kind of fun to start watching people scramble 'cause for the past three votes... I've been scrambling. Right now I'm safe with my Hidden Immunity Idol. So that target is taken off of me and they'll start turning on each other. The fallout of all of this it's going to be interesting to watch, and that's for sure.</t>
  </si>
  <si>
    <t>S30 Mike (2/5): Carolyn, Sierra, myself get to jump in the back of this truck loaded down with toys, bags, balls, school supplies and we get to go to this orphanage where in this truck we get to be ambassadors of goodwill for Survivor.</t>
  </si>
  <si>
    <t>S30 Mike (3/5): To see the faces of all these little boys and girls when we pulled up, built me up inside because I just enjoy being around kids. And being a kid 'cause I'm a big kid. The only thing I can think in my head were these beautiful, beautiful little children... don't have a mom, they don't have a dad.</t>
  </si>
  <si>
    <t>S30 Mike (4/5): I see right through the plan: trying to make me feel like I'm safe so I don't play my idol. But that ain't happening, brother. I'm not an idiot. Just 'cause I talk slow don't mean I think slow.</t>
  </si>
  <si>
    <t>S30 Mike (5/5): I really, really, really hope Mama C is 100% on board with me right now because my options of who to work with at this point are a little bit limited.</t>
  </si>
  <si>
    <t>S30 Mike (1/8): Tribal tonight was a whole lot of fun for me because, uh, I finally got to break apart the Six. Because I played my idol tonight, I could be vulnerable, so to secure my spot, I either need to find another idol, or I need to win immunity the rest of the time out.</t>
  </si>
  <si>
    <t>S30 Mike (2/8): I love my new little angel Carolyn, 'cause I know what Dan's advantage is now. I hope that she feels like she can trust me and that we can move forward and work together a little bit to eliminate some bigger threats in this game.</t>
  </si>
  <si>
    <t>S30 Mike (3/8): I've never been on a helicopter before in my entire life, and it was... epic.</t>
  </si>
  <si>
    <t>S30 Mike (4/8): We land in this open field, and there's this table and its got all the food on it that you could ever want or need to get yourself through the rest of this game.</t>
  </si>
  <si>
    <t>S30 Mike (5/8): I don't honestly know exactly where Carolyn's head is at. I'm hoping that it's with me, but if she's not with me and she's with them, I've got to win the immunities to stay in this game.</t>
  </si>
  <si>
    <t>S30 Mike (6/8): Inside of me it was like the fourth of July in the middle of Texas, fireworks going off, music playing loud because this little necklace right here says one of those Five are going home tonight and it's not me.</t>
  </si>
  <si>
    <t>S30 Mike (7/8): Their little family is turning on Dan. Everyone's saying, “Vote Dan, vote Dan, vote Dan.” Well, if they all want Dan gone, it makes me pause and think, “What if I get rid of one of them instead just to completely mess with their plans and not go along with what they want done?”</t>
  </si>
  <si>
    <t>S30 Mike (8/8): Dan was not shaken at all. He was uppity. He doesn't feel like that he's going home. The only thing that I can figure out is Dan wants to take Will and Rodney to the end because those are the only two people that he can beat, and if I'm right and he's not going home tonight, it's one of the girls.</t>
  </si>
  <si>
    <t>S30 Mike: You can only find out how strong you are when your back is up against the wall. And my back's been up against a pretty large wall this whole game. But I'm going to take the bull by the horns and I'm going to run with it.</t>
  </si>
  <si>
    <t>S30 Mike (1/11): And there's still four going out there. How is that even possible? “We gotta get Mike out! We gotta bind together and we gotta get Mike out of this game!” Stockholm syndrome was full in effect. I mean, Carolyn knows she's on the bottom, they all just voted for her, yet the four of them go to the beach. So at this particular point in the game, I really do feel all alone.</t>
  </si>
  <si>
    <t>S30 Mike (2/11): Not only did I win an advantage, but having my mom here, seeing her smiling face, that would have been enough, but her coming back to camp and staying the night? Man, you take your best day, add ice cream with some cherries on top, that's what today feels like.</t>
  </si>
  <si>
    <t>S30 Mike (3/11): The great thing about this reward is having my mom out here with me, getting to share that with probably the person I love the most in this world... it's a special moment.</t>
  </si>
  <si>
    <t>S30 Mike (4/11): This is one of the greatest days that I've had in 36 days. Having someone here that I know 1,000% that I can trust, and to experience this with her is a top ten moment in my life.</t>
  </si>
  <si>
    <t>S30 Mike (5/11): The advantage basically was, uh, my mom leading me through this maze. And it was frustrating because even though she was helping me, I couldn't find the Immunity Necklace. And I kept thinking in my head, I'm screwing this up.</t>
  </si>
  <si>
    <t>S30 Mike (6/11): I won immunity again, but I know that if I lose the next immunity, I'm going home. But you know what? I'm a Blue Collar. I like having my back up against the wall. This is the Survivor that I signed up for.</t>
  </si>
  <si>
    <t>S30 Mike (7/11): At this point I have two final three deals. But it's like trying to sell, you know, ice cream pop to an Eskimo because I don't trust any of these people. So I just have to follow my gut and figure out what's best for my game. But if I make the wrong decision, it could be a million dollar mistake.</t>
  </si>
  <si>
    <t>S30 Mike (8/11): I'm sitting in the final three, and it's like being able to breathe for the first time in a long time. It doesn't mean that there's not still a lot more battle to be taking place, but at this particular point I can revel in it just for a little bit. You know what we do when we win the Immunity Necklace, we do the happy dance, baby. We do the happy dance 'cause we're happy!</t>
  </si>
  <si>
    <t>S30 Mike (9/11): When we got back to camp, I maybe took five minutes and, you know, gave myself a high five about the final three, but I'm not allowing it to go to my head because tonight's decision is huge. I've got to decide who I'm gonna take to the end. And if I make the wrong decision tonight, it's bye bye to the million dollars.</t>
  </si>
  <si>
    <t>S30 Mike (10/11): If Rodney loses tonight, it's poetic justice because Rodney thinks he's smooth talked his way all the way into the final three. So maybe I am making a million dollar wrong mistake, but I would rather lose to Mama C than be the guy that just took two goats to the end and won.</t>
  </si>
  <si>
    <t>S30 Mike (11/11): For a long time in this game, I felt completely alone, with only myself to trust. I feel like I dug down into parts of me that I didn't know were there. And now I know that there's no wall that I can come up against that I can't either dig under it, climb over it or, heck, if I got to, bust through it. One of the things I love about being a Blue Collar is that we finish what we started. That's what Blue Collars do. But I think it's going to be a very close vote. There's a lot of people out there that don't like me because I have won so much, so I better be ready for a battle, because I want the title of Sole Survivor and a million dollars.</t>
  </si>
  <si>
    <t>S31 Jeremy (1/2): Last time when I played with my wife, half my mind was always with her. It’s emotional, you know, with Val. I really love her and I care about what she’s doing. I wasn’t focused so I was blindsided by my own alliance. I went home, took it hard. Now, I want the money for Val more than for me. Like, I just need to go through this again. I’m back for some redemption.</t>
  </si>
  <si>
    <t>S31 Jeremy (2/2): With the tribe I feel good. I knew my season that they saw me as a threat, so I figure, let me talk to Keith. The only thing I’m hoping that if Keith hears my name that he comes back to me. I’m trying to go strategically, and like, really use my head this season. So I wanted Tasha, probably the strongest female out here. And I wanted Savage. Savage seems like a real straight up guy, another physical threat. But my number one that I wanted was Joe. There’s no bigger shield out here than Joe. And it kind of worked out that way, and I think it’ll be so dumb for someone to mess this up. And I feel like we have the stronger group. We could really move on in this game. We could make some noise. We just gotta stick together and get each other’s back.</t>
  </si>
  <si>
    <t>S31 Jeremy (1/1): (tearfully) Trying to have fun and be all business. And then Savage bringing up that story with his wife, yeah, it touches you, you know? I mean, it makes you think. My wife is pregnant and I just want to see her stomach, you know what I mean? I want to be there to see it grow. (sniffles) I’m not telling anybody. I got so much riding on me anyway, I know they’re going to come after me as a physical threat. And you’re going to add on that my wife is pregnant, no one is going to want to take me to the end. But I got to control this a little bit. Val knows how much this means to me and to her, you know? She’s the reason why I’m doing this again, you know?</t>
  </si>
  <si>
    <t>S31 Jeremy (1/4): When Spencer joined up, he needed to talk to me. And, uh, it was good to sit down and talk because I think he’s a stand-up guy, like, someone that you can really connect with and trust. He’s funny and, like, I’m digging the kid. He’s alright. I think we could definitely have a bond. I’m not sure how long we’ll keep him, but we can use him for right now. You know, I’ll take that.</t>
  </si>
  <si>
    <t>S31 Jeremy (2/4): I’m so frustrated looking for that thing. It’s not here, you know what I mean? Is it on the ground? Is it in a tree? Is it high up? Is it in the water? Like, I don’t know nothing. It could be anywhere. But this is my second chance, and I-I feel like I have to work harder this time.</t>
  </si>
  <si>
    <t>S31 Jeremy (3/4): It was a little tree full of leaves, and I started digging in it, and it just popped out like, whoop!… Ah! (laughs) I was so pumped.</t>
  </si>
  <si>
    <t>S31 Jeremy (4/4): Finally, finally two season it takes me, and I finally find something, but is it an idol? No, it’s not an idol, it’s a clue to an idol that I have to-- that I have to grab when eighteen people are playing around me. I’m going to make it work. We’re gonna get this thing. I’ma bring this thing home.</t>
  </si>
  <si>
    <t>S31 Jeremy (1/2): In that last Immunity Challenge, I found the Hidden Immunity Idol but I couldn’t even celebrate. Like, I got it, and I’m like… (ecstatic) Ah! I’m so happy. Finally, it took two years to get this thing, but I finally got my idol. It’s a thing of beauty, (chuckles) it’s a thing of beauty. (kisses idol) I love it, I love it!</t>
  </si>
  <si>
    <t>S31 Jeremy (2/2): This is my idol. I’m not telling anybody. So I told Stephen that we gotta really look for this thing because I don’t need him to think that I have it. I want Stephen to think that I’m still looking for it and it’s for us. I wanna keep pulling him close. I know they’re gonna come after me at some point, and I want him to be the one to say, “Listen, they’re coming after you,” and then I got my (holds idol up to camera) get out of jail free card. I would love to be Steve’s J.T. We could be friends for life after this. I’ll give you second place, if you’re happy with that. I’m not happy with second place.</t>
  </si>
  <si>
    <t>S31 Jeremy (1/2): There’s four original Bayon and then it’s Wigles and Spencer that are on the outs. So all I’m thinking is, who do I trust more, going into this game? Like, do I trust Spencer to go with me or could I trust Wiglesworth?</t>
  </si>
  <si>
    <t>S31 Jeremy (2/2): Monica’s just-- I don’t know what Monica’s doing. Like, why would you go and tell Kimmi we need to keep the girl’s numbers? Like, why would you do that? So it would be could to see Monica go home off of that.</t>
  </si>
  <si>
    <t>S31 Jeremy (1/1): Steve is definitely digging his heels in and he wants Joe out. But I need a shield. I need Joe around as long as possible. I do not want to be the biggest guy out here.</t>
  </si>
  <si>
    <t>S31 Jeremy (1/1): It looks like everybody is voting Kass. But Kass could have an idol, you know what I mean? Like, it’s-it’s always good to split votes.</t>
  </si>
  <si>
    <t>S31 Jeremy (1/2): Since Day 1, Stephen has been trying to get Joe out and I was reluctant because I lose out on Joe as a shield. But every time Joe wins, it just keeps getting that bullseye bigger and bigger on his back. So the first time Joe loses, he could be going home.</t>
  </si>
  <si>
    <t>S31 Jeremy (2/2): Savage, now he wants to take out Stephen because he’s been trying to get rid of Joe. But I just feel like that would be a bad move for me because Stephen’s been with me for twenty days and I’ve been building trust with him. So I want Stephen to come with me far into this game, because once the big guys start going at each other, I wanna have all the bullets.</t>
  </si>
  <si>
    <t>S31 Jeremy (1/9): Savage going home screws me. I had another man that nobody really likes that I knew that was a-a shield for me. But even though I trust Stephen and I have one idol to protect me, I need two idols because they’re coming after me. I gotta look. I gotta bust my behind again! Like, “Oh, my God!”</t>
  </si>
  <si>
    <t>S31 Jeremy (2/9): We weren’t even close. It was embarrassing. And like, this whole day is a-a waste of a day. This is a bad one. Last night was bad-- Savage went home. Today is bad. It goes up and down. Today’s a down.</t>
  </si>
  <si>
    <t>S31 Jeremy (3/9): I’m pissed off that we lost, and not that we just lost, because we lost by so much. We just got crushed. But with only five other people, they’re cooking and talking and everything, they’re going to let me go and leave me alone, and I went and looked for the idol. I wanted to check Tree Mail. And I’m digging around Tree Mail and everything, and nothing around there. The first idol I got was in a tree under leaves, so I was like, “There’s a huge tree at Tree Mail.”</t>
  </si>
  <si>
    <t>S31 Jeremy (4/9): When I turned around, like, it was just staring at me.</t>
  </si>
  <si>
    <t>S31 Jeremy (5/9): (reading clue) “But it will require you to be sly and inconspicuous. Tonight, after everyone else lies down to go to sleep, you’ll make your move. Follow the map and look for the lantern. There you will find the security you seek.” (shows map to camera) So it’s like the same trail that we did for the merge.</t>
  </si>
  <si>
    <t>S31 Jeremy (6/9): As soon as the moon goes down, the team that won came back from their spa treatment. And, uh, everybody is usually in the bed ready for bed. So I was like, “This is gonna be so easy. I’ll just get up. They’re not going to be watching me.” But, um, and I’m like, “This is ridiculous.” Everybody is by the fire, hanging out, like, no one ever-- they never ever do this. So it was crazy. Finally, I’m just like… Then I just made a dash for it. You know, I just took off. It was pitch black There’s rocks, there’s trees, there’s… like, I don’t even know what’s out there. There’s snakes and everything and I’m just like, smacking branches out of my face. From a distance, I see a little glow. So I kind of took off after it. Idols this season, there’s no two idols that look the same. And, um, hanging from the lantern was this beautiful thing (shows idol to camera). With two idols I can be, like, a little bit more aggressive.</t>
  </si>
  <si>
    <t>S31 Jeremy (7/9): Val’s my wife. Like, Val is my best friend, you know, I can’t keep it bottled up anymore. Like, and I’m doing it all for her. (tearfully) I just want to make her life a little easier. I want to make J and Cam’s life a little easier. (sniffles) And I want to make my next child’s life a little easier. (sniffles and wipes away tears) Like, I don’t even know if it’s a boy or a girl, and, like, that’s been bothering me a little bit. Like, I know people are after me, and I gotta figure out when I can use these idols ‘cause I gotta use them at the right time. I just want Val to win, you know? I just want Val to win. Like, she deserves it more than me, you know? (sniffles and wipes away tears) Man…</t>
  </si>
  <si>
    <t>S31 Jeremy (8/9): We’re all set with taking out one of the three witches. So, like I’m really hesitant with Stephen because Stephen’s running around ‘cause everyone is trying to play their own game. And I-I just want everyone to be on the same page. And like, the person that I still trust most is Stephen.</t>
  </si>
  <si>
    <t>S31 Jeremy (9/9): I’m just trying to lockdown my alliance and trying to work these other… voting blocs. My problem is, if we take Wiglesworth away, there’ll be four people that’ll come back to camp blindsided: Kimmi, Tasha, Keith, Joe. You know, I don’t want to have to worry. But I want to make the right decision and the right move. I don’t want to just jump ship and do it so fast.</t>
  </si>
  <si>
    <t>S31 Jeremy (1/3): So at Tribal tonight, Stephen, Spencer, and myself blindsided Kelly Wiglesworth. I still think that we could jump back to our power group, or whatever we want to call it, and take out another one of the girls. Maybe Ciera can go. Every vote is like a new game-- if I can’t clean up, then they’re going to come after me next. So I knew I was going to have to come right back and-and talk to Tasha. I knew she was going to be upset.</t>
  </si>
  <si>
    <t>S31 Jeremy (2/3): Stephen does not look good. I feel bad for him. His stomach is messed up, and his feet are swollen. He looks so bad, he looks so bad. I’m hoping he's okay ‘cause I need some loyalty around me, and Stephen is an honest guy. I love Survivor, but it’s a tough game. Every day, it’s tough. We’re freezing, the wind is cold, and the shelter is horrible. It doesn’t hold up against the elements out here. You can’t ever get warm, so we’re just huddled up together. It sucks. We need something, you know? If we can get warm and get everything dry for one day, we’ll be alright.</t>
  </si>
  <si>
    <t>S31 Jeremy (3/3): Some people are saying maybe they want to vote Stephen out because of his advantage. I don’t feel like that’s a great idea right now. I have two idols but I need Stephen. Stephen at least has my back. I want Stephen to stay. Stephen trusts me.</t>
  </si>
  <si>
    <t>S31 Jeremy (1/1): I know that Stephen will have my back, and I think Stephen wants to take me all the way to the end, and I like that. I needed that. When you make moves like that, a big move like that, I know there’s going to be a huge target on me now after doing it, but this game is so crazy, I feel like everybody’s still in it, so I have wiggle room to make the next move.</t>
  </si>
  <si>
    <t>S31 Jeremy (1/4): I didn’t want Stephen gone. Now, I feel like I’m in trouble. I don’t feel comfortable with anything. These voting blocs just keep moving and I don’t like that feeling. I like to be in the middle of everything and know what’s going on.</t>
  </si>
  <si>
    <t>S31 Jeremy (2/4): So Val said, “It’s a boy.” I’ma have a son. That’s wild. But, um, I don’t want anybody to know right now. They don’t need to know.</t>
  </si>
  <si>
    <t>S31 Jeremy (3/4): I was planning on voting out Joe, and then Tasha tells me this talk about an all-girls alliance. (pauses) Oh, my God!</t>
  </si>
  <si>
    <t>S31 Jeremy (4/4): If those girls take over the game, me and Spencer, we’re all done. Our games are over. So having Tasha on my side is crucial right now.</t>
  </si>
  <si>
    <t>S31 Jeremy (1/3): If the girls are all saying, like, “Let’s get out Keith, let’s get out Keith.” You know, that’s an option. But, um, I have buyer’s remorse right now ‘cause we should have kept Joe and got rid of, uh, Abi. I might be mad about going on that reward today, like, listen, I’m going to eat on Day 39. Give me that breakfast and, like, let me tell everybody on the jury why I deserve that million dollars. That’s all I want.</t>
  </si>
  <si>
    <t>S31 Jeremy (2/3): Is Abi a Scorpio? (smirks) ‘Cause Scorpios are crazy. I got two of them in my house. That’s why I drink. (laughs)</t>
  </si>
  <si>
    <t>S31 Jeremy (3/3): Tasha said, “What do you think about if we vote Abi out?” It does give me one less girl that I don’t have to worry about. So I’m, “Yeah, I like that idea.” Tasha is, uh, kind of iffy on Spencer. She doesn’t know if he’s gonna be 100%. It is a possibility that he could jump ship and just run and tell Kelley and Keith the whole plan and it will blow up in our face.</t>
  </si>
  <si>
    <t>S31 Jeremy: I gotta win, get that money and bring it home to Val and the kids.</t>
  </si>
  <si>
    <t>S31 Jeremy (1/9): We’re still worried about an idol out there, so let’s just split the vote to take out Kelley or Keith. We’re all safe and we’re still going in tomorrow with numbers.</t>
  </si>
  <si>
    <t>S31 Jeremy (2/9): My voting bloc is skeptical of Kimmi. I don’t think Kimmi is trying to do anything.</t>
  </si>
  <si>
    <t>S31 Jeremy (3/9): I feel like my alliance is strong. The problem, though, is that with the Hidden Immunity Idols, it shakes up everything and we don’t want to lose this. We have numbers. We could really run this to the end. I know Kimmi is kind of goofy and everything, but I-I really think she’s with us. And I don’t wanna use my idol and not have it tomorrow. So, I mean, the safer route is to split the vote-- guys vote for Wentworth, girls vote for Keith.</t>
  </si>
  <si>
    <t>S31 Jeremy (4/9): I think there is a huge possibility that Keith or Kelley are gonna pull out a Hidden Immunity Idol tonight. I’m so worried about that. It’s either me or Spencer that they’re going to put votes on. I’m worried, point blank. If Keith has an idol, one of us is going home-- it’s probably going to be me. I think they’re going to go after me. And I don’t even want to take a chance on it.</t>
  </si>
  <si>
    <t>S31 Jeremy (5/9): Oh, (points to Immunity Necklace) this is… this is for Val. This is for Jordan. This is for Cameron. This is for my son that’s not even here yet. Like, this is for them all. Now the question is, who I’m going to the end with because I don’t want second, I don’t want third. Like, I need to win this.</t>
  </si>
  <si>
    <t>S31 Jeremy (6/9): I feel like I want to laugh, I want to cry, I want to yell, I want-- you know what I mean? Like, I just wanna explode ‘cause I feel like the season is so hard, and just to have this security just for tonight, it’s just a beautiful thing. I have my alliance. I have Spence and I have Tasha, but when you have this necklace, all bets are off, you know? You’re like, I know we-we said we were gonna do this, but now is the time when you figure out who’s the best person that I can sit next to that I can win a million dollars.</t>
  </si>
  <si>
    <t>S31 Jeremy (7/9): I don’t know what to do yet. Spencer and Wentworth both have pretty good résumés. The question is who gives me the best chance to win?</t>
  </si>
  <si>
    <t>S31 Jeremy (8/9): I’m trying not to let the necklace go to my head, you know, but, um, what if we made Spencer and Wentworth go against each other in a tie and make fire? Spencer came from the bottom, won a couple of immunities. He’s a smart player. Kelley’s won two immunities. She’s played two Hidden Immunity Idols. She’s an underdog. It all comes down to tonight. I’m going to make my decision at Tribal whether it’s going to be Spencer or Kelley. If I want to stick with my alliance, I can stick with them. If not, I can jump ship. This is a million dollar decision. It’s huge.</t>
  </si>
  <si>
    <t>S31 Jeremy (9/9): My second chance is all about Val and the kids. I just want them to be proud of me, and I just want to take care of them. I miss them so much. I didn’t leave this long for nothing. Oh, man, can’t lose this. This is right there. It’s so close. I have a one in three shot at a million dollars. So I want to show the jury that I was in control of this game. I had two Hidden Immunity Idols, one immunity win. I surrounded myself with the right people at the right time, and even up to the end I feel really good. I gotta finish this game, get that money and bring it home for my family.</t>
  </si>
  <si>
    <t>S09 Chris (1/4): Men against women, it's perfect. I can outsmart eight men a hell of a lot quicker than I can outsmart eight women. Women stick together. They're thick as thieves. Men are deceiving, mischievous, untrusting human beings. Men, I can manipulate.</t>
  </si>
  <si>
    <t>S09 Chris (2/4): J.P. wants to prove himself bad. He's about thirty years old, and he's feeling like, you know, I'm buff, I'm bad, I'm young, I'm all, you know, go to the end of this. He don't have a clue. He's got the frame, but he ain't got the brain.</t>
  </si>
  <si>
    <t>S09 Chris (3/4): I really wanted to make it across the beam. And, you know, if I had wings, I'd have made it, you know? I would have made myself go across the beam. But this game, you outwit, outplay, outlast people. You don't out-balance ‘em.</t>
  </si>
  <si>
    <t>S09 Chris (4/4): I prepared to come here, mentally, and I prepared to play the game. I'm not vulnerable at all. We've got a plan.</t>
  </si>
  <si>
    <t>S09 Chris (1/1): It's been pretty tough, a lot tougher than I thought it would be. Nothing positive's really happened for us. We need something to boost our morale.</t>
  </si>
  <si>
    <t>S09 Chris (1/2): The challenge today for immunity, was pretty much pandemonium. It was a mess. We didn't even come close.</t>
  </si>
  <si>
    <t>S09 Chris (2/2): Within our alliance we-we do have some conflict. Sarge could, at the last second, make a change. Sarge does like to be in control.</t>
  </si>
  <si>
    <t>S09 Chris (1/1): It's interesting having a pretty girl playing the game ‘cause somebody like that can fly underneath the radar and sweet talk their way into the final five and then, you know, boom, next thing you know, they're sitting there waiting to win the money.</t>
  </si>
  <si>
    <t>S09 Chris (1/1): John has been a target to send home ever since the game started. I mean, he was on the other side with the guys, but Chad's concerned that maybe keeping John around a little bit longer might be the best thing. He doesn't have a whole lot of trust in Julie.</t>
  </si>
  <si>
    <t>S09 Chris (1/6): I just glanced over there, and Sarge has his ass hanging out. Probably is an image that will never leave my memory.</t>
  </si>
  <si>
    <t>S09 Chris (2/6): I’m pretty much covering all my bases. Covering all my bases means I’ll be good any way it goes. Hey, I threw my hand out. It’s-it’s just me reassuring my position in the game, because, um, basically I have the same agreement with Sarge, and I’ve pretty much made the same agreement with Julie.</t>
  </si>
  <si>
    <t>S09 Chris (3/6): Maybe I’m going places I shouldn’t be going but, if we merge, Julie could go, Sarge could go, Chad could go. I’m always gonna have two others I can rely on to watch my back.</t>
  </si>
  <si>
    <t>S09 Chris (4/6): Lopevi and Yasur, we merged today. We picked the Lopevi camp, kind of mutually, and for the first time since Day 1, I’m putting the game behind me, and I’m gonna just have some fun with these people that I’ve never met.</t>
  </si>
  <si>
    <t>S09 Chris (5/6): Twila is just insecure. She’s scared, and you pretty much have to strategize for Twila.</t>
  </si>
  <si>
    <t>S09 Chris (6/6): I feel confident about Twila. I feel confident about Julie, and obviously Rory has come back to Lopevi. We’ve got the numbers. We’ll be good to go. Picking them girls off one by one is what it’s going to be about.</t>
  </si>
  <si>
    <t>S09 Chris (1/4): Tribal Council was a surprise. I would I say that I probably put a little bit too much… confidence in Julie and Twila. They've put me, Sarge and Chad in a precarious situation. It's going to be tough to survive the rest of this game.</t>
  </si>
  <si>
    <t>S09 Chris (2/4): The challenge definitely showed vulnerability in the women's alliance. Questions arose in their minds as to, you know, where do they stand? Eliza did realize about the pecking order and, um… she didn't like it. We see a weakness right there. So… it definitely opened up some doors for us to look into.</t>
  </si>
  <si>
    <t>S09 Chris (3/4): One of the ideas we come up out there was to try to convince the women that Eliza feels vulnerable. That she doesn't trust her position. That she's unhappy with when she was selected in that challenge and that, possibly, she's been talking to us about jumping over with us.</t>
  </si>
  <si>
    <t>S09 Chris (4/4): In this game, your strategy changes just immediately, and since the ladies got here, I learned real quick, from the first night, that you gotta watch what you say, that they're a tight-knit group and that if you want to survive, you're gonna have to please ‘em. I've been in an alliance with Sarge and Chad since Day 1. We don't have the numbers. Unless we can pull something off with Twila and Eliza, it's over.</t>
  </si>
  <si>
    <t>S09 Chris (1/6): I told them that Sarge told me to vote for him, but he didn't. Um, I voted for Sarge… to stay close to the women and, you know, go further in the game. You know, this is for the best. Uh, this is for my personal, you know, reasons in the game to try to get as far as I can.</t>
  </si>
  <si>
    <t>S09 Chris (2/6): It seemed like we went to a whole other world. None of us knew what to expect. People from the village looking at us, and we're looking at them, and I'm carrying a pig.</t>
  </si>
  <si>
    <t>S09 Chris (3/6): Me, Ami, Eliza and Chad were just, like, "Damn, they're giving us a pig back." You know, uh, but, yeah… the pig, they-they give us a pig in return, and, uh, they actually just had, uh, had us lay it down by a bench where we were sitting, and we just never asked for the pig back. We didn't want the pig.</t>
  </si>
  <si>
    <t>S09 Chris (4/6): They brought us bowls of kava… and me and Chad and Ami and Eliza, we all drank a bowl of kava.</t>
  </si>
  <si>
    <t>S09 Chris (5/6): The kava is powerful, very, very powerful.</t>
  </si>
  <si>
    <t>S09 Chris (6/6): Yeah, things have changed. Um, there's dissension in the ranks. The-the women are not tight, and the women come across cocky, confident. Uh, they have since the merge, since Rory went home, and it got to Scout the way the other girls were coming across-- you know, the-the cocky way Ami presents herself. Me and Chad, we're doing our best. We're-- we’re playing it. We're tugging at their hearts. (scoffs) They are rolling in it! Scout bit. You question a woman's character, you question a woman's ability, she'll snap your neck! You open up your heart, show a woman you're vulnerable, then they start thinking with their heart. That's when they open up that back door. That's what's happened this time.</t>
  </si>
  <si>
    <t>S09 Chris (1/6): As soon as I got back to camp, I narced out Scout and Twila. Uh, let them know that they had conspired with me and Chad for an alliance and, I just, you know, I just mixed things up as soon as we got back. It's going to be a mess.</t>
  </si>
  <si>
    <t>S09 Chris (2/6): Eliza's mom will probably be leaving soon, and, uh, everybody's doing a little something that maybe she can pass on to our loved ones. Something for them to remember us by and let ‘em know we're thinking about them.</t>
  </si>
  <si>
    <t>S09 Chris (3/6): Julie's pretty much been my informant and she informed me that they're flower power again; girls strong. Julie let me know that, uh, my head's on the chopping block and that, uh, I have to win immunity to stay in the game.</t>
  </si>
  <si>
    <t>S09 Chris (4/6): I'm going to win immunity, guaranteed. That's the prediction. I'll make it right now. Daugherty's going to win immunity. It's a fact.</t>
  </si>
  <si>
    <t>S09 Chris (5/6): It's like being in a tornado. It is crazy. I don't even have to do something to change the tide of the game. There's six women living with me-- they'll change it themselves. It can be set in stone who's going home, and five minutes later, I'm not going home and I ain't done a damn thing to change it. I'm just sitting there by the fire. So I make my way out to get some wood and Twila says to me while we're filling this crate, "You know, you can change this game completely." So I'm thinking, "I'm all ears, Twila."</t>
  </si>
  <si>
    <t>S09 Chris (6/6): Am I willing to do it? Damn right I'm willing to do it! I'll turn the tide, I'll take the risk right now! So I talked to Eliza.</t>
  </si>
  <si>
    <t>S09 Chris (1/9): The bitterness started as soon as we got back to camp. I'm living with five wildcats right now. (chuckles) It's gonna be good.</t>
  </si>
  <si>
    <t>S09 Chris (2/9): We all got to shower. They didn't leave me no hot water… bitches.</t>
  </si>
  <si>
    <t>S09 Chris (3/9): We had a really good meal. Um, ate as much as we could… just great food.</t>
  </si>
  <si>
    <t>S09 Chris (4/9): She's so full of (expletive censor)! You know, does she think I'm stupid, you know? She's still working Eliza, though. She's strategizing, she's playing the game.</t>
  </si>
  <si>
    <t>S09 Chris (5/9): I am definitely realistic enough to keep tabs on Eliza and comfort myself by talking to her and hear her reassure me that she knows what's best for her. I'm counting on the fact that Eliza is mentally strong.</t>
  </si>
  <si>
    <t>S09 Chris (6/9): They're a bunch of alley cats going at it, and strategically, this is the best thing for me. I don't even think they're looking at me. I mean, I'm just sitting back and watching 'em shoot each other. But Ami needs to go home. She's definitely a threat. I mean, we knocked her off of her horse, thank God. But who's to say she ain't to get up, dust herself off, climb back on and pull something off?</t>
  </si>
  <si>
    <t>S09 Chris (7/9): I have not been capable of overcoming the physical challenges against these women, so I want immunity. I'm still the only guy here. I'm the only man standing. Immunity is all that's gonna make me safe.</t>
  </si>
  <si>
    <t>S09 Chris (8/9): Today was my day. I was extremely happy to win immunity. It is a little bit humorous that it did take a nonphysical challenge to beat the chicks. But I'm looking at it as though I've achieved something great here, and I have immunity. That's all that matters right now.</t>
  </si>
  <si>
    <t>S09 Chris (9/9): If there is a tie, it's my understanding that everyone would have the opportunity to vote again. And if voting again did not break the tie, the two people being voted for, I think they would get immunity, and the rest of us would pull rocks, and whoever drew a colored rock goes home. So Eliza could mess things up real bad.</t>
  </si>
  <si>
    <t>S09 Chris (1/16): After Tribal Council, we got back to the camp, and… everything was good. Ami was gone -- one less worry -- and, uh, I'm the last man standing. It seemed like it was gonna be just a quiet, you know, easy-going night, but there was still a lot of emotions stirring in Twila. The fact that Eliza had brought up Twila swearing on her son's name.</t>
  </si>
  <si>
    <t>S09 Chris (2/16): I knew that it wasn't a good thing what Twila was doing. She definitely offended Julie. She definitely offended Eliza. Eliza being part of this four-person alliance with Scout, Twila and myself, you know, it's-it’s important to try to keep a level… you know, understanding. She's taken a road she doesn't need to take. It's-it’s dangerous for her position in the game.</t>
  </si>
  <si>
    <t>S09 Chris (3/16): Julie won the reward and she picked me. And we cleaned up after the muddy challenge we went through. And we journeyed through the jungle and we finally come out into this extremely ashy, dense area.</t>
  </si>
  <si>
    <t>S09 Chris (4/16): This horse and me had trouble getting to know each other at first, you know? It took us a while to, you know, build a trusting relationship. So, okay, well, off to a little bit of a rough start on the horse, but everything else went great. We walked down this long trail, and, uh, it was awesome just looking at everything on our way up.</t>
  </si>
  <si>
    <t>S09 Chris (5/16): Finally, we come around the far side of Mount Yasur.</t>
  </si>
  <si>
    <t>S09 Chris (6/16): You know, Julie won the reward. It didn't surprise me that she picked me. She wants to go further in the game, and she knows that her name is coming up for elimination.</t>
  </si>
  <si>
    <t>S09 Chris (7/16): Me and Julie got a little bit of a, you know, a bond between us. You know, she let me know that she doesn't wanna leave. She wants to stay in the game.</t>
  </si>
  <si>
    <t>S09 Chris (8/16): I don't know, Julie worked it pretty good. There's nothing that Julie or Eliza would like more than for me to jump on their side and vote off Twila. And I didn't tell her no. I'm the last guy standing. I sit and I think, "Is this a bad thing or a good thing?" I just haven't decided yet.</t>
  </si>
  <si>
    <t>S09 Chris (9/16): So Joe comes back and, you know, we're like, okay. He goes, "Look, I'm going to take you up here." So we all three took off up this little trail up the volcano.</t>
  </si>
  <si>
    <t>S09 Chris (10/16): It was amazing because every time the volcano erupted, the volcanic rock would shoot out and it just glowed. I mean, it was like the Fourth of July.</t>
  </si>
  <si>
    <t>S09 Chris (11/16): There is absolutely no other experience in my life I can compare it to. I don't know if I'll ever have another experience like it. I mean, how often do you get to sit at the mouth of a volcano and watch it explode?</t>
  </si>
  <si>
    <t>S09 Chris (12/16): After the reward this morning, we come back to camp. Right away, you know, Scout hugged me and… she's thinking the same thing I'm thinking. It's game time. I just let her know nothing has changed. We're all four together and then, you know, Twila, she's a basket case, you got to reassure her. Coming back to camp was perfect. Everything fell together. Everyone's thinking on the same terms. Keeping an eye on things, that's what I got to do.</t>
  </si>
  <si>
    <t>S09 Chris (13/16): I sat down with Eliza on the beach. We went over a scenario about me, her and Julie taking out Twila. I mean, I don't trust Scout. I don't trust Twila. I don't trust Eliza. I don't trust Julie. And they don't trust each other. And the most screwed-up thing about it is, I think they all trust me. So… it's… it's getting really crazy. Um, I've probably made it this way myself because I am playing both sides.</t>
  </si>
  <si>
    <t>S09 Chris (14/16): Scout and Twila are definitely convinced that Julie's the next to go. And then there's me. I'm still weighing my options, but I'm going back and forth like a teeter-totter, you know? I'm thinking, one moment I think I'm gonna keep Julie around, and the next moment, you know, I'm thinking maybe I better stick with Twila and Scout.</t>
  </si>
  <si>
    <t>S09 Chris (15/16): Everybody's scrambling. I just think I'm in a better position than, you know, Twila, Scout, Eliza, or Julie right now because I’m-I'm pretty much the middle man, as far as I know. You know, what them four have conspired or talked about, I don't know. I don't trust any of them. They're thick as thieves, man. They're all women. How do you trust any of them? So, I don't know what I'm going to do. I'm messing with both sides, but it's… it’s kind of easy to do right now. I mean, I need to do it to figure out what my best option is right now.</t>
  </si>
  <si>
    <t>S09 Chris (16/16): I told Julie that I'm keeping her. I told Twila that I'm keeping her. I'm gonna put myself in the best possible situation to win the game. It's tough right now. I'm gonna have to make a decision before long.</t>
  </si>
  <si>
    <t>S09 Chris (1/15): I voted off Julie tonight at Tribal Council. Uh, took Eliza by surprise. Oh, well, Julie had it coming. She pulled a fast one on me after the merge. I got her back. It's all in good game.</t>
  </si>
  <si>
    <t>S09 Chris (2/15): I don't know. I don't think much about any of the women here since the final seven of us were here. I mean, they're all just playing the game. They turned on each other, and they all got their own opinion, and Eliza and Twila don't like each other, I love it. It puts a little bit of, you know, excitement in camp.</t>
  </si>
  <si>
    <t>S09 Chris (3/15): Oh, man, I needed it bad. I never give up. That's the one thing. I just knew. I'm the last man standing, I'm not giving up on this game. Twila gave me a run for my money, but immunity-- that's just what I wanted. That's all I needed. It's a good day. I definitely had my work cut out for me. An alliance you've got with somebody or trust… it's not meaning a whole lot right now. It's making that final two and getting a chance to win.</t>
  </si>
  <si>
    <t>S09 Chris (4/15): Twila is so wound up. You know, Twila works on me. So, I'm gonna have to deal with Twila all afternoon. She gets on my nerves. She's just totally out-of-control nervous all the time.</t>
  </si>
  <si>
    <t>S09 Chris (5/15): It's going to be a long afternoon for sure. Just pretty much more I have to put up with three women all afternoon, and that… sucks. Um, my alliance is with all three of ‘em, and, you know, they're all bidding for their spot in the final three.</t>
  </si>
  <si>
    <t>S09 Chris (6/15): I didn't come here to get second place, and I sure as hell didn't come here to get third or fourth. I come here to win. You know, I don't look at myself as being aligned with Scout and Twila right now. Heck, there's no loyalty, no trust. There's nothing in the game right now. It's all about just getting yourself to the next step. To hell with everybody else.</t>
  </si>
  <si>
    <t>S09 Chris (7/15): I never dreamed I'd be playing the game the way I am, lying, deceiving. You ain't got no choice, because I tell you what, you don't step it up and you don't start playing the game in your best interest to benefit and go to the end, you'll be sent packing. And, uh, going back home with a million bucks… that'll change your life.</t>
  </si>
  <si>
    <t>S09 Chris (8/15): I pulled it off. I got immunity. I'm still pretty shocked. Twila was some stiff competition in that challenge, but there was no way I was losing, no way I was losing.</t>
  </si>
  <si>
    <t>S09 Chris (9/15): At that challenge, Scout cheered on Twila and said, "Hang in there." Scout was praying to the gods Twila won that immunity. Scout wanted to go to the final two. I guarantee you, they had a pact, and if I find out they did, Twila ain't necessarily going to the final two.</t>
  </si>
  <si>
    <t>S09 Chris (10/15): I couldn't believe how honest Scout was. Scout definitely is smart enough to realize why I was asking her, "Did you and Twila have a pact to the final two?" She could have very easily said, "Yeah," and Twila would have been packing tonight for sure, but… she's honest, and I respect her for that. The bottom line is, there's people on the jury that's going to base their vote on likeability and there's players going to base their vote on who played the best game and it's something I can't predict. I don't know if I'm gonna take Twila or Scout to the final two. I don't know. My decision could be made at Tribal Council tonight.</t>
  </si>
  <si>
    <t>S09 Chris (11/15): I am definitely feeling stress on a day that I never imagined I would feel stress. I was ready to get up today and enjoy the entire day, and I found myself thinking, "I've got to keep playing the game."</t>
  </si>
  <si>
    <t>S09 Chris (12/15): Twila is extremely outspoken, and I-I can use that to my advantage tonight. I mean, I want them to remember exactly how Twila was: just a cutthroat, didn't-take-no-crap kind of player.</t>
  </si>
  <si>
    <t>S09 Chris (13/15): Great, Twila, you let ‘em know you don't give a crap and that you come here to win. Chris isn't gonna do that. Chris is gonna sit back and let Twila put the last nail in her coffin.</t>
  </si>
  <si>
    <t>S09 Chris (14/15): The closer Tribal Council gets, the absolutely the more concerned I'm getting. You know, in the back of my head, I just keep thinking, "That women's alliance," you know? All of them might just say, "Hey, look, the only way we can prove this women's alliance worked is for a woman to win this game." And just out of spite, they can vote for Twila.</t>
  </si>
  <si>
    <t>S09 Chris (15/15): It's kind of ironic, you know, at the Alinta camp when there was six women and just me. I wasn't in charge, I wasn't the chief. I wasn't making the calls, and that-that-- that's the opposite of what this place is all about, you know-- that's their heritage, that's what they believe in. And now it's down to me and a woman. If, unfortunately, I get second place, being the last man in the game, that's an accomplishment in itself. I never dreamed I'd be… I'd be where I'm at, no way. And it's still hard, you know, it doesn't quit. I guess it’ll quit when I walk off this island and it's completely over.</t>
  </si>
  <si>
    <t>S32 Michele (1/2): Being a bartender is an extremely social job. You learn that personality types want certain things from you, so I was like, “Okay, who-who looks like I would get along with them?” There’s Tai, he’s freaking always moving. He’s like a whirlwind. Caleb is super strong. And Nick, you know, the tall, dreamy guy. Of course, I was like, “Oh! He’s on my tribe?” I get to spend a lot of time with him and he gets to see me disgustingly dirty… wonderful. (laughs) So I decided to build the relationship with the girls. You know, you’re inclined to kind of go with the girls, weave palm fronds, braid each other’s hair, whatever. Girls kind of go with girls and so that alliance felt really natural to me.</t>
  </si>
  <si>
    <t>S32 Michele (2/2): I just don’t trust Tai. I think that he’s bringing a lot of anxious energy. He made his bed, and right now, Tai is number one for me.</t>
  </si>
  <si>
    <t>S32 Michele (1/2): They’re just two totally different personalities that you wouldn’t think connect, and somehow, they just get each other.</t>
  </si>
  <si>
    <t>S32 Michele (2/2): The bromance is real out here. They bicker like a married couple, and then they kiss and make up.</t>
  </si>
  <si>
    <t>S32 Michele (1/3): What… the… heck?! The girls’ alliance got clean divided. To have the people that you trust the most out here go three different ways, it’s crushing.</t>
  </si>
  <si>
    <t>S32 Michele (2/3): I don’t think anybody expected the switch today. I was… stunned. You know, on Beauty, the girls’ alliance was really, really tight, but we’re all divided right now, us three girls, and it’s nerve-racking.</t>
  </si>
  <si>
    <t>S32 Michele (3/3): On my tribe, I find myself with two Beauty, two Brain, two Brawn. So there’s a lot to think about, and it’s going to be a rough adjustment, but, you know, you gotta keep your head up and read people until it comes time where I’ve gotta make an alliance.</t>
  </si>
  <si>
    <t>S32 Michele (1/6): I screwed up the Reward Challenge. I failed our team, you know, and it’s nerve-racking for me. But I just gotta go back to camp and keep fighting and hopefully I can turn things around.</t>
  </si>
  <si>
    <t>S32 Michele (2/6): Today was not the best day for my Survivor game. A girl who is in my top two alliance got voted out. Besides that, I just put my head on the chopping block by blowing that challenge and it freakin’ sucks.</t>
  </si>
  <si>
    <t>S32 Michele (3/6): Everything that’s been up to this point, you know, it feels like it’s teetering, but I’m not one to give up. It does seem like I have to start over, so I’m just going to try and use my social skills to build me back up.</t>
  </si>
  <si>
    <t>S32 Michele (4/6): I like Debbie a lot. She’s really quirky, and I think she’s pretty honest and upfront about what she thinks and what she respects. So maybe Debbie is my best option.</t>
  </si>
  <si>
    <t>S32 Michele (5/6): The way that Nick speaks to me is not in a way that I would ever tolerate a man speaking to me in my regular life, and I just want to be like, “Bro, I know!” but that’s his ego.</t>
  </si>
  <si>
    <t>S32 Michele (6/6): Right now, what I’m gonna do is just let Nick baby me and make him believe that I need all the help that he can offer, like the innocent little girl, like I’m stupid, but actually, I’m a strong, independent woman, and when it comes time to make a move, then I will. I don’t need to be carried, bro.</t>
  </si>
  <si>
    <t>S32 Michele (1/3): I made the Survivor merge. That’s crazy! It’s, like, my dream as a kid. But, you know, unfortunately, I was in a good position at Chan Loh, now everything shifted. I don’t know what’s going on on the other side and, uh, that’s a scary thought.</t>
  </si>
  <si>
    <t>S32 Michele (2/3): I think Jason probably thinks that he’s on top. He’s the one who’s constantly going, “Hey, this is what’s going on. This is what this person said. This is the way that we’re going.” So it looks like Brawn and Beauty are kind of together. But Brawn is way too controlling and I never counted out working with Brain.</t>
  </si>
  <si>
    <t>S32 Michele (3/3): You know, I’d love to work with Aubry and Debbie, but I’m not sure strategically it’s my best option. So I think I have to just kind of, you know, assess the relationships more. I could go whichever way I wanted right now, so I’m figuring out really what is best for me.</t>
  </si>
  <si>
    <t>S32 Michele (1/3): I think that Jason does think that he’s in charge of a lot of things over at this camp, and, you know, Jason is just an assertive person. He yells over them, “Guys, you can be a little bit more loud about it if you want,” and honestly, I really respected the way that they handled it.</t>
  </si>
  <si>
    <t>S32 Michele (2/3): Cydney would like to get Nick out. She thinks that he’s a threat and I agree. But he’s also in my alliance, and I do think that I could work with him a little bit longer, so I don’t know if that really works for me right now. The original plan was to go with Debbie being out, so there are a lot of choices at this point, and it’s trying to figure out really what’s right for me and Julia.</t>
  </si>
  <si>
    <t>S32 Michele (3/3): You definitely feel the electricity in the air before Tribal. There is a power struggle happening right now and it’s really evident in camp. There’s a lot of big egos, a lot of personality. I want to be able to make a move that does solidify my title as somebody who earned it, and it’s all figuring out timing.</t>
  </si>
  <si>
    <t>S32 Michele (1/2): The boys think that they can break us down and keep us down by doing these things, but we just use our smarts and figure out another way. We don’t need you big burly men to do it for us. We can figure it out. Within twenty minutes, we figured out a new method.</t>
  </si>
  <si>
    <t>S32 Michele (2/2): I just don’t like that kind of behavior. I don’t tolerate it in my regular life, and I d-- I don’t want to tolerate it out here either. So they can keep the power struggle going on, but we’re not going to back down. You know, we’re always going to find a way.</t>
  </si>
  <si>
    <t>S32 Michele (1/2): It felt so good to beat Scot and Jason, because I know that they wanted that burger more than anything. It’s a little bit nerve-racking that Tai won an advantage, because everybody knows he has an idol… and it’s scary.</t>
  </si>
  <si>
    <t>S32 Michele (2/2): The three guys have two idols. That is a huge problem and we gotta flush out the idols or we gotta get rid of the guys, one or the other.</t>
  </si>
  <si>
    <t>S32 Michele (1/6): I’m glad that me and Cydney decided on Aubry to go on reward, you know, because last night I was on the outside of the vote. So, at some point I have to be like, “Alright, this is my game and this is a really good opportunity to make sure that I am in with them and that they trust me and that they want to move forward with me.”</t>
  </si>
  <si>
    <t>S32 Michele (2/6): I get by in my life on my social skills. I build relationships, and that’s what’s gotten me this far in the game. Me and Julia are a tight two, and as much as I trust her and I love working with her, we’re just two people. To get back into the group, I’m going to have to make them trust me. So I want to make sure that just because I was out in the vote, didn’t mean that I was out in their alliance.</t>
  </si>
  <si>
    <t>S32 Michele (3/6): I do feel reintegrated into the group, and that actually says a lot about my ability to keep people’s faith in me, just by staying happy, staying humble, staying sane and hopefully my loyalty will make them want to keep me for a little bit longer.</t>
  </si>
  <si>
    <t>S32 Michele (4/6): I was originally on board when we were voting Jason, but now they decided they want Julia out. It freakin’ sucks. In a perfect world, I would love to go further with Julia. I mean, I trust her wholeheartedly, and, you know, she’s proved herself to me over and over and over again, and we’ve been together since Day 1, so I don’t want to have to write down the name of my biggest ally.</t>
  </si>
  <si>
    <t>S32 Michele (5/6): You know, earlier I told everyone I was going to vote for Julia to keep everyone happy and to lock in that I’m with them a 100%, but if Jason and Julia really do have Cydney, then the Tai vote could work out and it would also save Julia, which is great, because it’s been killing me to think that I would have to go against her.</t>
  </si>
  <si>
    <t>S32 Michele (6/6): A lot is riding on tonight's Tribal for me. I have a decision to make regarding my relationship with Julia and my alliance. I don’t want to backstab either side. I’m struggling to decide what action needs to be taken. It can really affect your game mentally and emotionally. All I can do is fight and play my game.</t>
  </si>
  <si>
    <t>S32 Michele (1/4): You know, Jason kind of hit me and Cyd real hard. And, like, I do think it would be smart to go to to the end with him, but I don’t want to put doubt at all in my alliance, so that’s why I voted Julia, because there is no better way to show my loyalty than to vote out my biggest ally in this game.</t>
  </si>
  <si>
    <t>S32 Michele (2/4): Me, Jason and Tai went to the wildlife sanctuary, and we had this wonderful picnic set up. I was in heaven.</t>
  </si>
  <si>
    <t>S32 Michele (3/4): I think Jason wants to seem a little bit softer than he is. I want to think that he’s enjoying the animals and doing it for his kids, but when the machete and the axe situation happened, I saw that evil side come out. So if Jason doesn’t win immunity, best-case scenario for me would be get Jason out next.</t>
  </si>
  <si>
    <t>S32 Michele (4/4): Little did I know that Tai has my head on the chopping block and is putting in their heads that he wants me out. But I was kind of on a tight time limit to talk to people who I haven’t talked to, so tonight for me at Tribal, I’m going to do some damage control and hope that Jason can go and I can last another day in this game.</t>
  </si>
  <si>
    <t>S32 Michele (1/12): Tai voted both of his votes towards me, because, obviously, he wants to put me on the outs, and it’s kind of like a slap in the face. Fortunately, I kind of lucked out that Cydney did protect me, but I did get votes against me, so I don’t know where I stand, and I could get voted out next.</t>
  </si>
  <si>
    <t>S32 Michele (2/12): As I was leaving the Reward Challenge, all I’m thinking is, “Okay, Cydney, Aubry and Joe, that’s maybe final three.” So I definitely have to take a risk and try and find a way to change the pecking order.</t>
  </si>
  <si>
    <t>S32 Michele (3/12): Tai says that he bases all of his relationships in this life on the chemistry that he feels with people. Hey, I get that. You have stronger connections with some people than with others, but when you’re in a game like this, you have to play all your avenues. I think what it comes down to is that me and Tai are very different people and we have very different perceptions on this game.</t>
  </si>
  <si>
    <t>S32 Michele (4/12): The spa menu of the day was a Tai massage. It’s a Tai massage because it’s Thai in method and Tai is the masseuse.</t>
  </si>
  <si>
    <t>S32 Michele (5/12): We are kind of having a poor man’s spa while they’re having their real man’s spa.</t>
  </si>
  <si>
    <t>S32 Michele (6/12): Who would have ever thought that Michele and Tai would have, you know, bonding massage and a dinner date? It’s like… I don’t know. What has this world come to?</t>
  </si>
  <si>
    <t>S32 Michele (7/12): I’m tentative to say anything or do anything with Tai after what happened last time, but me and Tai are… seemingly both on the outs.</t>
  </si>
  <si>
    <t>S32 Michele (8/12): It would be such a great move on our part, and completely shocking because I don't think anyone thinks at this point that me and Tai have the capability to work together.</t>
  </si>
  <si>
    <t>S32 Michele (9/12): It’s crazy the way that things turn here. I mean, I thought I was on the outs, but me and Cydney have had a great relationship for a really long time, and me and Tai have our plan. So now it looks like we can pick and choose who we would want out, Joe or Aubry, and that would be a crazy twist in this game.</t>
  </si>
  <si>
    <t>S32 Michele (10/12): It could be something that could pull him from the game. And when you’re this far in, five people, that’s the last thing that you want to see happen. But at the same time, if Joe goes, it’s beneficial for my game. And so, I feel bad, but it’s also positive. So… it’s weird.</t>
  </si>
  <si>
    <t>S32 Michele (11/12): Joe has been so strong out here and to see something medically go wrong with him, it just goes to show how crazy this game can be. And you hope that it’s gonna be okay.</t>
  </si>
  <si>
    <t>S32 Michele (12/12): Every hour it seemed to get worse and worse, and he was doubled over, and I think he was masking a little bit of how bad, you know, how badly he was in pain.</t>
  </si>
  <si>
    <t>S32 Michele: I’m gonna put everything on the line. I’m a Jersey girl, and you gotta get scrappy sometimes. If I have to fight dirty, then I will.</t>
  </si>
  <si>
    <t>S32 Michele (1/12): Now that Joe was pulled from the game, alliances, they’re being reshifted. Everyone is trying to scramble for power. The beauty of this game is that you never know what’s gonna happen, and everything is up in the air right now. It’s anyone's game if you play your cards right.</t>
  </si>
  <si>
    <t>S32 Michele (2/12): I think Aubry made a really poor choice of her Reward Challenge. She chose Cydney last time and left me and Tai on the outs, and then she gets the reward today and she chooses Cydney again. That made me think, “Well, I have to make sure that I have a backup plan.” It took Aubry winning to kick me in the ass and make me start thinking a little bit outside of the box.</t>
  </si>
  <si>
    <t>S32 Michele (3/12): It feels surreal to have the necklace on and know that I’m in the final three. Two days ago, nobody really gave a crap where I stood, you know, like I could have been going home tonight if I didn’t win, and, you know, now I feel that I am in kind of a power position. I’ve built relationships with all three of these people, so it’s going to be sad to see one of them go, but this vote, it will decide who I go to the end with, and if I pick the wrong person, boom, there goes the million dollars.</t>
  </si>
  <si>
    <t>S32 Michele (4/12): Aubry sitting next to me rather than Cydney definitely changes my chances in a really negative way. She’s made great relationships with everyone, you know, and fought her way here. I’ve been gunning for Aubry and nobody’s wanted to jump on the bandwagon.</t>
  </si>
  <si>
    <t>S32 Michele (5/12): I’m trying hard to think up a case against Aubry and she’s been in control a lot of this game and I think Tai just gave her a million dollars.</t>
  </si>
  <si>
    <t>S32 Michele (6/12): Oh, my God! Once again, here I am having to fight for my life. We all kind of thought yesterday was the last challenge, and now we find out that two people are going to the end, the person who wins gets to choose who they’re taking.</t>
  </si>
  <si>
    <t>S32 Michele (7/12): When Jeff said, “You’re the final three,” I couldn’t have been more ecstatic. But then Jeff turns around and says, “Whoever wins this challenge has a chance to vote out a jury member,” and that’s huge! This has never happened in this game, so it’s new territory, and I want to make sure that I have thought of every possible outcome because it could be a million dollar decision that I’m making tonight.</t>
  </si>
  <si>
    <t>S32 Michele (8/12): I have a number of options, and I’m weighing them out right now trying to decide which way would be better for me. And it’s scary, because if I take out the wrong person, then I’m going to look really stupid. And this decision that I make, that will be the last thing that the jury is gonna remember before the final vote.</t>
  </si>
  <si>
    <t>S32 Michele (9/12): Neal went out kicking and screaming, and, you know, it proved my point that he was probably going to bash me at Tribal, and I didn’t give him that opportunity. So it was a good choice on my end. But if tonight was any taste of what tomorrow’s going to be like, I think we’re all in for a world of hurt.</t>
  </si>
  <si>
    <t>S32 Michele (10/12): Being here and knowing that I’m final three, I’m like, “Okay, there is a freakin’ shot.”</t>
  </si>
  <si>
    <t>S32 Michele (11/12): Tonight, I’m gonna convince the jury that I didn’t get here by luck or by chance and that, you know, I didn’t slide through. I made little adjustments here and there and fought my way to my spot here. And when I needed to win challenges, that’s exactly what I did.</t>
  </si>
  <si>
    <t>S32 Michele (12/12): At the end of the day, I need that million dollars, so I’m putting it all on the line, and I hope that people can see that I’m not some timid girl who’s glided along, but rather, somebody who strategically made moves this whole game.</t>
  </si>
  <si>
    <t>S27 Tyson (1/1): I've been disappointed by Survivor twice, but this time I actually feel like I'm in a pretty good spot. You know, in a game like this, I think that the loved ones aren't going to be prepared, and I'm going to slit their throats.</t>
  </si>
  <si>
    <t>S27 Tyson (1/1): That fight was awesome. I think it's interesting with Colton. I think he came out here wanting to be different than the person he was and he pretended to be for, like, a day and a half or something, but now you look at him and you're, like, he's going to end up overthinking himself out of the game probably.</t>
  </si>
  <si>
    <t>S27 Tyson (1/3): (tearfully) It was hard to see Rachel at Redemption. I knew she was going to be there. It was the only move for them that made sense, really, if they wanted to try and win challenges. So now I have to get all the way to the end or I would regret not stepping in for Rachel. When she lost and I got to hug her, I asked her if she had fun and she said she did and for me that was enough. Because it is a game, you know? Too many people take it too serious and it shouldn't be. And it ruins their lives and it makes them angry and a good example of that is Colton.</t>
  </si>
  <si>
    <t>S27 Tyson (2/3): Right now, being here with Monica is a little weird. I mean, who wouldn't be bothered by that? You know, I know her husband was the main reason that Rachel got voted out but he doesn't know how to play the game. All he's doing is creating a larger target on his back.</t>
  </si>
  <si>
    <t>S27 Tyson (3/3): When Hayden hit me I knew that I'd hurt myself. I really couldn't move it at all and I thought my whole game is screwed.</t>
  </si>
  <si>
    <t>S27 Tyson (1/4): I hurt my shoulder at the Immunity Challenge. Every day it gets a little bit better but I do like to play it up a little bit 'cause then I have to do less work around camp. Hopefully, that also keeps them in sympathy with me.</t>
  </si>
  <si>
    <t>S27 Tyson (2/4): Me and Gervase, we have a cool thing going now where we'll sneak off and drink a couple of coconuts. We've been opening them a different way so people wouldn't recognize that we've been chopping 'em. I would really like to keep eating those coconuts. I can't wait til they bring all those coconuts down and just examine each and every one of 'em.</t>
  </si>
  <si>
    <t>S27 Tyson (3/4): I'm definitely with Gervase right now. If that lasts through to the finals, so be it. It would definitely be in Gervase's best interest to stick with me as well because we both lost our loved one in the game, Aras still has his and if Vytas makes it to the merge, he would work with Vytas. They're obviously the strongest cumulatively, so to have them both, I think it's a huge danger.</t>
  </si>
  <si>
    <t>S27 Tyson (4/4): My shoulder does still hurt but it is getting better every day. So the thing is, I'm better than most everybody on my tribe with one arm, so... I wanna win.</t>
  </si>
  <si>
    <t>S27 Tyson (1/1): We have the core alliance of me, Aras, Gervase, Tina and Monica. We’re a solid five. Kat also feels like she’s in that alliance of five. And Laura Morett has no clue what alliance is going on. But right now, the plan is to vote out someone that everybody is super annoyed with and that’s Laura B.</t>
  </si>
  <si>
    <t>S27 Tyson (1/5): I really do like Aras. He’s a great guy, he’s funny. He’s a little out-there on his, uh, zen-type beliefs because I just have zero beliefs, except for magic. I believe in magic, it’s awesome. But people like Aras, they do. That’s the tricky part, when to dethrone King Aras?</t>
  </si>
  <si>
    <t>S27 Tyson (2/5): Hayden and Caleb gave the clue to the Hidden Immunity Idol to me. Is it just ‘cause they’re new guys here or they haven’t played the game before? I don’t know. Stupid will be stupid.</t>
  </si>
  <si>
    <t>S27 Tyson (3/5): There are social faux pas to the game of Survivor and one of them is eating more food than everybody else. But if you just come in and pretend like, yeah, everyone just cracks open a coconut whenever they want, everybody just eats a banana whenever they want. It doesn’t have to be fair. It’s definitely a goal to eat and steal as much food as I can from this tribe and, uh, I’m gonna keep eating that food ‘til it’s gone. You do have to do a certain amount of work or appear to be working so that people just don’t paint you as the lazy guy. I don’t think I’m painted as the lazy guy yet, ‘cause after I crack a coconut and drink half of it, I pass the rest around to the other five people to share. So, that’s kind of generous of me to do.</t>
  </si>
  <si>
    <t>S27 Tyson (4/5): Before the tribe swap, Gervase and I had decided that getting rid of Aras might be a wise move. So now, I just make it look like he’s bossing everybody around, taking charge and doing whatever he wants. You know, I’ll apologize for him constantly. I’m always like, “Oh, sorry about Aras. He's... kinda doesn’t know he’s socially unaware,” and make sure people know that between him and I, he’s the one in charge.</t>
  </si>
  <si>
    <t>S27 Tyson (5/5): I’m out here to play, and I have to use my brain. So, hopefully the target will be a little bit smaller on me and maybe a little bit larger on Aras. I have to do everything I can to get to Day 39.</t>
  </si>
  <si>
    <t>S27 Tyson (1/2): I thought Aras was playing a good game at first, but everyone else is recognizing his main motivation right now, which is get to Vytas and then take control of the game. Meditate all day long if that’s what you need. I think he’s getting really comfortable and that weighs right into my game plan.</t>
  </si>
  <si>
    <t>S27 Tyson (2/2): I didn’t need this reward at all. I don’t think I’ve gone to bed hungry one night since I’ve been here. We’ve been eating rice like crazy. I’ve convinced everyone that eating maximum amounts of rice is the proper strategy and everyone seems to just agree. You know, I’m a three-time veteran of this game, so of course what I say is gonna be right.</t>
  </si>
  <si>
    <t>S27 Tyson (1/3): You gotta act fast come merge time, so now the only factor in the game is finding out where the Immunity Idols are. When the tribe swap happened, Hayden gave me all the info he knew about the Hidden Immunity Idol. I’m pretty sure it’s at the giant vine tree on the way to the waterfall.</t>
  </si>
  <si>
    <t>S27 Tyson (2/3): Ta-da! I’m definitely not sharing this with anybody else right now. I mean, if it becomes my advantage to share it with somebody in my alliance to keep them in the game and push somebody else out, then that’s something I’ll definitely do. But right now, nobody needs to know I have it. I stepped on that probably like, twenty times. Let's see how sweet it is. I hope it's solid gold. Try it on, make sure it fits. Hooray! I’ve never had an idol before and I’ve also never won the show before. So, do those correlate directly with one another? Probably not, but at least it’s a little more advantage.</t>
  </si>
  <si>
    <t>S27 Tyson (3/3): I needed to tell Monica about the plan to get Aras out because, you know, you have to show her a little love, you have to show her some respect just to solidify the numbers. But, she just likes to repeat the same idea over and over and over again. And I don’t want to be rude to her because I need to keep her close. At some point, you just have to be like, “Monica, shut up.” And I’m just, like, (sighs) “Give me a rusty spoon so I can dig both my eyeballs out and then jam-- try and jam it through my eye socket into my brain.” It’s taking all of my patience, all of it.</t>
  </si>
  <si>
    <t>S27 Tyson (1/6): Survivor’s broken my heart twice. And I think tonight, I fell back in love. I knew Aras wasn’t gonna take me to the end and I knew Tina had prioritized Katie in front of me. So for her to come out and say, “You should be ashamed of yourself because that’s not the way I play the game.” I’m like, “Tina, if everyone played the game the way you do, I would win 100% of the time.”</t>
  </si>
  <si>
    <t>S27 Tyson (2/6): I wasn’t the one who came up with the idea to split the votes. Laura M. was like, “If there’s an idol out there, we need to split the votes.” It’s one of those things where it's like, “Do I tell them I have the idol so we don’t have to worry about splitting votes, or is that gonna make me too big of a target?” I don’t want to tell people I have the idol. So I have to kinda just roll with it.</t>
  </si>
  <si>
    <t>S27 Tyson (3/6): Vytas made some valid points, but the main concern for me right now is if the girls wise up, they could perhaps form an all-girl alliance. Sending a girl home would keep Vytas here and still keep the guys in the strong majority. So my list, optimally, right now would be to have Katie go next.</t>
  </si>
  <si>
    <t>S27 Tyson (4/6): This is when it gets dangerous for someone like me. Because I don’t want to come off as the kingpin or the decision-maker. I want everyone to feel their input is what matters and not just mine. So right now, I have to be very careful about this vote tonight.</t>
  </si>
  <si>
    <t>S27 Tyson (5/6): The idea was a few people would follow Tina around in case she found the idol, but we don’t have to. Like, I could go to everybody and be like, “I have the Hidden Immunity Idol. We can all just take naps.” But then I become a target. So today we have to babysit Tina all the time. She looked in the right spot, but it was gone because I moved it to a safe place.</t>
  </si>
  <si>
    <t>S27 Tyson (6/6): Tonight, it’s more complicated than I thought it was going to be. The thing is-is we can’t split the votes because then Monica feels like she’s on bottom. And she’s a real wildcard, that girl. You never know what she’s gonna do and that’s what makes her dangerous.</t>
  </si>
  <si>
    <t>S27 Tyson (1/4): Now that Katie has an Immunity Idol clue, doesn’t worry me at all because I officially have the Hidden Immunity Idol and Katie is pretty much a non-factor. So, the only thing I’m thinking about is how to make my next move. And I think a lot of people are okay with making moves as long as they’re not the bad guy, so I’m gonna have to take another one for the team and be the bad guy again.</t>
  </si>
  <si>
    <t>S27 Tyson (2/4): The safe bet right now is to take Laura M. out before she gets further in the game and then collaborates with someone with her daughter because then there’s two votes that you’re worrying about instead of just one.</t>
  </si>
  <si>
    <t>S27 Tyson (3/4): Right now, it’s a shifting game partly because people assume there’s a Hidden Immunity Idol out there. Also, because I’m the biggest threat in the game. I’m like the Big Bad Wolf, almost. People aren’t liking me-- they like me just fine right here, but the second I vote ‘em out, they hate me. And so I need to get Ciera on board about voting her mom out.</t>
  </si>
  <si>
    <t>S27 Tyson (4/4): It was so perfect. We had it until we told Ciera that we were voting her mom. That was the mistake. Ciera, smarter than we thought originally, is making moves as well. And so, it’s a little tricky, but it’s gotta be Laura because letting a couple get farther in the game is too dangerous ‘cause they can swing everything with just one vote. I need to get the votes back on Laura and get ‘em to stick with the plan and vote Laura out.</t>
  </si>
  <si>
    <t>S27 Tyson (1/5): Ciera writing her mom’s name down was the hardest voting position of the game so far. By doing that, she’s actually shown a bit of loyalty. But at the same time, it makes me a little scared of her. I can see that she’s playing the game pretty hard. I think she’s underestimated by a lot of people and she’s going to be dangerous.</t>
  </si>
  <si>
    <t>S27 Tyson (2/5): With seven people in the game right now, the next vote and the vote after that are going to be the most important. I have to get past this next vote. So the wisest thing I can do right now, from my perspective, is keep everybody against Katie.</t>
  </si>
  <si>
    <t>S27 Tyson (3/5): I was hoping to make it to six before I made my move and really locked the game down, but I may have to lock it down earlier. I trust Monica and I trust Gervase. Ciera’s the major wildcard here. I hope Ciera’s telling the truth, but in the end, it makes more sense for me to go that direction anyways because I need Caleb and Hayden out and the sooner, the better.</t>
  </si>
  <si>
    <t>S27 Tyson (4/5): Hayden and Caleb just pulled me aside and were like, “Ciera’s playing both sides.” And when I think about it, it makes sense, you know? Why wouldn’t she? She seems like a smart enough girl and I know she’s a good liar. In her mind, she’s probably thinking by piting the guys against each other, she can stick around a little longer and that was a smart move on her part. But now I’m feeling like she’s too sneaky and too smart and too deceiving to be in the game anymore.</t>
  </si>
  <si>
    <t>S27 Tyson (5/5): The problem is, I don’t trust Hayden and Caleb either. Who knows? They could be trying to make me feel comfortable and then, pow! I get hit with a heart-breaker. So I might have to play my Hidden Immunity Idol. It’s that little added bit of insurance in case something screwy happens.</t>
  </si>
  <si>
    <t>S27 Tyson (1/3): I didn’t really like how Hayden threw me under the bus when he said, “I’m voting Tyson if Tyson makes it to the end, I’m gonna vote him.” It was nice to hear, but it does put a little bit of a target on my back. I wish I wouldn’t have played the idol because then I would have it for next time, although I trust my alliance enough that that shouldn’t really be of much concern.</t>
  </si>
  <si>
    <t>S27 Tyson (2/3): I used the idol at the last Tribal Council and a new one came back into play and I have to find it, otherwise, I don't know who's gonna have it. So, the safest thing for me to do is to find the idol. I’m threat number one and everyone knows that. And I know that. I’m just trying to play the game and trying to get to the end and I told myself when Rachel left that if I was going to stay, I had to get to the end. So... (begins to cry) then, it’s the only way that it would be worth it for me to stay here and not go in when I could have saved her. So I’ve just been fighting and clawing and I’m so close. And I still feel like it’s getting pulled out from under me. And I hate that feeling because I've worked too hard to get here. Boom!</t>
  </si>
  <si>
    <t>S27 Tyson (3/3): I don't have pockets on any of my clothes so I gotta put it right on my crotch where nobody will suspect a bulge. (sighs) Now the trick is, do I share it with everybody or I keep it to myself again? I think I'll keep it to myself. Okay, that's it, I can rest easy. I have the Hidden Immunity Idol. It’s up to me to just stay focused and don’t let Hayden win the challenge. That’s the number one thing. Hayden can’t win. That was the diciest moment of the game for me so far, was having that idol on the lose so... (sighs) Oh, now I can probably take a nap today. I was not going to be able to take a nap unless I found that thing. Hey, did it again. Nap time!</t>
  </si>
  <si>
    <t>S27 Tyson (1/2): You can’t ever let the person on the bottom know they’re going home. That’s Survivor 101. It gives them a chance to be crazy. You have to give them hope. You have to tell them somebody else’s name, ‘cause then the fireworks wouldn’t have happened.</t>
  </si>
  <si>
    <t>S27 Tyson (2/2): Monica, she’s crucial to my game right now. But she will not stop talking and it’s annoying. I was like, “Stop playing the game, Monica. You’re playing too hard right now.”</t>
  </si>
  <si>
    <t>S27 Tyson: I told myself when Rachel left that if I was gonna stay I had to get to the end. It's the only way that it would be worth it for me to stay here. I'm so close... (wipes away tears)</t>
  </si>
  <si>
    <t>S27 Tyson (1/8): My best shot is gonna be with Monica and Gervase and I may have to use that idol to keep Monica on our side.</t>
  </si>
  <si>
    <t>S27 Tyson (2/8): Having someone come in from Redemption and partnering up with Ciera and they're gonna try drawing Monica in again and so, Gervase and my goal needs to be to keep Monica tight with us.</t>
  </si>
  <si>
    <t>S27 Tyson (3/8): I never really imagined myself in this position with the Immunity Necklace on Day 37 but I'm not going to celebrate because it's not done. What I need to focus on now is how the next vote is gonna go.</t>
  </si>
  <si>
    <t>S27 Tyson (4/8): Right now, I have the Immunity Necklace and the Hidden Immunity Idol. I would definitely like to keep this idol as a souvenir and, uh, give it to Rachel. It feels good. I can relax a little bit today and the main thing is who do we vote out tonight?</t>
  </si>
  <si>
    <t>S27 Tyson (5/8): Our alliance is debating Tina versus Ciera right now and I'll probably just let Gervase and Monica figure it out and go with them because it takes a little heat off of me.</t>
  </si>
  <si>
    <t>S27 Tyson (6/8): Since the merge, I felt safe 'cause I did have the Hidden Immunity Idol, but idols don't exist right now, they're all done. And we're down to one of the last days and now I need it more than ever. It's make or break. It's do or die right now. So, the most important part of the game is still to come.</t>
  </si>
  <si>
    <t>S27 Tyson (7/8): This is the first time I've made it to Day 39 and I have a lot of best days in my life... winning the challenge today, is probably pretty close. So, we'll see if I can top it tomorrow by giving a speech so awesome that I win a million dollars. But right now, this is the best day of my life.</t>
  </si>
  <si>
    <t>S27 Tyson (8/8): This morning, me, Monica and Gervase woke up, headed to Tree Mail and the breakfast I've been dreaming of since Day 1 and even before that day, was there and ready for consumption. There were so many moments along the way where I thought, “I'm not gonna do this. I'm not going to get to Day 39.” But with six people left in the game, five people left in the game I thought, “This is actually gonna happen. I'm gonna find myself in the Final Tribal Council.” And now I have to focus on winning a million dollars.</t>
  </si>
  <si>
    <t>S26 Cochran (1/6): Weather-wise, this is not my environment. I was not aware how quickly I can become sunburned. The sun is constantly roasting you. My entire body, head to toe-- literally, my toes are sunburned.</t>
  </si>
  <si>
    <t>S26 Cochran (2/6): I'm trying to put on a brave face, maybe make some self-deprecating comments around camp like, “Oh, yeah, I look like a lobster. I look like a freak. Ha, ha. It’s funny.” Actually, I'm in horrible pain right now, and I feel like crying, kind of, but I’m, you know, trying to stay strong. And my new persona is strong, a little bit of swagger, a little more confidence. I can't be the same freak I was last time.</t>
  </si>
  <si>
    <t>S26 Cochran (3/6): Sunburn aside, I have basically instant rapport with ever-- I say everybody on my tribe, uh, is-is intensely satisfying. It’s basically the aloe to my sunburn, as it were.</t>
  </si>
  <si>
    <t>S26 Cochran (4/6): Coming into this game I was a little bit, uh, skeptical of how Dawn would react to me ‘cause I arguably screwed her over last time. I voted her out. So I wasn’t sure if there was going to be any lingering resentment or what was going to be the case.</t>
  </si>
  <si>
    <t>S26 Cochran (5/6): I’m willing to work with her. She’s honest to a fault unless she’s kind of reinvented herself over the past year and decided to play a much more cutthroat game, which actually she might be. The fact that she is willing to take out Frannie, who she’s confessed to really liking and wanting to work with, indicates this is a new Dawn. A new Daw… (laughs) Sorry.</t>
  </si>
  <si>
    <t>S26 Cochran (6/6): You know, in-in-in weighing whether I want to vote off somebody like Francesca, there is kind of this emotional aspect. You can say you want to play the most strategic, cold-blooded game in the world, but emotions do enter the equation. Uh, the fact that I like her, doesn’t help. So, there’s a part of me that’s like, “Maybe I shouldn’t vote her off just ‘cause that would be cruel.” It feels like-- I feel, like, it’s inhumane. Like, you don’t know. I mean, I have, like, morals… right? (chuckles) I have-- I have a sense of shame.</t>
  </si>
  <si>
    <t>S26 Cochran (1/1): One of the most frightening things about Brandon's personality is that he has these moments of extreme rage and they're almost immediately followed by unbelievable pleasantness. The sort of behavior befitting of a murderer who is kind of sociopathic. The only thing I can predict about Brandon is that he is going to be unpredictable. And that gives me very little solace in this game where predictability, really is everything.</t>
  </si>
  <si>
    <t>S26 Cochran (1/1): You know, back at home, I'm waiting the whole week long for wednesday night at eight to arrive so I can turn on CBS and see what's in store. But when you're playing this game every single day is like wednesday night at eight. It's wild and that’s what I love. I-I get to watch Survivor while I'm playing Survivor. And for a Survivor nut like I am, this is a dream come true. The-the weird thing is that it's not normal for me to be surrounded by all these beautiful women who are half the time just wearing their underwear. I mean, that-that's some sort of freudian picnic, I think, uh, but it's real here.</t>
  </si>
  <si>
    <t>S26 Cochran (1/3): So the Favorites won the Reward Challenge and we got to have a local bushman come to camp and introduce us to ways of improving our camp and actually physically improving it for us, as well as cooking a great feast for us.</t>
  </si>
  <si>
    <t>S26 Cochran (2/3): As we got to form as much of a rapport as you can form with someone like Tata the bushman, we got a sense of how he functions, and the way he functions is basically saying enigmatic little things that nobody understands. But to his credit, he created an unbelievable feast for us. I mean, we've been eating rice but he prepared this rice flawlessly, like you would get in a great restaurant, and he made chicken, potatoes, and onions created in, like, a way that ostensibly we could do once he's gone. I have no idea what the hell he was doing, but it was great to watch. It was kind of, you know, dinner and a show. And, you know, actual home improvement came along with it.</t>
  </si>
  <si>
    <t>S26 Cochran (3/3): Tata is a married man but that didn't seem to impede him from really trying to get his bump and grind on with the girls in the Favorites tribe. Since he's kind of this bizarre little woodland creature, he gets away with it. If I tried that I’d seem like I was some creepy predator, but the girls found it delightful. They even were all kissing him on the cheek, which I'm sure will provide him with fodder for years to come in his mind and heart.</t>
  </si>
  <si>
    <t>S26 Cochran (1/3): When Brandon was here it was actually a certified asylum. It's comforting to know that Brandon was able to successfully fly over the cuckoo's nest and now we're just left with Phillip.</t>
  </si>
  <si>
    <t>S26 Cochran (2/3): It seems relatively clear to me that one of the Fans is going to go home tonight. I kind of like the idea of voting off Julia. But a possible downside is that Matt and Michael are openly very close to each other, so leaving an outspoken duo, a power couple in this game, doesn't seem to make that much strategic sense.</t>
  </si>
  <si>
    <t>S26 Cochran (3/3): Matt, I'm pretty sure he doesn't have the idol because he reeks of desperation right now. But, for now, it seems like it’s between Matt and Julia with-- who knows? If an idol is played, maybe it's me, maybe it's Corinne, maybe it's Phillip.</t>
  </si>
  <si>
    <t>S26 Cochran (1/7): The Tree Mail did say, “The strong will carry the weak.” We have plenty of that latter category so if the success of this challenge depends on the existence of weak people, we got it.</t>
  </si>
  <si>
    <t>S26 Cochran (2/7): Phillip challenged me to an arm wrestling match. He naturally was able to beat me quickly. Then to up the ante and also to build up his ego a little, he'll demand that I actually basically put all my weight on his one hand. I put a significant portion of my weight on his forearm and he managed to keep it off the ground. And if the smile on Phillip's face after that, I think he felt like the old Phillip… or the young Phillip.</t>
  </si>
  <si>
    <t>S26 Cochran (3/7): Phillip and Corinne hate each other. There's so much fracture and division within the Favorites on this tribe, it's like a death sentence. I mean, something is going to happen at one point or another. I'm going to be pushing that we certainly vote off a Fan, which is not even a certainty at this point because Michael actually seems capable of wheeling and dealing. He’s already gotten very, very close with Corinne. Julia, on the other hand, is such a nonentity out here. I'm tempted to say that she has, like, a vanilla personality, but I feel like that would be doing a great disservice to the flavor vanilla. Like, people actively seek out vanilla-flavored products. Children clamor to get a vanilla ice cream cone. Nobody is clamoring for anything Julia-flavored, except for Phillip. Phillip has grown very, very close to Julia and I'm not really exactly sure why.</t>
  </si>
  <si>
    <t>S26 Cochran (4/7): So when we got back to camp, spirits were understandably a little bit low. We just lost and Phillip he was kind of was sulking around, eyeing out everybody and then he quickly and very covertly pulled me aside and whispered very intensely… And, you know, my mind starts racing instantly. Has he done something around camp? Is he going to betray Corinne tonight? What could it possibly be?</t>
  </si>
  <si>
    <t>S26 Cochran (5/7): It all makes sense! We had to throw the challenge in order to get rid of one of these Fans or else we were doomed. And that's the only reason why Phillip was unable to successfully throw a grappling hook. I mean, it's complete crap. You can't make up this level of delusion and that's what excites me about playing with Phillip. I think he's actually, at this point, convinced that he threw the challenge. He wasn't throwing the challenge, he was trying his hardest, he was in full spy mode. Can you imagine the speech he would have given back at camp had he successfully thrown a grappling hook, the spy's basic tool, at a challenge and won the challenge for us? It's just… (chuckles) it's-it’s absurd!</t>
  </si>
  <si>
    <t>S26 Cochran (6/7): The numbers within this current tribe are four Favorites and two Fans. That numbers advantage means that the four of us can split our votes across the two remaining Fans, flush out any possible idols and on the revote we can get rid of Julia.</t>
  </si>
  <si>
    <t>S26 Cochran (7/7): Phillip wants to vote off Michael. I don't know if this is the plan that’s set in stone but it's clearly has nothing to do with Julia or with Michael. It's masking something that's about to come to the surface and tonight's vote will probably be what sets into motion a series of events that completely bring this Phillip/Corinne feud to the surface and make it clear why they can't play together.</t>
  </si>
  <si>
    <t>S26 Cochran (1/7): Seeing the boat coming and that the merge had arrived is always the part of the game that I'm most excited about.</t>
  </si>
  <si>
    <t>S26 Cochran (2/7): Eddie was worried that this might damage his dating prospects, that he’s gonna be viewed as somebody that’s partaken in something very gross, and, uh, you know, potentially alienating women. For me, you know, I need some sort of imagery rehabilitation. I think this would add a little bit of a wild streak to me and might make me seem a little bit more dangerous. I think this is exactly what my love life needs.</t>
  </si>
  <si>
    <t>S26 Cochran (3/7): Today's Immunity Challenge, it was a true Survivor classic and the fact that I got to the final round, and that the final round was between me, this little pipsqueak, and Malcolm, the golden god of this tribe. And the fact that I won is dream fulfillment. The fact that I was kind of over-the-top, somewhat obnoxious victory celebration because I know this moment probably isn't going to happen again. Any other individual having that sort of display of basically bad sportsmanship, it would have rubbed them the wrong way, but somehow, everybody seemed happy for me.</t>
  </si>
  <si>
    <t>S26 Cochran (4/7): Corinne is adamant that we not target Reynold and Eddie, which I don't fully understand, but if Sherri goes, you know, no sweat off my back. Sherri is an easy vote and, you know, her elimination would lock the Favorites numbers in a way that would be irreversible. What doesn't bode well is the fact that Corinne and Phillip hate each other and they have a suspicion of each other that’s unhealthy and if the Favorites don't come together, that’s basically admitting to the world, Fans included, that we're a dysfunctional group that doesn't completely trust each other, there are openings for them to enter, and that we're apt to fall apart, given, you know, the right catalyst.</t>
  </si>
  <si>
    <t>S26 Cochran (5/7): Dawn just approached me very frantic saying that Corinne let it be known that apparently she’s rallied this group of troops together that gives her the numbers and gives her post-merge control of the game.</t>
  </si>
  <si>
    <t>S26 Cochran (6/7): Corinne, who I thought didn't have a strategic bone in her body, she's positioned herself in a way that we have been basically acquiescing to every single demand she's made. So it's a sobering situation, and if we don't come up with a plan, it could be devastating to my game and the games of my allies.</t>
  </si>
  <si>
    <t>S26 Cochran (7/7): You know, it's disconcerting that my fate in this game right now rests in the hands of somebody like Sherri who’s just desperate for some sort of footing in this game. And you have Erik, the ice cream scooper, a guy who doesn’t like strategy and somebody who’s basically proven himself previously to be incompetent at playing this game.</t>
  </si>
  <si>
    <t>S26 Cochran (1/4): We get to the reward location and there's this brilliant waterfall forty or so feet tall, and we're going to have to rappel down it. I'm going to have to rappel down it. This is not something I do. I rarely leave my apartment, I rarely leave twitter and the fact that I'm going to be flung down some waterfall on a rope, I don't even know the mechanics of it. I have no idea what's going on.</t>
  </si>
  <si>
    <t>S26 Cochran (2/4): I watched my tribemates go down the waterfall. It wasn't much consolation because I had no idea what they were doing, but I'm learning to embrace it. This is the same guy that was afraid to take off his shirt the last time I played Survivor. Now I'm flying down a waterfall after winning a challenge. It was fantastic. Still a little bit nerve-wracking. I kind of slid on some mossy rocks and bungled the, you know, the job a little bit but I loved it.</t>
  </si>
  <si>
    <t>S26 Cochran (3/4): Reynold, Eddie and Michael must not know me that well, if they think that emphasizing the testosterone unity between us and-- we're men, we're men and we hate women and we're going to, you know, slap each other with towels in the locker room and chug beers. That doesn't work with me. That doesn't appeal to me at all. I won't be engaging in any sort of masculine tomfoolery with these numbskulls.</t>
  </si>
  <si>
    <t>S26 Cochran (4/4): Frankly, I was a little bit turned off that Andrea was so willing to abandon what I think was the smartest aggressive move in taking out Malcolm tonight. She's completely changed her mind. Now suddenly, we have to go for the safe vote which would be to vote out Michael because Michael, unlike anybody else, has proven, you know, time and time again in Tribal Council, not to have an idol.</t>
  </si>
  <si>
    <t>S26 Cochran (1/5): Reynold, Dawn, Erik, Phillip and I walked into our reward resort and we were greeted by a table filled to the brim with all sorts of shrimp kabobs, beef kabobs, fried chicken, calamari. There was more food than we could possibly eat. Apparently, protein is important in one’s diet, and this is the sort of energy I need to go-- to go into challenges and continue being the challenge monster I think I’ve proven myself to be.</t>
  </si>
  <si>
    <t>S26 Cochran (2/5): Dawn’s convinced that Andrea is going to flip over and vote her, Dawn out. How Dawn is so confident she’s the person that would be on the receiving end of this vote,um, is-is baffling to me. And it’s making me suspicious of Dawn, quite frankly.</t>
  </si>
  <si>
    <t>S26 Cochran (3/5): We had one who flew over the cuckoo's nest this game, Brandon Hantz, he’s gone. But it’s looking like there’s another, you know, possible hummingbird that’s zipping over the cuckoo’s nest, and her name is Dawn.</t>
  </si>
  <si>
    <t>S26 Cochran (4/5): Now that Dawn’s settled down, we were on the eve of another Tribal Council, Stealth R Us, being led by Phillip, decided it’d be good to kind of get our, you know, ducks in a row and say, “Okay, where-- who are we really voting off tonight?”</t>
  </si>
  <si>
    <t>S26 Cochran (5/5): We have seven people against their three. We’re going to split the vote because we can throw four votes to Reynold, and just in case he does play an idol or something goofy happens, we’ll throw the other three votes to Malcolm and flush out any possible idols. I don’t mean to get too confident but my alliance has the numbers and I couldn’t be happier.</t>
  </si>
  <si>
    <t>S26 Cochran (1/4): I've participated in, and certainly viewed hundreds of Tribal Councils. Never before have I seen anything quite like what happened last night at Tribal Council. It left me breathless, it left me terrified. Today has been a pretty rough day around camp. People are really hungry and, um, spirits have been low and it was driving everybody crazy.</t>
  </si>
  <si>
    <t>S26 Cochran (2/4): We saw there were nine envelopes sitting there and I know what that means as a Survivor fan. It means that the food auction is upon us.</t>
  </si>
  <si>
    <t>S26 Cochran (3/4): (tearfully) I've been trying hard to play this, like, emotionless game this time, to just be this calm, cool, collected gamebot who just runs through strategy. Anyway, getting letters from home makes you realize there is life outside the game and things I value more than this game. And part of me is a little bit happy that I'm still the person who values family and love and, I guess, the things that are really important.</t>
  </si>
  <si>
    <t>S26 Cochran (4/4): I am the greatest challenge competitor in Survivor: Caramoan, there’s no debate. If you look at the scoreboard, I'm demolishing everybody. I've won half the individual Immunity Challenges. I'm the guy that was screamed at after every challenge last time I played because I'm such a freakin’ liability, because I suck in challenges, I'm weak. But now I am the biggest challenge threat in this game and I don't care if it makes me a threat. I'm just going to keep winning.</t>
  </si>
  <si>
    <t>S26 Cochran (1/9): The Fans are desperate. They're cornered. They-they have no power. The power rests in the Favorites right now and I want to take away as much power and suck it up for myself as possible because I want to take control of the game, and I'll do it without remorse. I'll do it without any reservations. And it's scary that I'm saying that. I feel like I've turned into something that would scare my mother if she saw me. But I'm not the little Harvard nerd who was trembling in the bushes last time.</t>
  </si>
  <si>
    <t>S26 Cochran (2/9): It might have been a big mistake stepping out of the game, but I couldn't last that much longer. As long as one of us wins immunity, it’s fine. The goal is to keep it out of the hands of Reynold.</t>
  </si>
  <si>
    <t>S26 Cochran (3/9): Erik finds the idol, and I'm thinking fantastic. I can probably tell him what to do with the idol, he'll do it, and before I have a chance to start celebrating, he's already handing the idol over to Andrea. Does he learn nothing?!</t>
  </si>
  <si>
    <t>S26 Cochran (4/9): I think today's Immunity Challenge and the fight demonstrated by players like Andrea and Brenda, marked possibly the beginning of the end for the alliance of six. There’s still these two easy votes in Reynold and Eddie. We can split the votes between the two of them, and one will be sent packing. And yet, we’re seeing the self-interested desires bubbling to the surface and people are playing for the endgame now to secure their own victory instead of a group victory.</t>
  </si>
  <si>
    <t>S26 Cochran (5/9): Andrea is a smart player, and Andrea, like me, is thinking well beyond the six, and it's Andrea's opinion that the right big move to make is to blindside Brenda. She can go on an immunity streak. She’s one of the more capable challenge competitors in this game, but this game is all about timing.</t>
  </si>
  <si>
    <t>S26 Cochran (6/9): I'm all about making big moves, and Andrea to her credit, is willing to make a big move, but it's a big move I don't agree with. Once again, she's talking about taking out Brenda, but also Dawn, who’s probably my closest ally in this game.</t>
  </si>
  <si>
    <t>S26 Cochran (7/9): Andrea, I think, is one of the few remaining independent thinkers, and that's a dangerous thing, and the time to make a big move is rapidly approaching. So if Andrea doesn't win the next Immunity Challenge and she doesn't play the idol, she might be going home.</t>
  </si>
  <si>
    <t>S26 Cochran (8/9): I haven't been able to mention Eddie's name for the past 10 days without Andrea saying, “No, Eddie is harmless. I control his vote. He’s fantastic, he’s great.” And now it all makes sense, she wants to go to the final three with him. Whether it's personal, whether it's strategic, I don't know, but the fact of the matter is, Eddie is moving up on Andrea's priority list so I'm worried that I'm going to be replaced by Eddie. I admire Andrea for having a game plan, but that plan doesn't include me. I want to be a part of everybody's plan, and if I'm not a part of your plan, Andrea, you're not going to be a part of mine.</t>
  </si>
  <si>
    <t>S26 Cochran (9/9): Once again, I have to trust Erik, the ice cream scooper, who gave up his idol and was promptly voted out, and that's scary.</t>
  </si>
  <si>
    <t>S26 Cochran (1/7): I always thought, “I'm the little, worthless, scrawny, annoying twerp who's not good at challenges. Of course, everybody is going to go to the end with me!” But now I'm kind of taking a step back and looking at myself and thinking, "Wait, can I really get to the end of this game or do I have an expiration date that's, you know, rapidly approaching?”</t>
  </si>
  <si>
    <t>S26 Cochran (2/7): Summer of 2000, I'm thirteen years old, sitting on the couch at home with my mom watching Survivor: Borneo. Over the next thirteen years, still been watching it, never missed an episode. You know, I’ve gone through my first kiss, puberty, uh, a little bit more than that and this is the culmination of thirteen years of loving this and loving this with somebody I love. And getting to share this night with somebody I love? Eh, you can't beat it.</t>
  </si>
  <si>
    <t>S26 Cochran (3/7): My dad's a neurologist, kind of a bookish guy. He's wearing sunglasses all of a sudden and he’s working the grill like an old pro. I think he’s putting kind of an act to look like a cool dude when he's anything but. I mean, he's basically me in forty years. I don't know if he's gone Hollywood or what's going on but he's flipping burgers and poking at hot dogs on a grill. Like, “Since when are we doing that, dad?!”</t>
  </si>
  <si>
    <t>S26 Cochran (4/7): At the time that Brenda made her decision to give up her reward and let the four other Survivors enjoy it, there was a sense, “Oh, my God, Brenda is fantastic. She is selfless. This is unbelievable. This is a game winning move.” That's actually what my mom whispered to me. She said, "Brenda is going to win this game." But the better and more likable and more untouchable Brenda seems, the more people are going to want to get her out ‘cause we're at that point in the game where likability is a liability and I know that better than anyone else and I think Brenda is going to be experiencing that soon if I have any say in it.</t>
  </si>
  <si>
    <t>S26 Cochran (5/7): I'm not going to be jumping out of this challenge. I want to win it but if Eddie wins immunity, it's going to be a pretty stressful day at camp.</t>
  </si>
  <si>
    <t>S26 Cochran (6/7): If I had my pick between Eddie and Brenda, personally, I'd like to have Brenda go. I think it's a great move that benefits me and actually even indirectly benefits Dawn and Sherri. But I'm thinking, “Okay, the problem with that is that everybody is so gung-ho about getting Eddie out.” I mean, it's a foregone conclusion when we got back to camp, so I thought, “This is going to be a pretty hard sell.”</t>
  </si>
  <si>
    <t>S26 Cochran (7/7): It is the perfect move ‘cause tonight is the perfect night to make it. If Brenda had one more day in this game, she could upset everything. There are only a few days left. She could go on a winning streak. She would win at the Final Tribal Council. I'm making sure that doesn't happen.</t>
  </si>
  <si>
    <t>S26 Cochran: I’ve been watching Survivor with my parents for thirteen years. I need to win this game and I’m willing to go to any length to snatch that title.</t>
  </si>
  <si>
    <t>S26 Cochran (1/10): When I looked at Erik, I saw somebody that was very dazed and looked disoriented and just kind of out of it. He was swirling his hands around his head. And I feel bad for him. I know he is a super fan like I am.</t>
  </si>
  <si>
    <t>S26 Cochran (2/10): We all get back to camp, kind of exchange a few sad pleasantries about the state of affairs, and I’m already thinking about the game. A little bit more pumped than ever that now I’m in the final four. And my first thought is, “I have to be the first person to get to Eddie.” Eddie is somebody that I haven’t really bonded with that closely but I need to get into his good graces since he’s probably the guy most likely to win the next Immunity Challenge and therefore to be in a position of power to determine who goes to the final three.</t>
  </si>
  <si>
    <t>S26 Cochran (3/10): My great challenge streak, which was temporarily on hold, has come roaring back. Uh, I stacked a house of cards better than any of my opponents and won not only, you know, the-the thrill of being another victor in another challenge, but an advantage in the upcoming Final Immunity Challenge. So I am the challenge beast. This could be a million dollar advantage. So winning the advantage was huge. Not only because it-it potentially could help me but because I kept it out of the hands of some people I don’t want to have had it. I was scared that Eddie might get the advantage. I also in particular didn't want Dawn to have it in case I decided I want her to go instead is. So it’s in the right hands, it’s in capable hands and I’ll see what happens.</t>
  </si>
  <si>
    <t>S26 Cochran (4/10): Every day, I get to see a new freakout from Dawn. There’s the over the top weeping, sobbing, flailing of arms, asked to be left alone. Unfortunately today, Dawn was leaning more towards the-the catatonic breakdown. And a lot of it had to do with the sudden influx of paranoia that she’s having that, “What if Eddie and Sherri take her out?”</t>
  </si>
  <si>
    <t>S26 Cochran (5/10): Dawn feels like she automatically deserves a fast pass to the finals. Why, exactly? I don’t know. Every day is a rollercoaster with her and it’s not fun, it’s not funny. On Day 37, she should be paranoid ‘cause I am considering ditching her.</t>
  </si>
  <si>
    <t>S26 Cochran (6/10): So we received Tree Mail today, uh, letting us know that today is the day of our Final Immunity Challenge. But in addition to that, is the famous Survivor Rites of Passage. Something that I’ve been actually really looking forward to, hoping that I’d get to see this moment in the game. Uh, it’s kind of a nostalgic moment where you get to reflect on the past 38 days and look forward to the day ahead of us.</t>
  </si>
  <si>
    <t>S26 Cochran (7/10): It couldn’t have gone any better. And I’m actually in a position of power. I mean, Sherri wants to work with me, Eddie wants to work with me, and Dawn wants to work with me. And I have my, you know, pick of the litter. So there-- there’s a little devil in my shoulder saying, “Man, I just want to get rid of Dawn.”</t>
  </si>
  <si>
    <t>S26 Cochran (8/10): I, Cochran, have won four individual challenges. So right now I’m thinking, “Okay, I got the million.” You know, the big question now is who deserves a hundred thousand dollars in second place? It’s not going to be Sherri. Sherri might be able to squeak out one vote but she’s not going to get enough to get second place. So now it’s about, do I want to bring Dawn and her constant emotional outbursts or Eddie, a chauvinistic twenty-three year-old idiot? The battle for second place is a really heated one and I can’t wait to see what happens. It’s so lonely at the top. (chuckles) It’s just horrible stuff for me to be saying when I, of course, lose.</t>
  </si>
  <si>
    <t>S26 Cochran (9/10): I have to figure out who is less of a threat in terms of me being able to bring home the million dollars and the title. I know Sherri’s gonna go to the end, and I can beat her. The bigger question mark is can I beat Eddie or can I beat Dawn? They’re both people that bring a lot of pros and cons to the table. I hope I don’t kick myself over this decision.</t>
  </si>
  <si>
    <t>S26 Cochran (10/10): The first time, uh, in 39 days I really felt frazzled is today. I have written a prize-winning paper at Harvard Law School on the Survivor jury system. There’s a big difference between writing a paper and living out the reality, and I’m grappling with that dichotomy right now. Law school hasn’t prepared me for this. You’d think it would! Sorry Harvard, you haven’t really taught me that much about how to address a jury. Um, but I’m gonna learn my lesson tonight, I think. When everything start looking good for me, I suddenly start expecting the worst and preparing myself for the worst. Am I going to be able to get on to Survivor which I’ve been dreaming of doing for half my life? No, I’m a loser, they’re never going to want somebody like me. And I get on! And I get to return as a favorite! Uh, and, you know, this endgame scenario is no different. I feel like I played a great game. I’ve gotten to the end. This is my game to lose, but all of a sudden, these doubts are plaguing my mind. I’m just kind of this awkward geek who hasn’t really done anything. I know I have done stuff and I know I can express myself, but this doubt just creeps in, or seeps in. And it’s-- it’s not healthy, especially when I have to be pleading my case and showing that I’m confident in the game I played. But when I’m not feeling confident in myself, it’s hard to do.</t>
  </si>
  <si>
    <t>S25 Denise (1/3): I'm a licensed sex therapist. So being a therapist, I'm really curious about Zane because at first you go, “God, this guy is trouble,” but then you look closer and you go, “Okay, wait a minute,” look closer at those tattoos. He's lost somebody, there's a-a death date of somebody on his arm, and he's got the serenity prayer on his hands, so part of me is kind of hoping, “This guy's got some story.” And if nothing else, I'm curious about his story.</t>
  </si>
  <si>
    <t>S25 Denise (2/3): I just had this gut instinct about Malcolm. He's young but his wise, and instantly, we just clicked. And it was like, “What are you feeling? Here's what I'm feeling.” So as long as my alliance with Malcolm holds true, I’m good.</t>
  </si>
  <si>
    <t>S25 Denise (3/3): Right now, there's this feeling that Russell has maybe found an Immunity Idol and so Zane might have a shot to stay. But, you know, nothing against Zane, but this is not the point in the game where you can have weak players. You know, God, it just sucks having to make this decision.</t>
  </si>
  <si>
    <t>S25 Denise (1/3): Apparently, Roxy sees Malcolm and Angie as this couple, as this big threat, you know, kind of, “Hey, we need to split that up.” But Malcolm and I are in an alliance. I think part of it is just a twenty-four year-old guy snuggling up to something that is really nice to snuggle up to, but now it’s like, there’s these huge targets on their back.</t>
  </si>
  <si>
    <t>S25 Denise (2/3): Roxy, she's praying for, like, sunshine from God. If it works for her, fantastic. I'm respectful, but it's just not my gig. I don't pray for anything. Anything that's going to get me to the end of the game, it's going to be me. We have another challenge coming up, and not once does my mind go to, “God, help me win this challenge.” No. Dig in, dig deep and make it happen.</t>
  </si>
  <si>
    <t>S25 Denise (3/3): At this point, Roxy and Russell are definitely aligned, and I know Malcolm and Angie are aligned. And I'm caught in the middle of all it. I can't put my finger on it, but there is something just about Roxy that I just don't trust. But at the same time, even though I've got my alliance with Malcolm, I mean, if somebody's snuggling and I'm the odd one out, I'm on the bottom. I mean, and I don't want to be on the bottom. The problem is, there's pros and cons to keeping both, but I've got to do what's best for me. And so again, I feel pretty sure about what my vote's going to be, but it's a long way to Tribal Council, and I'll have to figure it out.</t>
  </si>
  <si>
    <t>S25 Denise (1/2): There was such a focus on Malcolm and Angie, you know, as a-- as a couple at Tribal Council, but I'm still holding that trust that it’s Malcolm and I, and when the time comes, he’ll cut Ange. Because it's a numbers game, I feel much stronger having Russell because we have to win a challenge.</t>
  </si>
  <si>
    <t>S25 Denise (2/2): I think it would be a ridiculous choice to keep Angie at this point, but I don't know that I could get Malcolm to vote Angie. And then Russell, Russell couldn't climb a ladder. Maybe he needs to go home.</t>
  </si>
  <si>
    <t>S25 Denise (1/4): Oh, it’s-- you know, having three people in a tribe, you know, at Day 9? This is not what I envisioned at all. Sitting in our shelter this morning, you know, the rain's coming down and the three of us are in there and, you know, we-we joke and we're making jokes and having conversations, but then you'll get that silence and my thoughts aren't on like, “Oh, missing home yet.” My thoughts are on, “How do I stay here? Who's going home?” And, you know, in college I did have roommates and we had three, and with three there's always one that's out. You know, the minute I don't take all my stuff to Tribal Council will be the night I'm probably going home.</t>
  </si>
  <si>
    <t>S25 Denise (2/4): Went up the beach when we had a momentary break in the rain, gathered some wood and I came around the corner and I don't know why, but just… it just seemed a little shady. Russell was at the very corner of the… of our shelter and he was putting a banana leaf there and he kind of said like… I don't know, but it-it definitely kind of planted a little seed of "What are you doing?"</t>
  </si>
  <si>
    <t>S25 Denise (3/4): I've got my alliance that's with Malcolm and I hope it's strong. For me it's strong. But if Russell has the Immunity Idol, it's not good. And, you know, I don't want to have to draw rocks, I don't want to have to revote. I mean, I don't want to have to go there. So right now, we're trying to get Russell to think that he's the swing or to think that he's comfortable so that if he does have an Immunity Idol, he doesn't play it.</t>
  </si>
  <si>
    <t>S25 Denise (4/4): Yes, I'm a midwesterner. Yes, I have faith in human beings. I have to, that's what I hang on to. And if I get bamboozled tonight, you know, it's not going to shake my faith that these are two good guys. It’ll tell me that, you know, I screwed up and they played the game better than me.</t>
  </si>
  <si>
    <t>S25 Denise (1/4): We don't know what's going to happen now that we're down to two. Maybe it's going to be, like, a reshuffling of the deck. But the Immunity Idol is still here, and so we started looking all over. If it's in our camp, where would it be?</t>
  </si>
  <si>
    <t>S25 Denise (2/4): We did just find Hidden Immunity Idol. But, you know, it was frustrating ‘cause if we're absorbed into the same tribe, great. We can figure out a way to use it to our advantage. If we're split, Malcolm's got the idol in his possession, and I haven't found my own.</t>
  </si>
  <si>
    <t>S25 Denise (3/4): Just to be in a new family and in a new tribe is great. And trying to kind of blend in with my new family here, kind of figure out what my role can kind of be. Whatever I can do to prove that I have value, even if it's keeping me around for one more Tribal, then I can regroup. One more, you know, every-every step is-is an opportunity to-to regroup and turn things around.</t>
  </si>
  <si>
    <t>S25 Denise (4/4): I'm a part of a tribe that has lost again. It's just-- it's heartbreaking. So I’m-I'm worried. I haven't had 13 days to bond with these guys. I don't know if they're going to go loyalty or they're going to go logic.</t>
  </si>
  <si>
    <t>S25 Denise (1/2): I knew what it was in these envelopes and it was-- it was our letters from home.</t>
  </si>
  <si>
    <t>S25 Denise (2/2): Coming to this reward, it's motivational fuel, it's emotional fuel that makes any rice that we gave up totally worth it because now there's this different motivation to just keep going.</t>
  </si>
  <si>
    <t>S25 Denise (1/2): Coming back from the sixth Tribal Council in a row, I'm just glad I'm back, but it's like déjà vu. It's just one after the other. I’m wondering, “Am I cursed? You know, have I brought something to this tribe?”</t>
  </si>
  <si>
    <t>S25 Denise (2/2): Kalabaw, we're going to stay four strong. We need two to shift that balance and have a majority. So my plan is to stick with the alliance that I've got going with Kalabaw, but at the same time, I truly would like to go back to my original alliance with Malcolm.</t>
  </si>
  <si>
    <t>S25 Denise (1/1): On the reward, it was-- it was really a great group to have on the reward. We got to go down the river in the boat and just eat. That's who I would have wanted to have been at that reward with because they're a pretty positive group that has meshed together well. It-it just-- it was nice to be with them.</t>
  </si>
  <si>
    <t>S25 Denise (1/1): You know, right now, I've got my alliance with Malcolm and the former Kalabaw tribe, Carter and Jonathan, and the goal for tonight is definitely to get rid of one of the original Tandang members, um, break that little empire up, and-and then really continue to just turn this game. Uh, but the plan very much hinges on Skupin and Lisa. If we can't get the numbers, Jonathan is going home.</t>
  </si>
  <si>
    <t>S25 Denise (1/2): So we were having a pretty quiet day. Pretty relaxing and then Abi came back from the reward and was like, “Ugh!”</t>
  </si>
  <si>
    <t>S25 Denise (2/2): You have lost your freaking mind, girl. Part of me just thinks, “That's fine, just let it piss everybody else off.” You know what? Your time will come. And I may not get to tell her anything until I'm writing her name down and it's that Tribal Council where she's finally walking out and I get to say, “You know what? Whiners are wieners. You need to go home.”</t>
  </si>
  <si>
    <t>S25 Denise (1/2): Abi was sitting by the fire with Michael and as we're overhearing it, it's just more of the same. She just continues the reign of negative, grumpy Abi.</t>
  </si>
  <si>
    <t>S25 Denise (2/2): Between Michael, and Malcolm, and Lisa, and I, we have our solid four. Abi is the one going next, unless she miraculously wins immunity, which I doubt. I highly doubt it. But if she does somehow have immunity, Jonathan's made it this far. He's a great player. Our next bet would probably be we'd vote out Jonathan.</t>
  </si>
  <si>
    <t>S25 Denise (1/1): It is not a cultural thing. It's-it’s her personality. And there wasn't a single one of us sitting there that didn't go, "And now you've just given us the very reason we need to vote you out," because it's this histrionic, dramatic, passive-aggressive martyr. It's not culture, it's just-- it’s the culture of Abi.</t>
  </si>
  <si>
    <t>S25 Denise (1/5): It's going to be a painful afternoon. It's like the first date with the kid who, like, pulled your hair all time in kindergarten, or, like, spit in your lunch, and then suddenly, you're on a date. And it's like, “Wow… okay.” So I'm just going to make nice.</t>
  </si>
  <si>
    <t>S25 Denise (2/5): It-- it's like, I just want to get to the end of the day, and so I'm going to let her strategize. I'm going to let her talk about how she's a swing vote.</t>
  </si>
  <si>
    <t>S25 Denise (3/5): She keeps talking about having a Hidden Immunity Idol. None of us believes she has one, not even for-for a minute. But it's just trying to get through the afternoon and-and make it as tolerable as it can be. I wanna hang myself, gouge my eyes out. If I could have, like, needles that could just (gestures stabbing motion) right into my eardrums, I’d be good for the afternoon.</t>
  </si>
  <si>
    <t>S25 Denise (4/5): This morning I got up and as soon as I moved, it just-- there's sharp incredible stinging. Um, it was like my neck, my whole neck was on fire (points to left side of neck) right here. Like, this hurts to just even lift my arm or to move my neck. So I don't know if I'm having an allergic reaction to something that bit me. I've got, like, fang marks somewhere in my neck here, so clearly it wasn't a mosquito. (holds back tears) I'm trying to tell myself to suck it up ‘cause you have three days left. Like, seriously. If it's just an allergic reaction that’ll pass, then we're good, but I just don't know what it is. I don't know if it was a spider. It could have been a little lizard. There are tarantulas out here. We've seen scorpions. We've seen a snake, you know, going up the tree. You forget that, you know, there's stuff everywhere out here. So I'm just hoping it-it passes. It's-it’s not gonna kill me, but it's really, really painful right now.</t>
  </si>
  <si>
    <t>S25 Denise (5/5): Knowing that Malcolm won and it wasn't Abi, was a huge relief. Tonight is a slam dunk. There’s no other name that I'll be writing down other than Abi's, and the torture of dealing with her will be done.</t>
  </si>
  <si>
    <t>S25 Denise: I am one stubborn, determined woman. The taste of blood is in the water. I'm going to make it happen.</t>
  </si>
  <si>
    <t>S25 Denise (1/5): Oh, we have a challenge today which we-we weren't expecting. My fear is I will be the next one to go. We've had this solid four, but four can't go to three so I am desperate to win it because one of us is going to get the short end of the stick, and I definitely don't want it to be me.</t>
  </si>
  <si>
    <t>S25 Denise (2/5): I tried to approach Malcolm about going to the final three together, and he's just very hesitant to make any kind of commitment, and so for me, knowing that he had planned so hard to make sure we had a six, and had planned so hard to make sure we had a four, makes me very leery about his thoughts on keeping me in that final three. So, this is kind of scramble time and I need to figure out a plan and figure it out fast.</t>
  </si>
  <si>
    <t>S25 Denise (3/5): I am so mad. Malcolm and I could have stayed together and split the vote, have it be a tie, but now that's not going to happen. So my head is clearly on the block tonight. The problem is Skupin is kind of the dreamer guy. His mind is going a thousand different places and he may not always see the repercussion of what happens if you take the best of the best of the best to the end. So I have to figure out a way to convince him that it's worth it to take me with them. I'm one stubborn, determined woman. And if I can make it happen, I'm gonna make it happen.</t>
  </si>
  <si>
    <t>S25 Denise (4/5): I feel badly that Malcolm was really upset, but at the same time, this is that part of the game when I can say, “You know, Malcolm, you were a great ally. Um, you played a great game, but this is the part where I outwit you. This is the part where I went one step past you and you can be angry, but that's the game.”</t>
  </si>
  <si>
    <t>S25 Denise (5/5): It was great to hike up to the cliff this morning, you know, to have the three of us, and just to sit up here and have a different perspective. Here I am, this little old sex therapist from Cedar Rapids, Iowa, that everybody thinks is probably going to ride on coattails, who actually has played some strategy. And I feel like I'm thriving out here.</t>
  </si>
  <si>
    <t>S24 Kim (1/2): I didn't plan to form an alliance right off the bat. I was just going to lay low but I think when the guys started stealing off the truck, that was a huge rivalry right off the bat. And when the guys did that, the girls were like, “Women power!” (laughs) Which I'm not a big fan of but I'm going with it. So…</t>
  </si>
  <si>
    <t>S24 Kim (2/2): The guys with the, uh, not wanting to finish the challenge, you know, I get it. Like, in hindsight, I can look back and kind of see maybe what they were thinking. But I'm from Texas. Men are chivalrous, grew up watching westerns. It's just, like, no guy I know would have made that choice.</t>
  </si>
  <si>
    <t>S24 Kim (1/2): I was thankful last night that we stuck to our guns a little bit after Tribal and-and didn't run over and jumped in the men's shelter. But going over there this morning, I have no shame. (laughs) Like, I've never been so miserable. I couldn't get my tail over there to that fire fast enough. But I hope this is a temporary pit stop at the men's camp. I don't think any of the girls want to stand over there. It's uncomfortable mooching off of them. I mean, they're all like, “Excuse me. Move, move.”</t>
  </si>
  <si>
    <t>S24 Kim (2/2): Things are starting to feel different. I actually feel like people get that they're here. I felt like before everybody was just like, “Where am I? (chuckles) What am I doing?”</t>
  </si>
  <si>
    <t>S24 Kim (1/2): I think Jonas is a real rude dude. I mean, he made the offer with the net and then kept saying, “I mean, I don't care. I don't care. I don't care,” but obviously he cares a lot.</t>
  </si>
  <si>
    <t>S24 Kim (2/2): For sure I thought Christina was the locked-in vote to go. So the mood is weird now. Sabrina is trying to shake things up and that makes me a little nervous. I don't know. It's gonna be an interesting afternoon.</t>
  </si>
  <si>
    <t>S24 Kim (1/4): This has been my thing all along. I'm trying to keep my options open so if sticking with the girls works best for me in the long run, I'll stick with the girls. And if we get to the merge and we don't have the numbers, Troy and Jay are my alliance all the way. I can't get over how this could not have gone any better for me and how much fun I'm having doing this. I thought it was going to be really hard and it was going to be a grind, and I know it’ll have its moments, but this is not one of ‘em. This is a good time.</t>
  </si>
  <si>
    <t>S24 Kim (2/4): Sabrina finds the Immunity Idol but it's not for our tribe. It’s-- she gets to play it for one of the guys. Nobody really had the girls' idol and something snapped for me and I thought, “I'm literally gonna get up and go find this right now. It's out here somewhere.” I walked all around the guy's side, looked at every tree, nothing, nothing, nothing. I was getting really discouraged and said, “Lord, please!” (chuckles)</t>
  </si>
  <si>
    <t>S24 Kim (3/4): I just found the Immunity Idol. It's really, really good. It feels amazing. It was honestly shocking ‘cause I've looked so hard. So I had to literally reach in there and feel it. Maybe one of the best feelings I’ve had since I got here.</t>
  </si>
  <si>
    <t>S24 Kim (4/4): As soon as I found the idol, I've kind of been thinking all along I might just keep it to myself, but as I was trying to grab it and get it I thought, you know, “There's no one I trust in this game more than Chelsea. If I'm gonna do this with anyone, it’s gonna be with her,” so I decided to let her in on it.</t>
  </si>
  <si>
    <t>S24 Kim (1/2): So we come walking up the beach, we see the ice cream parlor, and honestly, I just… (chuckles) it’s unbelie-- it feels so surreal. Like, it’s so exciting to eat something besides rice and coconut. It's awesome.</t>
  </si>
  <si>
    <t>S24 Kim (2/2): There's a lot of speculation. Our tribe likes to run on and and, like, develop these fantasy themes about what all's going to happen. I have no idea. And I guess I’m just gonna go and take my idol in my back pocket just in case.</t>
  </si>
  <si>
    <t>S24 Kim (1/1): For tonight's vote we want to vote Jonas out since he's the biggest threat and we want to keep Christina and Alicia around just in case we wind up needing a girl's alliance. To get a guy out and particularly one of the new Manono tribe members, it leaves the girls in the majority, it leaves my old Salani tribe in the majority, and gives me two really great options moving forward.</t>
  </si>
  <si>
    <t>S24 Kim (1/6): The food is huge. I mean, I never dreamt I would feel so weak, so just to be able to think through my options and sit up and, like, have my mind work, feels awesome.</t>
  </si>
  <si>
    <t>S24 Kim (2/6): I was trying to think through my options, and I thought what makes sense is to take out Mike. The girls are already in the majority, so if we can get a united front and come together, we could start sending these guys home. I'm gonna have to be careful, but if all six girls vote together and just go for it, we can change the whole game.</t>
  </si>
  <si>
    <t>S24 Kim (3/6): Troyzan and I went this morning in the rain to get Tree Mail and I told him this whole story about, “Hey, yesterday, Mike was kind of throwing your name out there. I think we need to take Mike out first and then we'll take out the the girls.”</t>
  </si>
  <si>
    <t>S24 Kim (4/6): Right now, I'm straddling two alliances. I have an all-women’s alliance and I have my Salani alliance with Troy, Jay, and Mike. But now I feel like it's time for the girls to take over this game. I know that Chelsea and the girls will be on board with that, and Troy he's blinded by his dislike of Mike. So I'm using Troy to send Mike home tonight. My concern is if Jay finds out what's really going on because if Jay gets suspicious and gets to Troy and Troy gets nervous, that could be trouble because I still have to keep my options open, and who knows? I may need those guys for another vote or two.</t>
  </si>
  <si>
    <t>S24 Kim (5/6): Apparently, Chelsea literally sat there in the shelter in front of the two girls that are not supposed to be a part of our alliance and asked Jay to vote for Mike. That's asinine. We need to keep Troy and Jay thinking it's Salani to the end and now it's kind of become a huge mess. So I'm not exactly sure how this is about to go down.</t>
  </si>
  <si>
    <t>S24 Kim (6/6): I'm torn over what to do because it's a huge move to take out the guys in our alliance, and, unfortunately, Jay freaked out. So are we gonna, like, cause a major uproar, go with the women's alliance, and vote off Mike? Or do we vote off Christina, keep Salani together? So we're gonna have to make a choice and go with it. But whatever happens, is gonna change the whole game.</t>
  </si>
  <si>
    <t>S24 Kim (1/5): It's definitely a win-win to have another guy gone and know the women are in the majority and, you know, Mike's gone. So my hope all along has been that everybody will think I'm just kind of calm, and soft spoken, and maybe a little forgettable, and not calling the shots. But I do think, at the end of the game, if I can sit there with the three, I do think the people on the jury will know that I was making most of these decisions.</t>
  </si>
  <si>
    <t>S24 Kim (2/5): Jay told us all that he thought Alicia should go home tonight and we all just nodded and agreed and said yes, but that's definitely not happening. I'm ready to draw the line. Like, it's been muddy for long enough and I feel like it's time for the guys to know where the women stand.</t>
  </si>
  <si>
    <t>S24 Kim (3/5): Today's Immunity Challenge could not have gone better for me. It was awesome. I got to eat cupcakes and have milk and not put myself out there as a huge threat, which I was kind of starting to feel a little nervous about. Like, I'm glad for Chelsea to take that role today.</t>
  </si>
  <si>
    <t>S24 Kim (4/5): The split vote plan, always risky, makes me nervous. I'd sure rather know that everyone's voting for Troy, but there's always that chance that Troy’s gonna pull out an Immunity Idol. He's a very strategic player. I feel like he’s thinking a lot and he's going to do absolutely everything he can to stay in this game and he still has some options today. I feel like people like Christina, and Tarzan, and Leif are just kind of hanging on at this point, riding this thing out so Christina, Alicia, and Tarzan will vote for Jay… and Leif, myself, Chelsea, Sabrina and Kat will vote for Troy.</t>
  </si>
  <si>
    <t>S24 Kim (5/5): Jay just put the fear of God in me. Troy does have an idol. He's planning to play it and he’s planning to send me home and I don't have time before Tribal Council comes to get to everyone. So hopefully, we have enough people on board that do enough of the right thing that the right person will go home tonight.</t>
  </si>
  <si>
    <t>S24 Kim (1/1): It sucks that he has the advantage in the Immunity Challenge. It's about as big of a disaster as could have happened at the auction today. That would be the absolute worst is if he goes and wins immunity and then also has an Immunity Idol on top of that. It means disaster. He's going to be like, you know, (chuckles) scary. Who knows what he can pull off? He's a really smart guy. So hopefully, we can get rid of him before he does something too crazy that sends me home.</t>
  </si>
  <si>
    <t>S24 Kim (1/6): Tribal was really interesting tonight. Troy threw my name out, definitely throws me a curveball in this game, like, I was not planning on being a target so early on. I kind of feel like tonight sealed the deal a little bit with the women's alliance. I think that everybody feels kind of married to our alliance, and locked in, so I'm just trying to stay calm and keep everybody happy and hopefully get rid of Troy by the next Tribal Council.</t>
  </si>
  <si>
    <t>S24 Kim (2/6): The reward was awesome, but I can't decide if I'm enjoying it or not. (laughs)</t>
  </si>
  <si>
    <t>S24 Kim (3/6): The food was incredible and I'm trying to block camp out, but it's really hard. Mostly, ‘cause I'm scared right now with what just happened with that Reward Challenge.</t>
  </si>
  <si>
    <t>S24 Kim (4/6): You know, I think my choice to not choose Kat today was the first decision that I have made that was not strategic, and I think I'm paying for it now.</t>
  </si>
  <si>
    <t>S24 Kim (5/6): I have no experience with catching pigs, but the pig coming into camp is awesome for me right now. It breaks tension and I can already feel, like, walls coming down. That pig is cute. I'm sorry, I'm not killing that pig. We could definitely keep it as a pet.</t>
  </si>
  <si>
    <t>S24 Kim (6/6): The plan is tonight to give Troy five votes and Christina two. I think splitting votes is always hard because you don't know who is with you and you don’t know who’s not. So you’ve got five people voting for Troy. If two of them flip, all of a sudden, Troy's back (chuckles) in tonight. I won't believe Troyzan is going home until the moment he stands in front of Jeff and Jeff snuffs his torch. I just-- he's, like, full of craziness and surprises. I mean, he's just playing so hard. Who knows what's about to happen?</t>
  </si>
  <si>
    <t>S24 Kim (1/7): It's really good that Troy is gone. I, like, physically feel relieved. Like, I feel, like… you know when you have a pit in your stomach and then it goes away? That's how I feel now that Troy is gone.</t>
  </si>
  <si>
    <t>S24 Kim (2/7): I felt like that was a really selfish decision for Kat not to take Tarzan and Christina. I don't know how angry they're gonna be but I'm gonna have to do major damage control back at camp.</t>
  </si>
  <si>
    <t>S24 Kim (3/7): With 8 days left in this game, final three talk is happening all over the place. I feel like this may be my best option to go with Kat and Alicia who I feel, like, I can beat. They want to vote off Sabrina, but I've had an alliance with Sabrina since the beginning so I would be voting out someone that was previously in a top three with. But at the end of the day, if I don't think I can win against Sabrina, that would be stupid to take her to the final three with me.</t>
  </si>
  <si>
    <t>S24 Kim (4/7): I'm thinking it's immunity today and we’ve decided Sabrina’s going home for sure. I do think she has a good shot of getting a lot of jury votes just because she's pretty persuasive. So it's so important who wins because we have a plan and if somebody wins immunity that was supposed to go home, it's gonna be chaos. I think at some point in this game, I kind of started to think like, “Well, maybe it's not smart if I win immunity, but I just don't know if I'll ever feel safe,” so I've just decided at this point, if I can take every immunity from here on out, I will.</t>
  </si>
  <si>
    <t>S24 Kim (5/7): Alicia came up to me and she said, "I don't know how we got into this position but Kat has to go immediately." And I was totally shocked.</t>
  </si>
  <si>
    <t>S24 Kim (6/7): I do think Kat has a good shot at getting a lot of jury votes just because she hasn't pissed a lot of people off. But I think Sabrina's a bigger threat. She's smart enough to sway the jury and totally screw me over in the end. I would rather see Sabrina go first before we take Kat out. So Kat's going to vote Sabrina, and I think Tarzan would be willing to get rid of Sabrina. So it kind of feels like Chelsea and I are the swing votes.</t>
  </si>
  <si>
    <t>S24 Kim (7/7): I still have some choices for sure tonight, but Chelsea and I have had an alliance with Sabrina since Day 1, and Kat, I think she looks at me like a big sister so this is not a fun vote tonight. To me this is a game-changing decision. I'm about to make a choice and it's going to be a blindside either way, but this is a game and there's no way to keep everybody happy at this point in the game. It's just gonna go to hell from here on out.</t>
  </si>
  <si>
    <t>S24 Kim (1/7): When we got back from Tribal tonight, Tarzan pulled me aside and just wanted to tell me what he thought the best plan for me was, which was to get rid of Chelsea, Sabrina and that I go to the final three with Christina and Alicia, which as crazy as Tarzan is, it’s what I know to be true. But if I have to send Chelsea home, that will be my worst night here.</t>
  </si>
  <si>
    <t>S24 Kim (2/7): When Chelsea and Christina went to Tree Mail this morning, they walked back up, Christina came into the tent and immediately told Tarzan, Alicia, and myself everything that Chelsea said on their walk. My first question that I wanted answered was, “Did Chelsea blow my cover?” because I have been playing both sides. Alicia, Tarzan, and Christina all think that I make a foursome for them, and then Chelsea and Sabrina think I am their third.</t>
  </si>
  <si>
    <t>S24 Kim (3/7): Setting yourself up in a position to play both sides is brilliant but it's also one of the scarier places to sit in this game because it just takes one conversation between two people on opposite sides for them to kind of put it all together and then you're the first person gone ‘cause nobody trusts you anymore.</t>
  </si>
  <si>
    <t>S24 Kim (4/7): You kind of start to feel like an animal out here, it could get real savage, and so to just go and be waited on and to feel so pampered, I started to remember who I was, and what I'm about, and what I'm doing here. I feel like my head is so much clearer today than it was yesterday so the reward was huge for me.</t>
  </si>
  <si>
    <t>S24 Kim (5/7): The reward, I think it cleared the line for me a little bit. I feel better about the option of going with Chelsea and Sabrina. I’m just trying to figure out any way possible that we can somehow win this next vote with three votes.</t>
  </si>
  <si>
    <t>S24 Kim (6/7): I think the only reason Alicia would be willing to give up Tarzan, who has appeared to be one of her minions, is that she's convinced that he’s not a minion after all. That he's the mastermind who’s trying to take out her mastermind and that she was going to look like a fool.</t>
  </si>
  <si>
    <t>S24 Kim (7/7): If Alicia doesn't vote out Tarzan, I will probably vote with Christina, Alicia, and Tarzan to take Chelsea out. I feel like my struggling at this point to keep Chelsea in this game and to use an idol, that takes me to the final four no matter what, seems like a really unwise decision to put everything I have on the line for Chelsea and Sabrina with six people left in this game when I know for a fact that I could sit at the final four.</t>
  </si>
  <si>
    <t>S24 Kim: I've been in the driver's seat this whole time but I feel like this game is, like, closing in on me, and I feel like if I can run just fast enough in the perfect direction, I might make it out of this tunnel before it all crashes down on my head.</t>
  </si>
  <si>
    <t>S24 Kim (1/8): It's a good moment coming back to camp tonight after Tribal to, like, walk into camp and reflect on how far we've come as women, like, from Day 1, being miserable with a crappy little shelter, no fire. And to walk in with good friends and have a decent shelter to sleep in tonight. But tomorrow I'm going to wake up and I'm going to play as hard as I can, and that's how I plan to finish the game.</t>
  </si>
  <si>
    <t>S24 Kim (2/8): Winning the Immunity Idol today, huge, but also feels funny. I have so many options and things running around in my head that I feel like my head is about to explode. At this point in the game, every person I send to the jury is either a vote for me or against me, I have to start running numbers, like, it's huge. Every person you send home could make the difference.</t>
  </si>
  <si>
    <t>S24 Kim (3/8): I feel like the two big options that I’m considering tonight, um, one would be to stick with Chelsea and vote for Alicia. Christina is sort of a no-brainer to take to the end. My other option would be to vote Chelsea out tonight.</t>
  </si>
  <si>
    <t>S24 Kim (4/8): At the time, it seemed like such a smart thing to tell Chelsea that I had the idol. I can honestly say, sitting here today, I wish she didn't know because now that I’m sitting here with immunity, she's expecting me to play the idol for her no matter what. It’s like, I just have to be so careful about how I play tonight. I feel like I have all these, like, weapons in my belt and I want to play the right ones, and not just, like, get them all out and play all of them for the hell of it.</t>
  </si>
  <si>
    <t>S24 Kim (5/8): Everybody knows where everyone else stands because of me. I mean, I've told Sabrina and Chelsea what the other side is doing, and I’ve told Alicia and Christina what they're doing, and I really could go either way at this point.</t>
  </si>
  <si>
    <t>S24 Kim (6/8): I won the Immunity Challenge today. It was awesome. That was the one I've been wanting, you know? I mean, you have to take it challenge by challenge, but to know, like, to go tonight knowing that it's not me, it feels awesome.</t>
  </si>
  <si>
    <t>S24 Kim (7/8): The interesting thing about Christina's response is that she literally didn't fight for it. I feel like I did make my decision to go with Chelsea and Sabrina, but I think I'm starting to second guess myself. Like, up until this point there was less at stake, you know what I mean? It’s like, there were more chances to go home. And, I mean, the decision is going to change who I sit there at the end with. I think if I do take Christina, then I really don't think she could get one vote. And I do think Sabrina will receive quite a few more votes than Christina would. So I'm going to try to just make what I think is the best decision for myself in this game.</t>
  </si>
  <si>
    <t>S24 Kim (8/8): This year has been kind of a tough year for me. I just recently got divorced and, you know, coming out of a really tough marriage, um, after almost four years, you look back and you’re like, “Man, I got married to this person, and, wow, it really doesn't work.” It sort of shakes something in you. So coming out here, and having to make decisions quickly day in and day out, and have them work and-and get to sit here at the end and say, “Wow, these decisions worked out and went really well,” I have definitely gained some of my confidence back, and trusting myself, trusting my discernment, my intuition, and there hasn't been a wrong turn. I'm excited to-to take this and take it back to my real life.</t>
  </si>
  <si>
    <t>S23 Sophie (1/2): I'm a Russian Economics major. Coach, Здравствуйте, which means, like, a pretty formal way to say hello. You know, he's ready to show off what he has. But at the same time, like, you can't deny what the situation is, that Coach has been out here twice before. He knows some things.</t>
  </si>
  <si>
    <t>S23 Sophie (2/2): I think I have a really great advantage right now because I have a strong alliance where I really think, at least a couple of people there, are really, really sincere. Uh, Brandon, I'm a little more worried about only because I have this gut feeling-- I feel like he's hiding something.</t>
  </si>
  <si>
    <t>S23 Sophie (1/1): For some reason or other, Brandon wants to vote out Mikayla. I don't know what his deal is. Maybe Brandon is threatened by Mikayla 'cause she's a strong woman and if that's the case, it worries me because I think that I'm quite strong as well.</t>
  </si>
  <si>
    <t>S23 Sophie (1/1): God, oh, my God! I was in so much shock. We all didn't say anything after that. He's a loose cannon and there's a lot of tension between Brandon and Mikayla. In his biblical terms, he'd probably call her like, “The Whore of Babylon.” I think Brandon right now, is just really torn between following whatever crazy religious beliefs he has, and yet at the same time, he, like, inherently in his bloodline, is a devious jerk.</t>
  </si>
  <si>
    <t>S23 Sophie (1/1): I thought I had a five strong plus, you know, Edna alliance going. And it seems like we're going to have to do some reshuffling only because our alliance is based on trust, and just because you're in it doesn't mean we're, you know, we're always going to trust you. We'll trust you until you do something wrong and right now it looks more and more like Brandon is just a small, small, you know, Russell Hantz.</t>
  </si>
  <si>
    <t>S23 Sophie (1/2): At the duel, Christine was really pissed off, so I think no matter what she said if she comes back into the game, she's never going to be with us. She has no allegiance to us. I think Christine would be the worst person to come back from Redemption Island.</t>
  </si>
  <si>
    <t>S23 Sophie (2/2): Brandon actually wants Edna to leave. He likes Mikayla better now. He's changed his mind. She's no longer, like, you know, the whore of the tribe, whatever it was before, and now she's fantastic. But he's still going to vote her out. I don't get it. He is nuts, absolutely nuts.</t>
  </si>
  <si>
    <t>S23 Sophie (1/1): You know, this whole prayer thing, for me, it doesn't weigh as heavily on my mind because I'm not the one speaking the prayer. I find Coach to be a little more questionable when he actually is the one saying, you know, "Dear God, help us find the idol," when he knows he has the idol in his pocket. I-- it gives me a little bit of an icky feeling.</t>
  </si>
  <si>
    <t>S23 Sophie (1/1): You can never count on someone flipping over. Um, you can never know for sure. That said, I think I feel as confident about Cochran flipping over, because Cochran thinks that if he switches and comes back to camp he's gonna get beat up, which is a legitimate thing for a dodgeball target to be afraid of.</t>
  </si>
  <si>
    <t>S23 Sophie (1/1): Albert, he's getting nervous. He's thinking a lot right now about switching up the game and I think those are important things to think about, um, in general Survivor strategy, but I'd like to stay pretty rigid with the plan. So I'd rather get rid of Jim.</t>
  </si>
  <si>
    <t>S23 Sophie (1/2): Albert is showing his true colors more and more, which maybe are similar to my true colors that I'm strategic and I wanna win the game. And this is our one shot to make the big move because you have two, three votes hanging around.</t>
  </si>
  <si>
    <t>S23 Sophie (2/2): Albert is trying to take control of this game and I'm the swing vote. So now I'm debating whether to stick with Coach or go with Albert's crazy plan. In the end of the day, it's a question of what will take me to the end.</t>
  </si>
  <si>
    <t>S23 Sophie (1/2): I always felt his personality, is something Cochran has going for him out here. I mean, when I first came here, I felt kind of bad for Cochran. It seemed like people bullied him but I can see now why people got annoyed with him. You know, I get frustrated by the kind of air he puts on. I think he's really proud of the move he made and I think he still thinks that somebody will take him to the end. I don't like it.</t>
  </si>
  <si>
    <t>S23 Sophie (2/2): Cochran said, "I know a lot of you feel indebted to me." I don't feel indebted to you, you know, screw you. He made an awful move. He should have stuck with his tribe.</t>
  </si>
  <si>
    <t>S23 Sophie (1/2): Every day, uh, the people in this tribe surprise me with the things they do. And every day, I'm recalculating who I think the jury's going to hate, who I think the jury's going to love. And Brandon opened his mouth. He was really rude to Edna. There was no reason to tell her, "We're all trying to get you out." That's just-- I mean, that's a bullying thing to do.</t>
  </si>
  <si>
    <t>S23 Sophie (2/2): I-- Brandon, I think, often thinks his apology absolves all sins, and maybe that's true in church, but on Survivor, uh, people are not as forgiving as, you know, Jesus Christ is. And Edna is not as forgiving and the rest of the tribe, um... It didn't go unnoticed with us.</t>
  </si>
  <si>
    <t>S23 Sophie (1/3): I think Coach and I are really on the same page. We both recognize that Brandon has done things in the past but I think you've seen a change in Brandon since the merge. Superficially at least, he is the most loyal, the most trustworthy, the most godly man out here and that's not somebody I would want to go to the final three with.</t>
  </si>
  <si>
    <t>S23 Sophie (2/3): Today, worst-case scenario happened. Brandon won immunity. We were hoping to get Brandon out tonight so I feel like the way to go right now is Albert. Coach and I both agree that Albert has just been getting on our nerves more and more and more since the merge. He's been sneaky. He thinks he's more strategic than everyone else. Everything he does is the smartest, most strategic decision possible and more and more, I'm feeling like Albert should go home tonight.</t>
  </si>
  <si>
    <t>S23 Sophie (3/3): It's so gratifying seeing everything with Albert being exposed because now, instead of a nice little blindside, he gets to go out looking even more pathetic than he's looked this whole game. It's like he's in the toilet bowl, and Brandon and Coach and I and Rick, we all get to have a little chance at flushing him down. Um, he keeps kind of scrambling back up, but I think Jeff will put the final (chuckles) flush tonight.</t>
  </si>
  <si>
    <t>S23 Sophie: I mean, I'm the brains behind the operation.</t>
  </si>
  <si>
    <t>S23 Sophie (1/6): Tribal was crazy, but it was fantastic. Brandon made one of the stupidest moves ever to be made and gave his necklace away. And I think the great thing is that Albert not giving back the necklace seemed like a really cowardly move in front of the jury.</t>
  </si>
  <si>
    <t>S23 Sophie (2/6): Watching the guys in the duel, Brandon was going like a maniac. I guess the terrifying thing was Ozzy was still able to beat him. And if Ozzy keeps winning immunity, there's really only so much I can do.</t>
  </si>
  <si>
    <t>S23 Sophie (3/6): Everything was riding on this challenge. Beating Ozzy was crucial. Ozzy had to be out of this game. And I think beyond that, being the one to beat Ozzy, must be something I can hang my hat on come Final Tribal.</t>
  </si>
  <si>
    <t>S23 Sophie (4/6): Nobody can be as confident as I am right now. I have the necklace around my neck, but tonight is not a lock for Albert and Coach. There could be a 2-2 tie tonight. I think that Albert will definitely vote for Ozzy. I'll definitely vote for Ozzy. But Coach's relationship with Ozzy has been a bit behind closed doors. He had long conversations with him at Redemption, at the merge, this morning. Coach could be playing a game that Albert and I don't know about. I hope that's not the case because I do think that I have very little shot of-- for the million against Ozzy.</t>
  </si>
  <si>
    <t>S23 Sophie (5/6): We woke up and we go to Tree Mail, and there's just more food than I've eaten this whole entire time and I-I couldn't help myself. I was hopping up and down like a bunny. After 39 days of deprivation, having this one day where we suddenly get everything, it's amazing. I think we're all really proud of ourselves today. I think we really are, realizing that, you know, we did it. Nobody can vote us out.</t>
  </si>
  <si>
    <t>S23 Sophie (6/6): I talked to Coach a bit about how to handle Albert. I'd like Albert, to live up in Tribal Council, to being a bit squirrelly, a bit wormy. I thought today more and more about my emotional breakdown at Tribal. I want to keep my composure tonight. The last thing I want to do is seem like this complete, you know, nut job, you know, crazy emotional crying, because I think that's somebody who doesn't deserve to go to the end. So I'm going to try to go in, um, perhaps a bit more logically than emotionally.</t>
  </si>
  <si>
    <t>S22 Rob (1/1): Originally, I wanted to vote Francesca off because the very first time I met her, she stood up on the mat, looked at Jeff, and said, "I don't want to play with him because he's too sneaky." She knows my game so I don't want someone like that on my tribe. But after thinking about it some more, the second we landed on our beach, Kristina was the one looking through all the supplies, looking for the Hidden Immunity Idol. She's dangerous. She knows strategy. She knows to get out there and work for it. To me, I don't need someone like that with me.</t>
  </si>
  <si>
    <t>S22 Rob (1/12): I know for a fact that Kristina and Phillip were lying but it doesn't take a genius F.B.I. man to figure that out. All you had to do was look at their faces and watch their lips moving.</t>
  </si>
  <si>
    <t>S22 Rob (2/12): This guy Phillip, F.B.I., whatever Special Agent, he is a piece of work. He told me that I own his vote for the rest of the time he's here until he goes to Redemption Island. I don't know if he's delusional. I think he's a good-hearted guy. I do. Just might not all be there. Let it be a lesson to you... government jobs, stressful.</t>
  </si>
  <si>
    <t>S22 Rob (3/12): With the exception of Phillip's little twist where he decided to out Francesca, things went pretty much according to plan. It seems as if this group of players knows how to follow directions. Phillip did it to himself. He's an idiot.</t>
  </si>
  <si>
    <t>S22 Rob (4/12): Matt's trying to play the good guy, but Andrea knows what she wants, and if she can have her little puppy dog along for the ride, she's going to walk him. She's going to walk him all over this island. And for me, that's not good because I know how strong a pair can be in this game... like Amber and I. But now I'm thinking about who I'm going to sit next to at the end.</t>
  </si>
  <si>
    <t>S22 Rob (5/12): I think Natalie's a perfect partner at this point, but it's going to be hard, though. It's like, literally, picking the girl up, putting her on my back, and I'm going to drag your ass to the end, and hopefully they're going to give it to me at the end.</t>
  </si>
  <si>
    <t>S22 Rob (6/12): Matt's shaking the opposition's hand after we lost the challenge, it's despicable. But when we just got our asses kicked, not once, but twice, back to back, I'm not going over to the other team and giving them hugs and kisses.</t>
  </si>
  <si>
    <t>S22 Rob (7/12): So we get back from the challenge, and once again, we have to endure the pre- Tribal Council before Tribal Council.</t>
  </si>
  <si>
    <t>S22 Rob (8/12): Phillip blew the challenge, plain and simple. But look here, when we just got our asses kicked twice, and Matt goes to congratulate the other team, Matt's trying to play the good Christian game and the social game and the end game on Day friggin' 5. Wake up, brother.</t>
  </si>
  <si>
    <t>S22 Rob (9/12): The first game plan was to vote out Phillip or Andrea. Well, Matt's getting four votes. I didn't want to play Survivor like this. I really didn't. I wanted to keep my team strong. I mean, I get it, Matt's playing Survivor. He's playing textbook. But he's playing with me.</t>
  </si>
  <si>
    <t>S22 Rob (10/12): As far as Matt and Andrea are concerned we're going to split votes 3-3. The girls are all voting for Kristine. The guys are all voting for Phillip. But in all actuality, none of that is happening. Myself, Ashley, Natalie, and Grant, we're all voting for Matt. And Kristine with this idol, she better play that thing. If she plays the idol then we can break up Andrea and Matt, it's a home run.</t>
  </si>
  <si>
    <t>S22 Rob (11/12): Phillip's a tough cookie. I literally have to wait until one minute before we go to Tribal Council. I may actually even have to tell him at Tribal Council who to vote for because Phillip likes to talk a lot. He's liable to run around and tell everybody in the group everything we're doing.</t>
  </si>
  <si>
    <t>S22 Rob (12/12): This will be a good test to see if Phillip does what he says he's going to do. And if he does, he can start to earn his way back into the rotation. If I get there tonight, and Phillip starts telling everybody what I told him, Phillip will be sent packing.</t>
  </si>
  <si>
    <t>S22 Rob (1/8): Tonight could not have gone any better. Not only do we blindside Matt. We were able to have Kristina get rid of her Immunity Idol, and Phillip was a loyal soldier.</t>
  </si>
  <si>
    <t>S22 Rob (2/8): Tonight I'm sitting in a good spot in this tribe, but tomorrow morning when I get up, I need to get Andrea feeling okay about everything because she's smart enough to know that we double crossed her, and she will definitely hold that resentment.</t>
  </si>
  <si>
    <t>S22 Rob (3/8): We had to send two people to what we think is Redemption Island. We've got Andrea and Ashley both going over there. What I don't want is Andrea getting smart and talking to Matt, her island boyfriend. I just don't want her getting any ideas.</t>
  </si>
  <si>
    <t>S22 Rob (4/8): Redemption Island is real. I mean, there's a chance Matt could run the gamut over there and come back into this game. Andrea will go back to Matt before she'll stay with me. I know that. So I've got my work cut out for me with Andrea.</t>
  </si>
  <si>
    <t>S22 Rob (5/8): We won today's Immunity and Reward Challenge, and normally, that would put me through the roof happy. But now we have these little things called Hidden Immunity Idols. Now I know enough that there's probably a clue to that Hidden Immunity Idol somewhere hidden within our reward, and it was almost as if there was no time to celebrate because everybody's looking for where the clue could be. The game is always on. In the past, I ignored the Hidden Immunity Idol. Well, that didn't turn out too good for me. So this time around I decided maybe I can learn something, too. So I'm starting to look for 'em, and I'm starting to be diligent about it. I went through everything. And it was nowhere. And I look over and I see Phillip's fat ass bending the chair about to break it.</t>
  </si>
  <si>
    <t>S22 Rob (6/8): I looked down and the Hidden Immunity Idol clue is right underneath his ass. It's sitting, sewn inside the fabric of the chair.</t>
  </si>
  <si>
    <t>S22 Rob (7/8): How lucky was that? Had Phillip not been so fat, that chair wouldn't have been bending as much and I wouldn't have told him to move.</t>
  </si>
  <si>
    <t>S22 Rob (8/8): The clue basically could have read "the Hidden Immunity Idol is somewhere" I mean, it could be anywhere. I'm happy that I found the clue 'cause I know now that nobody else found the clue. But I don't plan on telling anybody about the clue because I want the idol for me.</t>
  </si>
  <si>
    <t>S22 Rob (1/8): Phillip is a piece of work. I mean, who comes on Survivor and wears pink tighty-whiteys with his stuff just hanging out and, you know, just flopping around everywhere? It's not only... disturbing. It's-it's actually disgusting. It's like your dad should have bought a new pair, like, months ago. You don't want your friends coming over to play and seeing that.</t>
  </si>
  <si>
    <t>S22 Rob (2/8): While Phillip and Kristina were away at the duel today, I started thinking I need to find the Hidden Immunity Idol before Kristina finds it again. I already have the clue and I had a good idea that it was on this side of camp and I needed to get everybody out of camp for the day. So I created this game. We're calling it “Royal Treatment.” So I'm trying to think how am I going to get away from everybody after I'm the one that planned this whole beach day. So I tell them I'm having a little bit of trouble moving things down in that area, you know, and I feel like something might be happening. So I bring them to the nice part of the beach where the sand is really nice, and immediately, Grant heads into the ocean, perfect. I don't have to even look Grant in the eye. I don't have to make an excuse. They'll cover for me. So I look at the girls, I said, "It's time. I'm gonna try to relieve myself." I knew I had a limited amount of time. So I high-tailed it back to camp, and it's like, game on! Where is this thing? The clue, it basically told me that it's somewhere on the island, either in a tree, under a rock, in the sand, or in a log. What a great clue.</t>
  </si>
  <si>
    <t>S22 Rob (3/8): I'm digging through rocks. I'm climbing trees. I'm looking everywhere. And I'm having a really tough time. So I just started searching from tree to tree. At this point, I've already been gone for fifteen minutes. I need to get back to the beach. Otherwise, it going to look suspicious. You know, there's probably about forty trees in our immediate area. And I think it was maybe thirty-eight or thirty-nine, I finally looked up. Ding-Ding! Yeah, baby, maybe I learned something since last time. As for my plans for it, right now, I'm not sure. But one thing I do know is that with this Immunity Idol, this time I'm going to make it 39 days and win.</t>
  </si>
  <si>
    <t>S22 Rob (4/8): Phillip is lobbying for Kristina all of a sudden. I'm like, “Hey, dumb ass! Aren't you in my alliance? Don't you work for me? Now you're telling me who I should grant favors to?” Big mistake, Phillip.</t>
  </si>
  <si>
    <t>S22 Rob (5/8): If he felt secure, why would he ever want to keep Kristina? So Phillip knows where he's standing.</t>
  </si>
  <si>
    <t>S22 Rob (6/8): Man, we can't win a challenge. It's tough already, and Phillip, he's never one to shy away from a moment in the sun. I mean, at this point, there's, like, an utter malice towards him that's palpable.</t>
  </si>
  <si>
    <t>S22 Rob (7/8): Apparently, Kristina has been snooping around about the idol. She's dangerous. As much as everybody else hates Phillip and doesn't trust Phillip, he's less of a threat to me than Kristina is. I don't want to give it away that I have the idol. I want them to think Kristina has it so we're going to split the vote. We're going to throw three votes on Kristina, two votes on Phillip and if everybody does what they're told, Kristina will be voted out.</t>
  </si>
  <si>
    <t>S22 Rob (8/8): Grant, he wants to get rid of Phillip tonight, and those girls are obsessed with getting Phillip out. So it quite conceivably could be that somebody within my alliance might be willing to flip and vote out Phillip. Hopefully, all these guys get nice in line like they should and do as they're told. If not, I'm not in control of my tribe after all.</t>
  </si>
  <si>
    <t>S22 Rob (1/5): Tribal Council is always a miserable night all around. On top of it, Phillip is bugging everyone, including myself. He's completely off his rocker, walking around in his pink panties. Nobody trusts him. As long as Phillip is aggravating everybody so much it takes all of the heat off of me, so in a way, maybe he needs to stay.</t>
  </si>
  <si>
    <t>S22 Rob (2/5): I'm good at puzzles so this could be a turning point for this tribe, you know? There's no way they can take this win away from us.</t>
  </si>
  <si>
    <t>S22 Rob (3/5): Then Grant set a block for me. I was gonna take it out and put it in-- down my pants but I was like, “If I do that it's too obvious I have it on me.” I was like, “How can I get this whole thing over there so that I can make him come back to the camp?” So when Grant turned the other way he set a pick for me and I went around the outside. It was like a well-choreographed football play.</t>
  </si>
  <si>
    <t>S22 Rob (4/5): I'm going to go switch this with the clue that I already have. And give him the first clue and keep this one. So we gotta move. Today's a good day. What can I say? Not only did we win immunity and reward, but I got very lucky and had someone hand me the clue to the Hidden Immunity Idol and I just went to go hide it for him. Unbeknownst to Grant, I ran to my stash and my original Hidden Immunity Idol clue that I had buried, swapped them out and put the original clue in my hand in place of the one that he thinks that we took out of the coffee. That first clue is so ridiculous. It says something about, like, “Looking in the sand and under a rock or maybe in a tree, dig for it, climb for it.” Who knows? There's no way they're finding anything with it.</t>
  </si>
  <si>
    <t>S22 Rob (5/5): When Grant first came up to me I wasn't sure if he had saw me in the other woods so I had to, like, you know, pretend like I was nervous. I mean, this is really all for nothing because I already have the Immunity Idol, you know, but it's fun for me. I have to entertain myself out here somehow. I had to hustle, you know, but you gotta hustle if you wanna make a dollar. Everybody knows that.</t>
  </si>
  <si>
    <t>S22 Rob (1/3): I think this fracture is gonna end up splitting this tribe. The best thing for us to do is to keep winning and not get rid of anyone, so immediately I decided I need to take Phillip aside and I need to squash this thing right away. I had to play Arafat in like a peace process to bring the tribe back together again. Phillip was right, I mean, the girls weren't doing anything, but the less they do the happier I am. I don't want them to be working hard and, you know, giving us a reason to write your name down to win a million dollars at the end of this thing. I want you to ignore the crap out of everyone as much as possible.</t>
  </si>
  <si>
    <t>S22 Rob (2/3): So we show up at the reward, and we all know that there is going to be a clue to the Hidden Immunity Idol, because there is always a clue. So right away, I spot the clue underneath the lobster tails in the centerpiece of the table. At this point, there's not really any reason for me to do it, so I realized that if I can't get it without anybody else seeing that I got it, I'm gonna let one of them get it. So Grant sticks his hand under and he grabs the note.</t>
  </si>
  <si>
    <t>S22 Rob (3/3): So as Grant is showing me the note, Phillip ends up walking up the stairs and sees the note, too. It was a little bit like-like, Grant and I were back in school and we got busted by the principal.</t>
  </si>
  <si>
    <t>S22 Rob (1/8): Phillip wanted to go to the duel. He's not allowed to go without a chaperon so I gotta babysit his ass for the day. Phillip has a big mouth. He likes to talk and he can't be trusted. He's dangerous because of his stupidity. He's probably the most unaware person I've ever met in my entire life.</t>
  </si>
  <si>
    <t>S22 Rob (2/8): Little Phillip couldn't keep his mouth shut. And I'm telling you when the merge is coming, Phillip is ready to make a big move, and by big move he means, let's get Rob out.</t>
  </si>
  <si>
    <t>S22 Rob (3/8): Right when we got back to the beach, Phillip asked me how much if any I wanted to tell the tribe of what went on. I wasn't upset that Phillip suggested we don't say anything to the tribe. In actuality, I was hoping for it, actually praying for him to say something like that to me, so I could just use it as ammunition. I mean, an opportunity presents itself for me to throw Phillip further under the bus.</t>
  </si>
  <si>
    <t>S22 Rob (4/8): I took all this information to relayed it all to the tribe because I want everybody on the same page. I want everybody to know that the target's on me so that they feel safe, number one, and, number two, I need to keep everybody else against Phillip.</t>
  </si>
  <si>
    <t>S22 Rob (5/8): With all the attention focused on Phillip and everybody using him as a punching bag, I'm free to maneuver and do what I need to do.</t>
  </si>
  <si>
    <t>S22 Rob (6/8): If we lose, there won't be any blindside. I'll go right up to Phillip and I when he asks me who to vote for and I'll say, "You know what, Phillip? You're going home." I'll front-side him.</t>
  </si>
  <si>
    <t>S22 Rob (7/8): This is my fourth time on Survivor and I've been on a lot of rewards, but I'll tell you what I've never done, is landed on top of an active volcano. Definitely one of the coolest experiences I've ever had.</t>
  </si>
  <si>
    <t>S22 Rob (8/8): I've been on enough rewards to know whenever you win one, there's gotta be a clue. So immediately it hits me, the cookies are cylindrical shape. The clue's gotta be in there. And sure enough, in the center is a clue wrapped up like a cookie. But it really doesn't even matter what it says because I already have the idol, so... (throws clue into volcano) might as well just throw it away... in the volcano! Bye-bye!</t>
  </si>
  <si>
    <t>S22 Rob (1/5): If Matt wins, it's no good for me personally, because, you know, I'm the one who sent him to Redemption Island. So I'm figuring he's holding that against me. And there's a possibility he might defect to the other team. I mean, that's what I would do.</t>
  </si>
  <si>
    <t>S22 Rob (2/5): Murlonio doesn't mean anything. It's just an inside joke between Amber and I. She has bunch of stuffed animals and Murlonio is like the ringleader. So that's the name of our new tribe.</t>
  </si>
  <si>
    <t>S22 Rob (3/5): There's like a Christian coalition brewing here in Nicaragua. Look, I got nothing against God. I mean, I go to church on Sunday, but anytime a group of individuals likes the same thing, I don't like that. It could be romantic comedies. It could be Oreo cookies. If they're all liking it together, I want that broken up. Who knows? Mike, maybe he already thinks he's going to grab one or two of them. Can't let that happen. If Mike doesn't win individual immunity I feel like, you know, he should be the first sent over there to Redemption Island.</t>
  </si>
  <si>
    <t>S22 Rob (4/5): Matt just told me he was thinking about flipping and going with Zapatera. I mean, first of all, he has the audacity to think that he's going to come up with plan to vote me out. And then the stupidity to tell me that. It just confirmed he can't be trusted. So because of that, I'm giving him a one-way ticket back to Redemption Island.</t>
  </si>
  <si>
    <t>S22 Rob (5/5): Tonight's vote is monumental. If things go down the way they're supposed to go down, then Matty is going home. If Matt and Andrea are with them, then I'm going to be in a world of hurt.</t>
  </si>
  <si>
    <t>S22 Rob (1/8): Voting Matty off last night accomplished one main goal and that was bringing the old Ometepe tribe much closer together. I have a whole vision that I'm trying to put into action here, keeping us versus them mentality, thus, the separate shelters, the separate eating times. I want my group to hate Zapatera. It's us versus them, and we're better than them. And we're going to be arrogant about it, and we're going to show it. I'm not. But I want them to. Because I want their votes at the end of the day.</t>
  </si>
  <si>
    <t>S22 Rob (2/8): So Natalie just came and told me that Ralph approached Ashley and said that if she makes it to the top three that he's voting for her. He's doing that so that Ashley makes a case to not vote off Ralph. (chuckles) We're going to vote his ass off anyway. Okay, he's not going to vote for me, Ralph? Well, you're not going to vote for Ashley, because she ain't going to be there now and it's your fault. Ashley, you could have made it to the end but you decided not to tell me anything. You have to tell me everything. It's my game. I'm in charge.</t>
  </si>
  <si>
    <t>S22 Rob (3/8): Here's the thing... I still can't shake this idol paranoia. Like, idols are what killed me last time around, and I'm still struggling with them. I know I have one idol. But last night at Tribal, Ralph played his idol. So I believe another idol could be in play at this point. Tonight, we basically have to make up a vote blind. It could potentially cost me my Survivor life.</t>
  </si>
  <si>
    <t>S22 Rob (4/8): So we have to pick someone to vote out tonight knowing the possibility that person may actually have an idol or somebody else may have one and give it to that person. This is one of those times in Survivor where you have to gamble.</t>
  </si>
  <si>
    <t>S22 Rob (5/8): Tonight's Tribal Council was pretty interesting. I think the biggest thing that I took away from it is that Phillip is slowly becoming a very loyal soldier. Which is good for me. And even when faced with, "You're at the bottom of the pack" comments, by the other tribe, he responded that, "I love being at the bottom. That's where I'm comfortable." I'm very happy that Phillip is obeying and doing as he's told and he'll be rewarded for it. Phillip's not really crazy. He's kind of playing crazy. But he is a little crazy, you know? So even this early, I'm still thinking about my end game and the jury. So as far as Phillip and I go, Phillip's at the top of my list. He's my number one. That's all he needs to know. So... Natalie and Phillip are coming to the final three with me.</t>
  </si>
  <si>
    <t>S22 Rob (6/8): A win is always important. I never want to lose. I always like to have an edge. I don't want the Zapatera people to have immunity. I don't want them to have any kind of momentum. I don't want them to feel like they have any power. So as long as someone from our side wins, I'm going to be happy at this point.</t>
  </si>
  <si>
    <t>S22 Rob (7/8): Here's the thing, I'm running my tribe like the Army. I'm the general, they're soldiers and they're all doing as they're told which is a wonderful thing.</t>
  </si>
  <si>
    <t>S22 Rob (8/8): You know, what it comes down to tonight, is David or Steve. Do I eliminate what I consider the biggest strategical threat in the game right now, or do I give the old dying T. rex what he wants? Because I think he wants to go home and getting rid of Steve, it may give me a jury vote. I mean, I've been known to have a mercy killing in me from time to time. Haven't I?</t>
  </si>
  <si>
    <t>S22 Rob (1/3): David's going to be the first member of the jury. We're trying to send people to the duel to beat other people that are already there... namely, Matt. We sent Mike and we sent David, and David failed, so Matt is still in there. If he comes back and beats me, it's over.</t>
  </si>
  <si>
    <t>S22 Rob (2/3): You know, what started off as a friendly little song between Grant and I turned into an explosion. Phillip somehow managed to make a war about white rice, racial. I don't know where it came from. And at the end of the day, Phillip will be public enemy number one. I just have to figure out who to make public enemy number two.</t>
  </si>
  <si>
    <t>S22 Rob (3/3): Tonight, it doesn't matter who we target, really. You got Ralph, you got Steve, and Julie. But, I don't know. I love Phillip, but, I mean, I don't know where his head is. There is room to play, but I don't know where. One man should not have this much power on an island, but I'm grateful that I do.</t>
  </si>
  <si>
    <t>S22 Rob (1/4): Phillip is not going anywhere. Phillip is under my protection. As long as he keeps up his stupid antics, they' be coming to me all the way to the finals.</t>
  </si>
  <si>
    <t>S22 Rob (2/4): This is what's going on right now: Steve's thinking, “I've had it. I'm done.” So Steve's not going to do anything to cause any problems with anybody. Ralph, on the other hand, poses a threat because physically, he's capable and his head is still in the game so Ralph's got to go next.</t>
  </si>
  <si>
    <t>S22 Rob (3/4): Who knows what this twist is all about? Maybe somebody else has a chance to win immunity. Maybe it's a situation where two people are going to go home but we only get to vote once. It could be anything. So we've got to hedge our bets and make sure we have backup plans and know who we're voting for. Grant and I, we already talked about getting rid of Andrea before Zapatera, so it leaves us other options.</t>
  </si>
  <si>
    <t>S22 Rob (4/4): It seems like Steve may have gotten his second wind. He's going to members of my alliance behind my back trying to come up with a plan to get me out of here? Which makes me think I should maybe get rid of him first. What I was originally thinking about I'm thinking about not doing now because I may have to wait to get rid of Andrea.</t>
  </si>
  <si>
    <t>S22 Rob (1/6): There's been times out here where Natalie has just been mature beyond her years and then there's been other times where, you know, her youth just shows through. She's nineteen, uh, you know, being out here for 30 days, it takes its toll on you. And it's critical for me to comfort her. I mean, she's my main alliance in this game, and I want to make sure she's alright. I've got eight days left, eight days. I've just got to keep everybody happy. And as long as they don't start talking to each other and realize that I'm the one that should be going, I'll be all set.</t>
  </si>
  <si>
    <t>S22 Rob (2/6): I feel like right now I'm playing my best game, but even everything that's happened up until right now, means nothing unless I can finish it. I need this. It's to make a better life for my wife and my kids. Even though we're at a point now where some people might be taking a break from the game and thinking about home, it just makes me focus. I want to win Survivor. This is something I've been trying to do for ten years now. I'm eight days away. So there's nothing that's gonna stop me.</t>
  </si>
  <si>
    <t>S22 Rob (3/6): This morning we got Tree Mail. Looks like another Immunity Challenge. But tonight, I feel like it's not going to be too difficult. The vote will probably go towards Andrea. She's great at the challenges, and strategically, she probably knows more about this game than everyone except Grant and I. Therefore, she's gotta go. My sister gave me a shirt with Amber and my daughter, Lucia, on it, and I'm going to work my ass off to make sure Andrea doesn't win immunity.</t>
  </si>
  <si>
    <t>S22 Rob (4/6): Physically, the challenge, I had to literally, give everything I have. Afterwards, I thought I was going to die. But I figure that I'm seven days away. And I'm giving it everything I got. There are two main things that I gain from winning immunity today. Number one, I'm not going home no matter what. And number two, all my options are open, and I can decide who's going home.</t>
  </si>
  <si>
    <t>S22 Rob (5/6): We're all completely set on getting rid of Andrea, and then all of a sudden, Phillip regains his, uh, spot in our tribe as annoyance number one. He started driving everyone crazy.</t>
  </si>
  <si>
    <t>S22 Rob (6/6): To be honest with you, I'm having some second thoughts as to who I want to sit there with at the end. If I were to keep Phillip around, he's terrible in challenges and he's a goat, perfect person to take to the end. At the same time, Phillip could be playing me. He's pretty good with words. He's a good speaker. So when it comes down to the jury, that could be a problem. Is he that good? I don't know. On the other hand, Andrea's a competitor. If she sits at the end, she could possibly beat me. And... if I make the wrong decision, 32 days of hard work could be gone just like that.</t>
  </si>
  <si>
    <t>S22 Rob (1/12): Ashley's probably thinking about a way to turn the vote against me. I've been fighting ten years to get to this point, I'm 7 days away. It might make sense to get rid of Ashley next. Things have to go just right. I've had control in this game. I just need to keep control.</t>
  </si>
  <si>
    <t>S22 Rob (2/12): I'll never give up hope and I'll never give up fight. I've got more heart than anyone out here but this Redemption Island twist is making it even harder for me to make it to the end. I want Redemption Island to be over and done with so it's not a factor anymore.</t>
  </si>
  <si>
    <t>S22 Rob (3/12): Zapatera ate too much when they were here and now we don't have much left. Everybody's exhausted. Ease along, try to just not exert as much energy as we can.</t>
  </si>
  <si>
    <t>S22 Rob (4/12): He's pathetic and he's crazy. Not the "N" word crazy, he's just crazy. Ashley and Natalie are getting too close for comfort. The best thing for me to do is to split the two of them up. So instead of like, picking on one of them, he picks on both of them. Instead of driving those two apart, he drives them closer together. Phillip, stop making so much work for me!</t>
  </si>
  <si>
    <t>S22 Rob (5/12): Ashley actually came to me with this genius plan, “Let's get rid of Grant next.” I've already run the numbers on this scenario weeks ago. It doesn't make sense. All it does is give Ashley another way closer to squeezing herself into the finals.</t>
  </si>
  <si>
    <t>S22 Rob (6/12): Ashley actually came to me last night and said that she thinks she wants to get rid of Grant before Phillip. Ashley's had a free ride for 35 days, and her fairy tale's about to come to an end... real abruptly.</t>
  </si>
  <si>
    <t>S22 Rob (7/12): Natalie may not be the brightest player to ever play this game, we all know that. But Natalie is a sweetheart. She's innocent and she's pure, and Ashley's trying to corrupt that. Ashley and Natalie, they've been close since the beginning of this game. But it's never been a strategic closeness. And more and more, I see Ashley imposing her wisdom on Natalie. And it's not a good thing. You know what I'm exciting about? It's Day 35, and after 35 days of having this pain in my ass, I think I'm going to finally get some relief tonight.</t>
  </si>
  <si>
    <t>S22 Rob (8/12): Days like today, man, I wish I stayed home. It just happens that, you know, when there's one thing you don't want to happen, it happens. And then all of a sudden, Ashley's a freakin' genius. This was all her plan all along. Grant, when you watch this, you're going to realize I never wanted to do it this way, bud. And, although I'd like to, you know, think of you as a friend, I didn't come to this game to make friends. I came to this game to win. So even though it does break my heart, bud, I gotta vote your ass off tonight.</t>
  </si>
  <si>
    <t>S22 Rob (9/12): It seems like no matter what the situation on Survivor, I have to do the dirty work because everybody else is too stupid to do it.</t>
  </si>
  <si>
    <t>S22 Rob (10/12): So I basically told Phillip, “We're voting for Grant,” but then I had to go to Phillip, Ashley and Natalie, “We're voting for Grant,” then I had to go to Grant, and ask Grant which way he wanted to go, if he wanted to go with Phillip or he wanted to go with Natalie. It's a lot of work. It's exhausting. It really is.</t>
  </si>
  <si>
    <t>S22 Rob (11/12): Ashley and Natalie are getting too close for comfort. It's just like Amber and I. It's just like Andrea and Matt were at the beginning of this season. A couple is very powerful in this game. Even if it's two girls, if they trust and believe in each other, it's a very powerful thing.</t>
  </si>
  <si>
    <t>S22 Rob (12/12): With Ashley and Natalie getting as close as they're getting, it could be a real problem if somebody were to come back from Redemption Island, and they were to decide to join up with that person and decide that they don't need me anymore. In that situation, it would be more advantageous for me to break up Ashley and Natalie while I have the chance so that that doesn't happen. And I think Grant's a good guy. I really have, like, made a good friendship with him throughout this show. I'm still sitting in a pretty good spot, even though I didn't win immunity today. If I decide it's going to be Grant, it's Grant. And if I still decide that it's going to be Natalie, it'll be Natalie. One man should not have this much power in this game. Luckily, I'm not an ordinary man.</t>
  </si>
  <si>
    <t>S22 Rob (1/14): Tonight at Tribal Council, Grant got sent to Redemption Island. The irony is that it's completely my fault that he's gone. But at the same time, I miss him because Grant was a friend of mine out here. As much as I like to think I'm a cold hearted, calculating player, it still does, uh, get me a little bit, you know? I've got a heart in there somewhere.</t>
  </si>
  <si>
    <t>S22 Rob (2/14): I think Grant might be the only person on Redemption that can come back here, and me, actually want to vote them out next. If it's Matty, Mike, or Andrea I don't know. Ashley's just no good, she's no good, bro. She's gotta go. That's in my gut, you know? She's gotta go. Bye-bye, Ashley.</t>
  </si>
  <si>
    <t>S22 Rob (3/14): The way I see it, between Phillip, Andrea, Ashley, Natalie, I have to vote for Ashley, because she played the game better. So, as long as Ashley doesn't win immunity tomorrow, Andrea gets to stay one more day.</t>
  </si>
  <si>
    <t>S22 Rob (4/14): Ashley drives me nuts, but her tactics are so amateur hour. Natalie's a good-hearted little soul, one that's loyal. And, uh, I don't like to see someone corrupt my soldier. I can't wait to vote her ass out. I can't. 37 days. It's like the patience is finally going to pay off and it's going to be that much sweeter.</t>
  </si>
  <si>
    <t>S22 Rob (5/14): Ashley won. So Andrea goes home. Andrea's actually worked hard this game. She's been helpful around camp. She has a good relationship with people on the other side. Seems like a no brainer to get rid of her.</t>
  </si>
  <si>
    <t>S22 Rob (6/14): There are no idols after tonight, and it's the last time I can use my idol. But I don't even need the idol. If I decided, you know what? I'm going to go fishing, I don't have anything to worry about. I'm not going home tonight.</t>
  </si>
  <si>
    <t>S22 Rob (7/14): I got Phillip telling me the girls are in the woods talking. Yeah, thanks, Phillip, welcome to Day 37. I've played this game four times. Do these guys not realize that? Do they not realize that I can pretty much predict what they're going to do and say before they actually do it?</t>
  </si>
  <si>
    <t>S22 Rob (8/14): I can still dictate this vote. I don't even need the idol. As long as I have Natalie. I could take it home as a souvenir, too. What can I say? I like to gamble. (chuckles) God, I'm sick. I'm so sick.</t>
  </si>
  <si>
    <t>S22 Rob (9/14): Ten years, four times on Survivor, 116 days, one challenge, for one million bucks. That's what it comes down to. It's pretty big stakes.</t>
  </si>
  <si>
    <t>S22 Rob (10/14): (tearfully) It was Amber that encouraged me to come back and try again. She believes in me. It's because of her. Like, whatever happens now, I'm okay. Even if I don't win. Which is ironic because the only reason I ever wanted to come back to play again was to win. But.... I feel like I did my best. But I'm not done yet. First of all, figure out which one of these other three idiots I'm going to send home tonight, and then how I'm going to convince the other people sitting on the jury to give me a million dollars after my wife's already won one.</t>
  </si>
  <si>
    <t>S22 Rob (11/14): Basically at this point, I just want to make Ashley and Phillip both feel like they're going to the finals with me. It'd keep peace around camp for this afternoon and tonight, someone gets the final blindside. The problem is, if I want to get rid of Ashley, I have to get Natalie on board. And that's going to take some work.</t>
  </si>
  <si>
    <t>S22 Rob (12/14): The other problem with Ashley is that while the Zapatera people were here, she got awfully close to a lot of them. And probably created some bonds that would come to haunt me in the Final Tribal Council with her and Natalie. So, pretty much, I have to try to convince Natalie to vote off Ashley. She's not going to like it. And, ultimately, she may not go along with the plan.</t>
  </si>
  <si>
    <t>S22 Rob (13/14): Wow, 39 days in Nicaragua, 117 days total over the last 10 years. It's overwhelming. Winning this game has always eluded me. And, again, I find myself one step away from the top, and I'm just hoping to get there.</t>
  </si>
  <si>
    <t>S22 Rob (14/14): I haven't stopped playing the game. To some people it may look like I'm giving pointers to Natalie, but I'm actually giving Natalie pointers on how I want her to handle Tribal Council. And twice, you know, I made it all the way to the end. The first time the jury didn't feel I was worthy. I'm hoping that tonight, I'm not going to screw it up again. As far as I'm concerned, I've done my job.</t>
  </si>
  <si>
    <t>S21 Fabio (1/3): Everywhere you look there's monkeys hanging from things. There's dangerous animals here. It's like, it's real. There's no-- there’s no fences like the zoo.</t>
  </si>
  <si>
    <t>S21 Fabio (2/3): As soon as we saw thirty and under it was like, “These are my people!” This is going to be a lot of fun.</t>
  </si>
  <si>
    <t>S21 Fabio (3/3): The name Fabio, man, I didn't even realize I was being called that at first. Fabio, like, rides a white horse and does butter commercials and is kind of a cheese ball. Whatever. Dude, I don't care what they call me. I'm gonna win the million dollars so I guess my nickname is Fabio.</t>
  </si>
  <si>
    <t>S21 Fabio (1/2): I was gonna ask her, “Hey, do you think that you accidentally took my socks?” But before I could say anything, she went crazy.</t>
  </si>
  <si>
    <t>S21 Fabio (2/2): We're still not sure about Chase, man, as weird as that sounds. And we're wondering if Chase is going to lie to Brenda and vote her out or tell the four of us one thing and then flip.</t>
  </si>
  <si>
    <t>S21 Fabio (1/1): My whole strategy, bro, is to be out in the open and kind of make people laugh and be all crazy. But it goes deeper than just, “Oh, ha, ha, keep him around because he's funny.” It's like… (looks at floor) hermit crab on my foot. (laughs) It's like, I want to be kept around for more than just ‘cause I'm funny. You know, I wanna be kept around for my mentality, my spirit, whatever you want to call it.</t>
  </si>
  <si>
    <t>S21 Fabio (1/1): The old switcheroo. I was pretty stoked on how it worked out, actually. I was dreading the switch ‘cause I felt comfortable in the original La Flor tribe. But the way it worked out was pretty right on. We picked up Marty, Jill, and Jane. We're all super cool and numbers wise, La Flor tribe are five and three, it looks good.</t>
  </si>
  <si>
    <t>S21 Fabio (1/2): When Marty says, “I am a grandmaster in chess,” I'm just thinking, “D'uh, like it makes sen-- it does make sense, man.” He's always talking about it's a numbers game and you can see him doing all these numbers in his head and I'm, like, “Sign me up.” It sounds like a good deal, you know?</t>
  </si>
  <si>
    <t>S21 Fabio (2/2): Sash wants me to vote for Marty. But I want Marty to stick around. He's a smart guy, he's filled-- he’s let me in on some of his secrets, you know? So I feel like I'm kind of in good with him.</t>
  </si>
  <si>
    <t>S21 Fabio (1/1): Right now, the game plan is put three of our votes on Marty and two on Jill and tell Marty, like, “Bro, you gotta play the idol now.” So he does and then it will be a tie between Jill and whoever Marty and Jill vote. And then on the revote, Jill would end up going home.</t>
  </si>
  <si>
    <t>S21 Fabio (1/1): We made it to the merge! And we're gonna feast! You know, we're merging! Ah!</t>
  </si>
  <si>
    <t>S21 Fabio (1/1): That's the greatest thing about this plan. I don't really have to do a whole lot, and that's a big part of this game, is laying low. You know, I call it being cool. Whatever. Just not ticking people off and, you know, it's a good strategy as far as I'm concerned, you know?</t>
  </si>
  <si>
    <t>S21 Fabio (1/4): This rain is bad, man. The elements out here can really get you. This morning, we woke up, and it looked like it was gonna rain. We all know that it's important that the fire at least stays going. So we moved, like, all of the chests around the fire to protect it from the rain. That's important.</t>
  </si>
  <si>
    <t>S21 Fabio (2/4): Flying up to the volcano, it was so awesome. I don't think any of us really expected it to be that beautiful.</t>
  </si>
  <si>
    <t>S21 Fabio (3/4): At the challenge, Jeff had mentioned volcano surfing as part of the reward, so we're actually gonna be cruising down the side of this volcano, and I've never even heard of that before. Like, that blew my mind, dude.</t>
  </si>
  <si>
    <t>S21 Fabio (4/4): NaOnka pulls me aside and says we gotta work together. We can get Brenda out of here. She's running the show. And I'm thinking, “This is great. It just fell right into my hands and I'm totally going to milk it for all it's worth, you know?” And hopefully, I can stay under the radar and slither through things.</t>
  </si>
  <si>
    <t>S21 Fabio (1/3): The elements are definitely a factor out here. I mean, sometimes it’ll rain for four or five hours, you know, our tarp was obviously burned. It was coming in the front. It was cold. You just have to, you have to, like, find a mental happy place and you just gotta say, "This is temporary. I can deal with it."</t>
  </si>
  <si>
    <t>S21 Fabio (2/3): After the challenge today, Holly stepped up and said, "You know what? I'll forfeit my reward for tarp and rice and I can eat hot dogs whenever." And I-- it was a pretty cool gesture, you know? Holly is a genuine person. She likes doing nice things for people. It was great for me. I wasn't going on the reward anyways. So now we just got extra rice and an extra tarp.</t>
  </si>
  <si>
    <t>S21 Fabio (3/3): I wanna win. Quitting has not crossed my mind. We're going to Tribal Council tonight which automatically is not fun, you know? And Purple Kelly and NaOnka are going to decide if they want to go home. So we'll see. Uh, it's going to be interesting.</t>
  </si>
  <si>
    <t>S21 Fabio (1/2): My instincts tell me that Sash is still a bit of a swing vote, you know, but he's closer to me than anybody on the tribe, so if he's in the middle of a swing vote and it's my name on the other side, he's gonna tell me, I feel like. I feel like just sitting back right now, and being cool is part of it, you know? We'll see, though. You know, it's hard-- it’s hard to tell, and... we'll see, man.</t>
  </si>
  <si>
    <t>S21 Fabio (2/2): Yeah, I was feeling a little worried earlier. Um, I wasn't sure if my name was being thrown around or this and that. If it made sense for them to want to get me out, I thought, so I feel good about getting Holly out, you know? I think-- I think she's overstayed her welcome almost. She's getting a little bit… I just-- I'm ready for her to go.</t>
  </si>
  <si>
    <t>S21 Fabio (1/5): You know, the next couple of days are going to be really tricky. I think they believe I'm more gullible and naive than I am, you know? But it's to the point where I'm on, like, high alert right now. It’d be pretty funny to watch them underestimate me and they're kind of like, "What? I didn't know Fabio was that smart."</t>
  </si>
  <si>
    <t>S21 Fabio (2/5): I know that my family is, like, number one and being out here is really given me time to think about that. But actually seeing the video, it-it really got me, man. My mom always says the perfect thing, man. She told me exactly what I needed to know, and… (sobs) I just want to see my family, man. I really do.</t>
  </si>
  <si>
    <t>S21 Fabio (3/5): I-I was really let down by Chase because we had been talking about, you know, having our moms and this one reward, and he knew how much my mom meant to me and I knew how much his mom meant to him and I was really planning on taking him. So I kind of got played there. He straight up lied to me.</t>
  </si>
  <si>
    <t>S21 Fabio (4/5): I guess we'll move on. You can't hold grudges out here. You can't be super ticked off at somebody ‘cause it’ll come back to get you. So I think the best thing I could do is just try to win immunity.</t>
  </si>
  <si>
    <t>S21 Fabio (5/5): Chase the whole time has said, “Yeah, I know Jane has to go. I know Jane has to go.” And now when it's actually time to do it, he's all thinking about it, and you-you can tell he doesn't want to let her go, and it's like, dude, if he , like, doesn't vote her out or something it could go down as his worst decision.</t>
  </si>
  <si>
    <t>S21 Fabio (1/14): After last night's Tribal Council, realizing that Sash, Holly, and Chase are pretty tight, you know, I definitely think it's in my best interest to break them up.</t>
  </si>
  <si>
    <t>S21 Fabio (2/14): I'm not very comfortable going to Tribal Council without a necklace right now. But I gotta be cool right now. I can't let on that I'm playing the game.</t>
  </si>
  <si>
    <t>S21 Fabio (3/14): I won again! It was awesome, man. Going into it, I knew that if I didn't win, I was not safe. But I got my necklace, and I'm loving it, man. I've always known that I was gonna wait to the last minute to be aggressive. I chose to just follow people, go with their plan. Right now, I've got to figure things out and swing ‘em my way, and my number one plan would be to talk to Chase and Sash to get Holly out first.</t>
  </si>
  <si>
    <t>S21 Fabio (4/14): I'm gonna have to try to make a case for Dan not being the biggest threat, and the best person for me to do that with is Sash. I gotta have a one-on-one, me and Sash, without Chase coming up and saying, "What are you guys talking about?" Because he does that and it's annoying!</t>
  </si>
  <si>
    <t>S21 Fabio (5/14): Tonight at Tribal Council, you know, I felt comfortable because I had the necklace around my neck. And tomorrow night, for me to, uh, feel secure, I'm gonna have to have the Immunity Necklace again because I really don't know what's going through Chase and Sash's mind at this point.</t>
  </si>
  <si>
    <t>S21 Fabio (6/14): It feels good to have gotten this far. It's kind of a big deal, man. It's an accomplishment, you know? And now I've just got to be thinking of this next challenge and how the million dollars is actually on the line this time. It feels good to even be in a position to compete in something like that.</t>
  </si>
  <si>
    <t>S21 Fabio (7/14): I'm loving this, man! I mean, I won the Final Immunity Challenge, and I get to come back to camp and watch the three of them gotta plead their case for why I should take them to the final three. Of course Sash and Chase and Holly are all nervous, panicky people anyway. So it's going to be fun watching them sweat about this one. I'm just going to let it play out.</t>
  </si>
  <si>
    <t>S21 Fabio (8/14): I’ve had this feeling about Sash the whole time that he’s willing to tell anybody anything and it gets to me, you know? But at the same time, look at the position I'm in, and I'm just laughing like, “Dude, I can see right through you, and you don't think I can.” And I go back to Chase, and I tell him, and he's immediately selling Sash out to me. It's almost like, if I just walked into a kitchen, turned the lights on and all these little cockroaches are trying to scramble to get out of the way and to throw somebody else under the bus, you know?</t>
  </si>
  <si>
    <t>S21 Fabio (9/14): Sash and Chase have lied to me the whole time saying we would go to the final three together. And now I really feel like I almost don't want to take either of ‘em. Holly's actually the only one that hasn't lied or done anything to me.</t>
  </si>
  <si>
    <t>S21 Fabio (10/14): I feel like Holly has played a pretty good game and she does deserve to go to the final three, but then again, she might deserve jury votes, too. So I've got a big decision to make on who I want to take and is it going to cost me a million dollars or not? So my head's definitely spinning, you know, at this point.</t>
  </si>
  <si>
    <t>S21 Fabio (11/14): On a scale of one to ten, I am about a ten right now. It took me 38 days to finally get into a powerful position but now I'm finally here. Tonight, I brought the heat a little bit, kind of set the stage, because putting Sash against Chase lets the jury know that I really am aware of what's going on. I still feel like I have a bit more to say tomorrow night and, uh, I think the jury is going to be receptive to it.</t>
  </si>
  <si>
    <t>S21 Fabio (12/14): Sash goes, "I'd be honored for you guys to be my wingmen." I was like, "Sash, dude, you can take a backseat. I want you to take notes on how this is going to go ‘cause it's gonna be fun.”</t>
  </si>
  <si>
    <t>S21 Fabio (13/14): Day 39, man. This has been an awesome journey. And I loved every part of it, you know? I've envisioned this day for a long time, and now it's actually here. And, uh, this is probably the most important day of my life.</t>
  </si>
  <si>
    <t>S21 Fabio (14/14): It's time to shift gears and focus on tonight's Tribal Council because if you're not completely in it to win it tonight, you're going to miss your chance at a million dollars, and those are the largest stakes I've ever played for. So, I'm going to go into this last Tribal Council swinging.</t>
  </si>
  <si>
    <t>S33 Adam (1/5): Walking up the beach and seeing that tribe flag, everybody is so excited. Everybody is really happy to get to know each other. And we're going to prove a lot of people wrong about their misconceptions about Millennials.</t>
  </si>
  <si>
    <t>S33 Adam (2/5): Heading into the first night, I'm a little nervous 'cause, oh, man, we're in a world of hurt when it comes to our shelter. We have no real roof, but every single person on this tribe thinks everything's gonna be okay.</t>
  </si>
  <si>
    <t>S33 Adam (3/5): Everybody's so excited. Everybody's really happy to get to know each other. I'm looking up at the sky, it's getting dark. It's only gonna get worse. Nobody seems to really care. I think the difference between Gen Xs and Millennials, is that Gen Xs believe that you have to put in your time in order to get to where you want to be. Millennials don't believe that. They believe that if you set your mind to something and you dream big, you can go and accomplish it now.</t>
  </si>
  <si>
    <t>S33 Adam (4/5): My jaw drops! This is unprecedented! This is something that we've never seen. There have been bad storms on Survivor, but we have never done this in the history of 33 seasons of Survivor.</t>
  </si>
  <si>
    <t>S33 Adam (5/5): This is not all fun and games. This is the real deal. This is a real cyclone, and there are real people's lives at stake.</t>
  </si>
  <si>
    <t>S33 Adam (1/1): Literally, Figgy's put herself in the crosshairs. Basic laws of Survivor will tell you, "Don't come blazing out of the gate. Don't get into a catfight." And sure as hell, "Don't get yourself into a showmance!"</t>
  </si>
  <si>
    <t>S33 Adam (1/2): It's been my dream since I was nine years old to play this game and have this experience, and I did not expect my first Tribal Council to be my first #Blindside. Now I'm gonna have to play from the bottom and it's going to take a lot of work to, uh, get back into a position of power. But I wouldn't count me out. I think I can get back up to the top again.</t>
  </si>
  <si>
    <t>S33 Adam (2/2): The status quo of the tribe is-is not a good position for me. I'm still flabbergasted by that vote because Figgy sucks at Survivor. You can't make an obvious pair that is strong, good-looking, talented in the challenges and not be a threat in this game. And so, if Figgy goes home, there would be a shift, and that's what I need to happen in order to have some semblance of power here.</t>
  </si>
  <si>
    <t>S33 Adam (1/4): Hidden Immunity Idol searching has really died down at this camp, but I have a feeling that it might still be out there, and so I do feel like I need to rededicate myself to that search because after Mari was voted out, my head is definitely on the chopping block. And if I can somehow get my hands on an idol, I could save myself.</t>
  </si>
  <si>
    <t>S33 Adam (2/4): This is incredible. For a Survivor super-duper fan like me, like, this is what dreams are made of. I found the clue, and now I've just got to figure this thing out. I don't know how much time I can spare looking for it. So I gotta go back to camp and look another time.</t>
  </si>
  <si>
    <t>S33 Adam (3/4): I wish I could have performed better but that was never going to be my challenge. I'm not super comfortable with totally physical competitions. I just feel like I need to find this idol more than ever, but I don't have a whole lot of time left because I need to make sure I find it before we either go back to Tribal Council or we swap. The clue says you have to look for the tribe motif, somewhere in this designated area and look for a shell. And if you break open the shell, you'll find the Hidden Immunity Idol. I'm looking everywhere, and I just don't see it. It's not there. So I just walk along the beach and hope that something hits me, that I find something.</t>
  </si>
  <si>
    <t>S33 Adam (4/4): I just found the Hidden Immunity Idol. This is, like, beyond my wildest dreams. I finally went for it today, and I got it. It was really tough to make the decision to come out here. My mom was diagnosed about seven months ago with stage four lung cancer. (tearfully) It's such a devastating disease. (cries) It's been such a nightmare. It's been the worst thing you can possibly imagine. (crying continues) And so to have, like, my biggest dreams coming true at the same time that my worst nightmare is happening, it's-- it's-- it's so-- it's just not-- it doesn't feel real. My mom is a huge super fan. She's the ultimate reason for being here. I want to give my mom something to look forward to. (tearfully) Being able to watch me find this, that's what I came out here to do-- is bring some joy back to my family.</t>
  </si>
  <si>
    <t>S33 Adam (1/2): Getting swapped into a tribe with only Taylor and Figgy from my original Millennial tribe is my worst nightmare. Figgy is very controlling. She lies constantly, and she's going to go through this charade as long as she can about how they are not a couple. I don't know how long that will last, because Taylor is ready to start canoodling again. To me, that's a worthless partnership.</t>
  </si>
  <si>
    <t>S33 Adam (2/2): Ken and Jessica, they seem to have a tight bond, and I know that Figgy and Taylor won't turn on each other, so I have pairs on both sides of me. I'm the guy they need to come to. I'm the guy they need to work with. I get to decide which side moves forward.</t>
  </si>
  <si>
    <t>S33 Adam (1/2): Losing puts me in a real bind, because this whole time that I've been out here, I've been playing double agent, and it certainly feels like if I wanted to side with Jessica and Ken, that I could do that. And if I wanted to side with Figgy and Taylor, that I could do that, but no matter how I vote tonight, somebody is coming back unhappy, and I'm in a really, really tough position.</t>
  </si>
  <si>
    <t>S33 Adam (2/2): My mind is just reeling right now, because Ken makes really good arguments. The question is: which side is going to be better for my future in this game? I mean, the whole world is probably screaming, "Get out the power couple! What are you thinking?" But at this point, I don't know that that makes sense for me.</t>
  </si>
  <si>
    <t>S33 Adam (1/1): I feel badly that I, you know, ended their island romance, but I did what I needed to do. I put myself in a position where I can move forward with a group of Gen Xers, and Figgy was ultimately the sacrifice that had to happen.</t>
  </si>
  <si>
    <t>S33 Adam (1/10): I made the merge. To get to this point means so much. It really means the world. But this is when things start to get really serious. Like, this is the point of the game where alliances and loyalties are really tested, and the really great players get separated from the mediocre players. And I hope that I'm in the former group.</t>
  </si>
  <si>
    <t>S33 Adam (2/10): My philosophy here is that having a merge feast, it's nice, it's fun, I like to eat, but do I need it? No. And almost every merge in Survivor, there's going to be a merge idol out here somewhere. And I know this camp well. I was the only person that's been able to find an idol here. So if there is an idol out here, I feel like I may have a good chance to actually find something. I take a look at Tree Mail, I look up, and there's a note. I grab it. I open it up, but there's no idol. So I'm like, "What's going on here?"</t>
  </si>
  <si>
    <t>S33 Adam (3/10): I know everything about this game, and this is certainly a first. And it's exciting to be a part of Survivor history, to have a new power that nobody has ever had in this game before. I think I'm in one of the best positions in this game and I have an idol. And so I'm going to sit on this and use this on something that really matters.</t>
  </si>
  <si>
    <t>S33 Adam (4/10): I wake up in the middle of the night and I see Taylor sneaking some food, so I decided it's an opportunity to build trust with him. I'm going to have a midnight bro down and talk some game.</t>
  </si>
  <si>
    <t>S33 Adam (5/10): Taylor is an incredible unlikely ally for me. I have voted against his girlfriend twice and actually voted her out, but if I can convince him to vote my way, then I've got control of this game.</t>
  </si>
  <si>
    <t>S33 Adam (6/10): My plan totally just blew up in my face, and I got to give him credit. Will needed to win today, and he did. And so now I need to try to figure out another plan.</t>
  </si>
  <si>
    <t>S33 Adam (7/10): I laid the groundwork for what I thought was a solid plan, and then the day of Tribal Council, it all unravels.</t>
  </si>
  <si>
    <t>S33 Adam (8/10): I had a feeling I might be playing too hard. I was playing too hard. Uh, now I have to scramble. And at this point, I'm willing to work with anybody on this tribe if it'll keep me in this game.</t>
  </si>
  <si>
    <t>S33 Adam (9/10): I need Zeke and the Gen Xers to get through this Tribal Council, but they're back and forth on who to vote for, and if they can't get it together, then I need my Plan B, which is to see if I can get Taylor to target somebody else.</t>
  </si>
  <si>
    <t>S33 Adam (10/10): Hannah is telling me that I just need to relax and that everything is going to be okay. But I know for a fact that my position in this game is very tenuous. Now the good news is I have the Hidden Immunity Idol. So I could play it, and know that I'm still going to be here tomorrow. But if I use it and I have the numbers, I look like a chump. (in frustration) Oh, I don't know what to do.</t>
  </si>
  <si>
    <t>S33 Adam (1/2): Going into Tribal Council, Jay and Taylor blew up my spot, and then they gunned for me, and when they gunned for me, all bets were off. Even if I am at the bottom of Gen X, it certainly feels a lot better than being out of the game, which is where you tried to put me.</t>
  </si>
  <si>
    <t>S33 Adam (2/2): I'm worried that I might be playing too aggressively, that I might be playing too hard, but I have to prove my loyalty to my alliance, because I have a much stronger bond with Gen X than I certainly ever will with Jay at this point.</t>
  </si>
  <si>
    <t>S33 Adam (1/2): Oh, man, Taylor and Jay dragged my name through the mud, and now everybody knows about my advantage. I want Jay out of this game so badly I can taste his blood in my mouth.</t>
  </si>
  <si>
    <t>S33 Adam (2/2): To get a letter from home… (sighs) I don't know that anyone will ever know what that meant. The other four saw that it meant a lot to me, but they don't know that my mom was diagnosed with cancer. And one of the hardest parts out here… is the fear… (cries) at any point… it's not gonna be good news for me. So every day that I know my mom's doing okay… and every day that I stay here that I make it further in the game, that I get closer to that loved one's visit and closer to the end, is another big win. Just that little piece, it's enough to keep me going, to get me through these last two weeks of the game.</t>
  </si>
  <si>
    <t>S33 Adam (1/2): I have an advantage in this game that allows me to steal a reward from another player. And I was very tempted to use it, especially because David didn't earn this one, but I felt like it was the best decision for me to hang on to my advantage and save it for another day.</t>
  </si>
  <si>
    <t>S33 Adam (2/2): Hannah wants to vote for Zeke tonight, but I'm not confident about the plan tonight because I have been sitting back a little bit and allowing Hannah to run the show a little bit. And Hannah is a nervous girl, and it makes me nervous.</t>
  </si>
  <si>
    <t>S33 Adam (1/5): My mom has stage four lung cancer, and I don't know what's going on with my mom. I don't know what's going on at home.</t>
  </si>
  <si>
    <t>S33 Adam (2/5): (tearfully) I'm here to bring joy to my family, to make them proud and to give them as much to look forward to as humanly possible. And the better I do in this game, the longer I last, and the more that I make my mom happy. I have to stay focused, and I have to use this as… (sniffles) inspiration to continue fighting out here.</t>
  </si>
  <si>
    <t>S33 Adam (3/5): I'm playing for so much more than a million dollars and the title of Sole Survivor. The stakes for me are maybe higher than for anyone who's played this game.</t>
  </si>
  <si>
    <t>S33 Adam (4/5): The Immunity Challenge was awesome! I'm making my Survivor dreams come true. I only have one checkbox left, and that's winning this game. And, you know what? It might actually happen because I'm safe at Tribal Council tonight, I have a Hidden Immunity Idol in my pocket, and Will wants to make a move, and blindside Zeke.</t>
  </si>
  <si>
    <t>S33 Adam (5/5): We have this plan, and Ken (air quotes) "tests Will," revealing Will's plan. That's not a test! That's a betrayal!</t>
  </si>
  <si>
    <t>S33 Adam (1/7): Bret and Sunday come up to me this morning and they say, "Dave, Jay and Will are the three biggest threats in the game. Those three need to be the next to go." And it's music to my ears. If they want to put themselves in a position where they're left with myself, Hannah and Ken, I love that.</t>
  </si>
  <si>
    <t>S33 Adam (2/7): Will's preference right off the bat is obviously to vote out Dave next. Will thinks now he has a degree of power, and he is in control. And that makes him more dangerous, so to me, Will is a bigger threat, and I do not want to put myself in a position where Will is, you know, controlling my fate in this game.</t>
  </si>
  <si>
    <t>S33 Adam (3/7): Right now, Hannah and I are in power positions. We can decide who goes home next. It's a really tough choice. Bret and Sunday are in a weak position and they're going to vote the way that I want them to vote. So the question is: Blindside Will and take out someone who I do believe is loyal to me at this point, or try to blindside Dave and take out potentially the biggest threat in this game? So we have a huge decision to make tonight. This is the moment where I start making the moves that I need to make to win this game.</t>
  </si>
  <si>
    <t>S33 Adam (4/7): I'm trying to make Jay feel as comfortable as possible with me, and so I tell Jay that the next move is to get rid of Dave, but to me Jay has to go home. He has a Hidden Immunity Idol, and we have to take every opportunity we can to take a stab at the guy. If he doesn't have immunity, he needs to go home.</t>
  </si>
  <si>
    <t>S33 Adam (5/7): My biggest fear of going into the challenge was that Jay or Dave would win immunity. Of course, I would've preferred to win myself, but if I couldn't win, I was glad it was Ken.</t>
  </si>
  <si>
    <t>S33 Adam (6/7): Yeah, I wanted to do everything I could to help Ken, because the most important thing about the challenge is Jay did not win and Dave did not win. My plan tonight is in the case that Jay does play his idol, Dave would go home.</t>
  </si>
  <si>
    <t>S33 Adam (7/7): I had a long conversation with Ken and Hannah, and throughout the entire conversation, I knew what I wanted to do. We have to put enough votes on Jay that if he doesn't play his idol he goes home, and we have to put enough votes on Dave that if he does play his idol, Dave goes home. If we vote for Sunday, it would leave both Jay and Dave in the game, and they're two strong strategic players, so we have to make sure that one of them goes home. There are so many moving parts to tonight's vote, and the worst thing that we can have is tomorrow morning Jay is still in this game with an idol in his pocket.</t>
  </si>
  <si>
    <t>S33 Adam: My mom told me, "You can do anything that you set your mind to." I set my mind to winning this game. I'm gonna finalize that dream.</t>
  </si>
  <si>
    <t>S33 Adam (1/8): Bret is definitely a threat, but this is an opportunity to finally take out Jay. He could very well win two more individual Immunity Challenges and end up in the final three and win this game.</t>
  </si>
  <si>
    <t>S33 Adam (2/8): Tonight is a very tough decision. I could save Jay. We share this weird relationship where we're bitter rivals but we also have grown into this brotherly love, and I genuinely believe that Jay wants to take me to the end. He's promised me final three. The question is: Could I beat him?</t>
  </si>
  <si>
    <t>S33 Adam (3/8): I was this close to having a guaranteed ticket to the final four, and I dropped the ball. But the fact that Dave didn't win is huge for my game, because I need Dave to go home tonight. More important than strategizing with people this afternoon, is making sure that if there is an idol out here, it doesn't end up in Dave's pocket. I know that Bret's on my side, and I know that Hannah is on my side, but an idol can screw everything up. Dave is an incredible guy, but it's why he needs to go, because he would win this game. I'm terrified that if this thing isn't out there, it probably means that Dave already has it.</t>
  </si>
  <si>
    <t>S33 Adam (4/8): I mean, finding one and knowing how proud my mom was going to be of that was such a feeling of joy that I haven't had for seven months outside of this game since my mom was diagnosed. (cries) It's been an absolute nightmare, so to have some feeling of joy here and to know that my mom is going to share that, and get to do it twice, that's the best. You can't ask for anything better than that.</t>
  </si>
  <si>
    <t>S33 Adam (5/8): I could not have found this idol at a better moment, because this is when I need it. Dave and Ken decided to gun for me at the exact moment where I got safety for myself. So if anything, they're going to look stupid. I have total power over tonight's vote.</t>
  </si>
  <si>
    <t>S33 Adam (6/8): I'm so blown away by what happened tonight. We just put Dave, the biggest threat in the game, one challenge away from the Final Tribal Council.</t>
  </si>
  <si>
    <t>S33 Adam (7/8): Dave and I both know that we're voting for the other person. It's entirely clear, and, you know, playing around it would just be pointless at this point. Meanwhile, Hannah's out in the water right now with Ken hopefully trying to convince him to vote out Dave tonight, but if that doesn't work, then I need my Plan B, which is attempting to beat Dave in a fire-making, uh, challenge. I'm practicing making fire with a machete, with flint, because I know if the votes are tied tonight, that's what I'm going to be doing. It's entirely possible. I'm so nervous. I shouldn't be because tonight should be a no-brainer. It really should, but not with these people.</t>
  </si>
  <si>
    <t>S33 Adam (8/8): I have played a really hard game. I found Hidden Immunity Idols. I won individual immunity. I've blindsided others, but I haven't done it in a way that made me a target. This has been the absolute hardest thing that I've ever done, is leave my family and my mom in this time because of her cancer. If she knew that I was this close to actually winning, I can only imagine how happy it would make her. That's why I fought so hard to stay in this game. I have to do everything that I possibly can tonight to win it… (tearfully) for her. I cannot let this chance slip away.</t>
  </si>
  <si>
    <t>S34 Sarah (1/1): I played Survivor: Cagayan, and I have a phenomenal social game. I’m a police officer, so I can read people, and with a season called Game Changers, I feel like somebody will get anxious and feel as though they need to make a move, which will put a target on their back, and then I’m going to be the silent assassin. (laughs)</t>
  </si>
  <si>
    <t>S34 Sarah (1/1): I told Cirie I’m good with her, but if someone’s going to throw her name out, I’m gonna go with it. Last time I played like a cop, look where it got me. This time I’m playing like a criminal, and we’ll see where it gets me. My word is not my bond in this game this time.</t>
  </si>
  <si>
    <t>S34 Sarah (1/2): Tavua, who started literally from scratch, has somehow banded together, and we’re just, like, dominating stuff now. But I don’t want to be overconfident. In the event that something crazy happens, I need options.</t>
  </si>
  <si>
    <t>S34 Sarah (2/2): At this point, Troyzan’s the odd one out against me and the other four, but the set four, that’s stupid. That’s boring. I don’t like it. Let’s grow up. Come on. I’m completely playing this game like a criminal this time. I know how criminals lie to me. So I know how to lie to these people.</t>
  </si>
  <si>
    <t>S34 Sarah (1/1): The reason Sandra has won twice is because she doesn’t come off as the most dangerous person in this game. I almost feel like the way Sandra talks to people is she’s grooming us. She doesn’t pressure you. Her voice never raises. It’s calm. And she just starts to suck you in.</t>
  </si>
  <si>
    <t>S34 Sarah (1/3): Today, after the reward, Varner starts saying, “I really want to work with you guys.” And I think we can pull Varner and actually use him as a number. And I really, truly feel like we have made that connection.</t>
  </si>
  <si>
    <t>S34 Sarah (2/3): Then he says, “Could Ozzy potentially be the vote?” So that’s what I’m thinking of right now. I need to be careful because that’s a huge move, but I’m ready to prove why I am a Game Changer. We’re close to a merge, and we need to take out who is the biggest threat. It might be time to cut Ozzy’s throat.</t>
  </si>
  <si>
    <t>S34 Sarah (3/3): Zeke sat him down and said, “The girls are gonna lie to you just to make you feel good.” And I’m like, “What?! Why would you throw us under the bus so you could save face?” Things are starting to look weird now. Zeke doesn’t really want to get rid of Ozzy and Zeke threw Andrea and I under the bus. I’m like, “This kind of is starting to stink. Do Zeke and Ozzy have something more going on that I don’t know about?” And that really scares me. This could be a huge mistake, but maybe we need to get rid of Ozzy and keep Varner.</t>
  </si>
  <si>
    <t>S34 Sarah (1/1): You know, I come from a very conservative background. I don’t know any transgender people until now, and the fact that I’ve been with Zeke and gotten to know him as a person from Day 1… I love that guy, and it doesn’t change who he is to me. If anything, it makes us stronger, I feel. So I woke up this morning, and Zeke is Zeke.</t>
  </si>
  <si>
    <t>S34 Sarah (1/2): We lost the Marshalls spa day, and it’s a huge letdown, but I’m finding myself in the middle. I have options. And it’s just going to be which group wants to vote out the person that I want to vote out. That’s where I’m going to go.</t>
  </si>
  <si>
    <t>S34 Sarah (2/2): At this point, I am sitting in the middle of two groups that are starting to surface. The one group, Brad, Sierra, Troyzan, Tai, Debbie, they want to vote out Ozzy, and then there’s another group of Cirie, Andrea, Michaela, Aubry, and Ozzy, and they want to see Zeke go. I’m weighing out all my options, and to vote Ozzy out, that means taking out a big social and challenge threat right now. That’s the move to make early on in a merge. But then, a lot of people want Zeke out, because he’s a smart guy and he’s willing to make moves, and when you trust somebody like that, you will end up getting blindsided. So it’s a real tough position to be in, but a line will be drawn in the sand this vote.</t>
  </si>
  <si>
    <t>S34 Sarah (1/11): At Tribal Council, I had to pick a side, but I still want to work with Zeke. Having Zeke opens up options for me.</t>
  </si>
  <si>
    <t>S34 Sarah (2/11): As much as people want to think that the line is drawn in the sand, well, I hate to break it to people, but the tide comes up pretty quickly, and that line gets washed away.</t>
  </si>
  <si>
    <t>S34 Sarah (3/11): I’m looking over at Michaela, and I see a rolled up piece of paper that says “Secret Advantage,” and I can’t believe Michaela didn’t see that. With Survivor, to be a Game Changer, you gotta be looking constantly for idols and clues, and now I have a secret advantage. So this is a huge win for me.</t>
  </si>
  <si>
    <t>S34 Sarah (4/11): When we were leaving the challenge, I looked over at Michaela, and I see a secret advantage right at her feet. That’s called attention to detail. I’m a police officer, but the normal person that drives down the road would not know if the car in front of them’s registration tags are expired or not… (raises hand) I would.</t>
  </si>
  <si>
    <t>S34 Sarah (5/11): Having this advantage opens up options for me. I can completely flip the game.</t>
  </si>
  <si>
    <t>S34 Sarah (6/11): In the past, these extra votes have not been played correctly. I will be the first one to play this vote correctly.</t>
  </si>
  <si>
    <t>S34 Sarah (7/11): I promised myself coming out here that I will not make the same mistakes I made the first time I played. What I did in Cagayan was look for the safest route I could go. I sat back, didn’t make a move, and let other people make the decisions. That didn’t work, it got me on the jury, and not even close to a shot at a million dollars.</t>
  </si>
  <si>
    <t>S34 Sarah (8/11): There’s small windows of opportunities in this game, and if you miss them, you’re not gonna win. However, this game is all about timing, and I’m not sure the time is right to make a big move, but I’m ready for it in the event that it is.</t>
  </si>
  <si>
    <t>S34 Sarah (9/11): The plan was made without even asking me, and I realized at that point, I’m not high in the pecking order in that sixsome. So it might be time for me to make my move.</t>
  </si>
  <si>
    <t>S34 Sarah (10/11): I had this plan to blindside the power group, and then Sierra proposes this idea that me, her and Debbie are a final three. And I was like, “Holy, crap, maybe I’m not on the bottom of the six at all.”</t>
  </si>
  <si>
    <t>S34 Sarah (11/11): I was thinking, I might want to sit in the final three with Debbie, but now she’s spreading lies about me. At this point, I don’t know what to do. If I can control Debbie, I could be in the top six, for sure, potentially in the final three. However, I swore to myself coming out here, I’m gonna make big moves. Whatever I do, it’s going to determine how far I go in this game. I’m gonna decide at Tribal.</t>
  </si>
  <si>
    <t>S34 Sarah (1/7): Tonight at Tribal Council, I was the deciding vote in which alliance was gonna get the majority of the numbers. You know, this is Survivor, and it’s Game Changers. Hopefully, if I make it to the end, the jury will reward the fact that I was a Game Changer enough to make this type of move.</t>
  </si>
  <si>
    <t>S34 Sarah (2/7): I’ve never been in a helicopter. Super stoked. I get a window seat. Fiji, it’s a dream come true. I mean, it’s insane how many islands and how beautiful they are. The helicopter lands, basically, red carpet rolled out. There’s a guy waiting with drinks for us.</t>
  </si>
  <si>
    <t>S34 Sarah (3/7): When Cirie presents the idea of getting rid of Zeke, I’m definitely not down for it, because I can trust Zeke, so I need to reassure her to keep him in this game as long as I can. I need to fill her in on what my secret advantage is. Typically in Survivor, you don’t want to show your cards, but sometimes it’s necessary to lock people in.</t>
  </si>
  <si>
    <t>S34 Sarah (4/7): I feel pretty good with Cirie. I think it completely calmed her and smoothed over the situation, but in the event that they want to flip the script, I could jump ship next vote and go back and work with Troyzan and Brad and Sierra and Tai, because I want to go with whatever side can get me further in the game. I find myself sitting in the middle, which again, works perfect for me. So I’m going to let the plans develop… and then I’m going to pick a side.</t>
  </si>
  <si>
    <t>S34 Sarah (5/7): I feel good with Zeke. We’ve been together since Day 1. And right now we’re staying with the girls, but at the end of the day, I don’t trust them, I trust Zeke.</t>
  </si>
  <si>
    <t>S34 Sarah (6/7): Just because Andrea’s got a little bit of power now, she’s talking about potentially taking out Zeke this vote. I’m definitely not down for it. I need Zeke for a few more votes, but I really need to keep my mouth shut, because if I start scrambling around to try to save Zeke, I’m going to get in hot water.</t>
  </si>
  <si>
    <t>S34 Sarah (7/7): Tonight is now about Sierra versus Zeke. This vote for our alliance is a huge decision, because right now it’s 6 to 4. We vote out one of our own, it’s 5 to 4. One person flips over, they’ve got the numbers. But at the same time, if I press the issue of keeping Zeke, they’re going to think I have an ulterior motive, they’re not going to trust me, and trust is everything in this game, so I don’t know what I’m going to do, but I have a feeling the deciding vote is going to come down to Michaela and me.</t>
  </si>
  <si>
    <t>S34 Sarah (1/3): Brad and Sierra need to be split up, and when Sierra told me about this advantage, it actually makes me want to keep her now because she’s given me information and she wants to work with me. So the door is opening for her to stay in this game and Brad’s game is over.</t>
  </si>
  <si>
    <t>S34 Sarah (2/3): So originally, I didn’t want to vote Sierra out, but Brad won immunity, and if Sierra goes, it is not all bad, because Sierra has told me about this Legacy Advantage and that she would will it to me if she leaves. Now the only trick is, I need to confirm that Sierra thinks I’m good with her to ensure that she gives it to me. I don’t want to vote her out, but this isn’t about making friends. This is about winning a million dollars.</t>
  </si>
  <si>
    <t>S34 Sarah (3/3): So now, according to Sierra, Tai and Michaela might be voting out Andrea, which is news to me. I need them to help me vote Sierra out, because I need that advantage.</t>
  </si>
  <si>
    <t>S34 Sarah (1/4): Last night at Tribal, taking out Sierra was good, because she told me about this Legacy Advantage. She said, in the event that she is voted out, she’s going to will it to me. So at Tribal Council, as her name comes up, I look at her in shock, like… (shocked face) “I can’t believe you’re going,” and, uh, it worked (shows Legacy Advantage to camera), and Sierra willed me her advantage.</t>
  </si>
  <si>
    <t>S34 Sarah (2/4): And now I have two advantages. The first one is a steal-a-vote, which amounts to two votes, and the second one is the Legacy. So this time, Game Changers, I’m shooting for the stars here, and if I had to pick, I want Andrea gone. I cannot stand the girl. However, it’s gotta be the right time.</t>
  </si>
  <si>
    <t>S34 Sarah (3/4): For whatever reason, Cirie wants to believe Aubry and everything that’s coming out of Aubry’s mouth.</t>
  </si>
  <si>
    <t>S34 Sarah (4/4): So I’m gonna give Cirie the advantage of steal-a-vote to hold on to. This way, if this doesn’t scream loyal, I don’t know what does.</t>
  </si>
  <si>
    <t>S34 Sarah: I deserve to be a Game Changer. I didn’t leave my son for 39 days to not win one million dollars.</t>
  </si>
  <si>
    <t>S34 Sarah (1/9): I felt betrayed by Cirie at Tribal Council playing my steal-a-vote. So I targeted Michaela because Michaela is Cirie’s right-hand man. But now, I don’t know who I can trust. Fortunately, I still have the Legacy Advantage, which can be played at six. So I know I’m safe.</t>
  </si>
  <si>
    <t>S34 Sarah (2/9): Given the drama that happened at the last Tribal Council, I’m not really sure where I stand with people, and this reward is what I needed. I’ve got to find out who’s willing to go to the end with me, and I’m gonna do whatever I have to do to solidify my spot.</t>
  </si>
  <si>
    <t>S34 Sarah (3/9): I’ve got the Legacy Advantage, and nobody knows about it. So I’m lucky that I’m safe tonight. But at this point, I have to go with people that are gonna take me to the end. I felt betrayed by Cirie at Tribal Council, and Tai, I clearly can’t trust him. So the only choice I have right now is to go with Brad and Troy.</t>
  </si>
  <si>
    <t>S34 Sarah (4/9): The story of my game this whole season is I’m always in the middle. So I’ve got a decision to make tonight. But first, I need to make sure that I can trust Tai.</t>
  </si>
  <si>
    <t>S34 Sarah (5/9): Tonight is huge. This could be a million dollar move. And sure enough, Tai is changing his mind again at the last minute. Tonight is actually the biggest vote of the game. It’s going to determine who will be in the final four. So Tai and I have to figure out which way to go.</t>
  </si>
  <si>
    <t>S34 Sarah (6/9): Brad and Troyzan have been tight the entire game, so, clearly, they’re going to make a move against me or Tai. So when he said, “Let’s vote for Troyzan, and force a tie,” which would come down to a fire-making challenge, I have to consider it, even though it scares the crap out of me. Brad’s pretty cocky right now and thinks he’s calling the shots. But I’m thinking, “Screw that.” If I can win a fire-making challenge, I can decide who’s going to the final three.</t>
  </si>
  <si>
    <t>S34 Sarah (7/9): Tai’s telling me that he can’t win, but he’s made moves and found three idols. So he has a résumé. However, Tai is so all over the place, he might have alienated the jury. And then there’s Troyzan, who hasn’t done anything without Brad’s permission this whole game. But at the same time, he hasn’t made anyone mad. And Sandra won twice by not making anyone mad.</t>
  </si>
  <si>
    <t>S34 Sarah (8/9): If I do this and win, I could rack up a ton of points with the jury, but I have to decide if this is a risk that I’m willing to take. It’s a coin flip, and I’ve got to pick heads or tails.</t>
  </si>
  <si>
    <t>S34 Sarah (9/9): Knowing that I am in the final three is the best feeling in the world. It’s what you dream of when Jeff says the word “Go!” on Day 1. I worked my butt off to get here. I made moves that other people were scared to make. I made moves that I was scared to make. And I’m very proud of how I played. As a police officer, I don’t respect being lied to. It makes me feel like you think that I’m stupid. But I’m the criminal tonight. And those people on the jury are the police officers. So if they’re asking for the truth, I’m going to give them the truth, because I reward honesty. I hope they reward my honesty tonight.</t>
  </si>
  <si>
    <t>S10 Tom (1/2): You know, it was funny. I mean, uh, everybody is just walking around in different directions. (chuckles) “Let's get the water. Let's build a shelter,” and, uh, you just gotta watch that. You know, I had a few people try to wrangle me into doing the fire, and I'm just like, “That's a loser job, man.”</t>
  </si>
  <si>
    <t>S10 Tom (2/2): We were so elated, the ride back in the canoe. It was-- we were just loving life, we couldn't wait to see the new beach, and all this to happen, and we're just crushed right now. We don't have the water. We don't have the flint to start a fire to boil the water and purify it. We lost everything we won today. We're in a worse scenario than we originally had.</t>
  </si>
  <si>
    <t>S10 Tom (1/1): We went at it at the absolute worse time, and the current was ripping like I've never seen the ocean tide rip. It was like almost, like being in a fast-moving river. We were paddling as fast as we could and just barely holding position.</t>
  </si>
  <si>
    <t>S10 Tom (1/5): It’s been raining a couple times a day. We have kind of a lame shelter, and we’re kind of limited to supplies here. We’re getting wet at night, and we need a better shelter.</t>
  </si>
  <si>
    <t>S10 Tom (2/5): We all took a walk down the beach and, uh, spotted a couple of banded, uh, sea snakes. They are very venomous, one of the most venomous snakes there is. We’re hungry, and it was a big motivation. The plan was to just pin it down, hold it down and then lop off its head.</t>
  </si>
  <si>
    <t>S10 Tom (3/5): So it was, uh, maybe a little foolhardy, a little sense of adventure, but, um… obviously I’ve, uh, hooked up with, uh, two other knuckleheads who, uh, take fun in the excitement of-of things like this. We kind of let the carcasses of the snakes hang out, but as soon as we hung them from the tree over the water, we also noticed that a young shark came swimming and kept making closer passes to it. We kind of got interested that maybe we could trade our snake with a shark. If I saw a shark at Jones Beach on Long Island, we would all be running out of the water. We see a shark fin go by here, everybody runs into the water with sticks in their hands. You know, the motivation is there; we have to get food in us.</t>
  </si>
  <si>
    <t>S10 Tom (4/5): It’s a game of survival as well as strategy, and the survival aspect of it is more real than I ever imagined, and also, the thought of having shark steaks on a frying pan is the motivation that takes you past the fear of a shark.</t>
  </si>
  <si>
    <t>S10 Tom (5/5): They would get to, uh, just out of reach of us. I-I took a lunge at one and missed, but they knew we were there, and would-would just probe so far, but no closer. Um, we had sharpened sticks, which I-I don’t think would really go through shark skin. We’re going to back off the, uh, the snakes and redouble our effort on the sharks, I think is our plan right now. We’re going to get a shark.</t>
  </si>
  <si>
    <t>S10 Tom (1/2): The barge boat came around the corner again. We could see The Home Depot, uh, sign on it, and there was a lot of, lot of joy in camp.</t>
  </si>
  <si>
    <t>S10 Tom (2/2): As if the shelter wasn’t enough, these wonderful people turned around and gave us a housewarming gift, and it was a, uh, crate with, uh, two bottles of iced-cold champagne in it. We don’t even know if it was the alcohol, but it was the most delicious thing you ever tasted and it felt great.</t>
  </si>
  <si>
    <t>S10 Tom (1/1): All last night was a tough night. I was a little grumpy this morning. You know, it comes from lack of sleep and you being the guy up tending the fire all night. To-to make matters worse, I had to climb over Willard sleeping in the hammock, uh, each time I had to get up and tend the fire. We made so many hints to Willard about, you know, we all have to help with the fire. Either he’s playing a game where he’s wearing me down by making me stay up all night, or, um, he’s just got the kind of attitude where, “Why should I do it if somebody else is gonna do it for me?”</t>
  </si>
  <si>
    <t>S10 Tom (1/2): You know what? It’s a different day. Eh, you know, we all got fed, everyone’s got a little energy, and everyone’s doing a project. Today is a day just to kind of do something to save ourselves some work down the road.</t>
  </si>
  <si>
    <t>S10 Tom (2/2): We had a, uh, a rainstorm that kicked in, but now the wind has picked up to a point. I mean, this-this feels like about a 40-mile-an-hour wind right now. It’s really gusting hard.</t>
  </si>
  <si>
    <t>S10 Tom (1/3): The cat’s out of the bag that I’m, uh, a strong player and I’m fit and I’m-- I’m not the old guy on the tribe. You can’t go back and, and now pretend that you’re less than you are or that you’re-- you know, don’t have capabilities. It’s kind of done.</t>
  </si>
  <si>
    <t>S10 Tom (2/3): It’s nerve-racking. I’m just sitting here like a cat on a hot tin roof. You just want to be a part of this thing, and, uh, you just want to help. There’s a lot on the line. There’s nothing you can do, but be an observer, and, uh, I don’t like the position. There’s a lot of apprehension from where I’m sitting.</t>
  </si>
  <si>
    <t>S10 Tom (3/3): I’m concerned with Gregg and Jenn because they are tight. You know, what is gonna happen when all of a sudden we have to tell Gregg or Jenn that the other one may be getting voted off that night? Uh, you’re bringing in a whole different volatile emotion that is separate from this game. So, uh, I’m-- I’m concerned. We’re all watching the relationship and seeing where the alliances lie. The little romance or whatever they’ve got blossoming, it just could be a monkey wrench that we don’t see coming.</t>
  </si>
  <si>
    <t>S10 Tom (1/3): The rats, they’re going crazy today. I don’t know if, uh, if we’ve gotten sloppy with food or we’re cutting the coconuts too close to the camp or… I just think it’s that the rats have got comfortable with us and realize that we’re not a threat to them.</t>
  </si>
  <si>
    <t>S10 Tom (2/3): Jenn was crestfallen that she wasn’t going to get in, and I had to assert myself, and it’s something I’ve been trying not to do. But there were people within the tribe who actually thought that the first fresh water that we’ve seen in 19 days should actually be used for shower purposes. It’s ridiculous.</t>
  </si>
  <si>
    <t>S10 Tom (3/3): Katie and Ian and I hooked up on Day 2, and said let’s see how far we can take this, and Stephenie also was part of that group. Except for myself, Ian and Katie, nobody even knows that there is a relationship that Stephenie would be the wolf in the sheep’s clothing that they wouldn’t even see coming.</t>
  </si>
  <si>
    <t>S10 Tom (1/5): Give a man a fish and you feed him for a day; uh, teach a man to fish and you feed him for the rest of our time here on “Rat Island,” so, uh… this is what we need, and we need to learn how to get these fish, how to get the bait and, uh, it looks like we’ve got the guides to do that now, so…</t>
  </si>
  <si>
    <t>S10 Tom (2/5): Joe said that he needed two people to stay and keep working on the bait. Coby jumped up immediately and said, “I’ll work on the bait,” which was fine, and then he started suggesting that Ian also stay and do the bait.</t>
  </si>
  <si>
    <t>S10 Tom (3/5): Ian’s been out there with the spear. We’ve been making fishing lines. We’ve been trying different things, and Ian didn’t belong back on the beach trying to catch bait, at this point. He belonged out there learning how to fish and I spoke up.</t>
  </si>
  <si>
    <t>S10 Tom (4/5): Ah, feeling good, you know. We’re just raring to get out there, get a couple of fish. Uh, it was a big party last night. Uh, a lot of fun. I’m missing a few gaps in it. Uh, 21 days without food. A couple of shots of rum. It was lights out for Tom, so, uh, today, I’m ready to go, you know. I’m first one up, trying to catch some bait and, uh, whatever Joe and Edwin could impart in one day and share with us, I think we got.</t>
  </si>
  <si>
    <t>S10 Tom (5/5): It was-- it was a touching thing to meet these Palauans, them impart their knowledge, which I imagine was passed down from their father and their grandfather before them. And they got to show a couple of greenhorns from New York and Ohio and Dallas and all over the place, how they do it here in Palau, and now we’re going to get to go out there and see-- and see if we can keep it going, so it is a good morning.</t>
  </si>
  <si>
    <t>S10 Tom (1/5): We’ve been in Palau, now, um, for weeks and weeks, and really have seen nothing but the wilderness of Palau. This was my opportunity to meet the people. To be respected by them and then to return that respect. It’s just another gift that I bring home.</t>
  </si>
  <si>
    <t>S10 Tom (2/5): We just came back from this feast, and Janu says, “Oh, I want to try just one more,” and reaches out and takes some of the food.</t>
  </si>
  <si>
    <t>S10 Tom (3/5): The big decision that we’re facing right now is who’s going home tonight?</t>
  </si>
  <si>
    <t>S10 Tom (4/5): From Day 2, Katie, Ian, myself and Stephenie had all decided that we’d try to run this as a final four, and we all agreed that should we get split into different tribes, every man for himself, but look out for each other when we do get back together. The problem with that right now is Jenn and Gregg, who have since joined Ian, Katie, and I, and have become five, are adamant that Stephenie goes home.</t>
  </si>
  <si>
    <t>S10 Tom (5/5): As things seem now within the tribe, Stephenie appears to be going home tonight. So, it’s-it’s not… where my heart is, but anything can happen.</t>
  </si>
  <si>
    <t>S10 Tom (1/7): There’s a reason why Stephenie has survived as long as she has. She’s got great instincts. I really see her as one of the supreme players. Now she’s looking for her way, though, to stay in the game, being the true Survivor that she has demonstrated herself to be, um… she’s going to start working on things and that’s a problem. Probably the safest thing for all is for Stephenie to leave. I think I’m in the same position where I’m gonna be the threat and they’re gonna come after me.</t>
  </si>
  <si>
    <t>S10 Tom (2/7): I said, “Listen, my game was revealed because I was playing real hard for the tribe.” I said, “Don’t hold it against me now and don’t make me pay for coming out so strong early.” And I’m just hoping that these people don’t hold it against me to that level that, uh, I’m finished.</t>
  </si>
  <si>
    <t>S10 Tom (3/7): A Tree Mail came in a little-- it looks like a purse or a, uh, a money folder, and we really think today might be the day where they give you x amount of money and we get to spend it on, mostly, food and drinks. So the fact that it says “mostly” to me means that there may be some other things. Right now I think I need a little, uh, food for the soul, and, uh, anything from home would-would-would serve that purpose.</t>
  </si>
  <si>
    <t>S10 Tom (4/7): I know that a lot of the tribe members are going to be like, “This may be our last chance to take him out. Let’s do it right now.” So I’m prepared for that. Um… my only protection is to keep the five tight, and I’ve also got to bring in Caryn as a confidante. If there’s a little trouble brewing for me, I want Caryn to think that I’m looking out for her interests, she’s looking out for mine.</t>
  </si>
  <si>
    <t>S10 Tom (5/7): So it was a good move on my part to be friends with Caryn. Um… what happens, happens at this point. You know, you just, you play your cards as best you can. If I don’t win the Immunity Challenge, um, I’ll be ready to see my name written a few times.</t>
  </si>
  <si>
    <t>S10 Tom (6/7): So Mother Nature throws this little curveball and, uh, you know, we’re gonna have a rainy day. So I think it would be very funny if the sun breaks out and you just see seven people scatter out of the tent in individual groups just going to explode with the things that are building up inside them while we’re stuck inside. Uh… it’s going to be a fun day.</t>
  </si>
  <si>
    <t>S10 Tom (7/7): Well, that was Caryn just letting me know that the girls are talking about eliminating some of the guys and, uh, that my name popped up. I’m still just a little wary of why Caryn’s giving me the information. You know, she’d be better off holding on to that information and just surprising me. Uh, it’s an interesting day here. I’ve got to get off, uh, with Ian, do a little, uh, planning there, too.</t>
  </si>
  <si>
    <t>S10 Tom (1/7): Stephenie was the one voted off. I thought that it could have been me last night. I wouldn’t blame them. If I was playing against me, I’d want me out of here, too, but they didn’t do it; it was a relief. They’re holding true to the five, and I would like to believe that it will continue to do that.</t>
  </si>
  <si>
    <t>S10 Tom (2/7): Caryn and I spoke on the way to Tree Mail. She’s more nervous than a long-tailed cat in a roomful of rocking chairs, at this point. She knows that she’s outside of an alliance of five, so she feels she’s next.</t>
  </si>
  <si>
    <t>S10 Tom (3/7): Caryn warned me that Katie was looking to get rid of me, but I still wasn’t willing to take her word over Katie’s at that point. Now, Ian says Katie, she’s now become the shady lady Katie, looking to dump us and go into the final with Gregg and Jenn.</t>
  </si>
  <si>
    <t>S10 Tom (4/7): The way the rules are, if there is a tie at Tribal Council, both members who were voted on, those two will become safe and it comes down to the rest of us, reaching in a bag, pulling out a colored stone. Whoever gets the purple stone is going home that night.</t>
  </si>
  <si>
    <t>S10 Tom (5/7): Today I think my worst fears were, uh, realized. Only three family members got to spend time with their loved ones, and the other three are left on the beach to, uh, hear the stories. This one cuts and twists, and, uh, it’s tough.</t>
  </si>
  <si>
    <t>S10 Tom (6/7): This might have been the last love fest in camp. Now it’s time to get control of the game again, and focus on the coming 6 days and what needs to be accomplished. It has been a good run, but it’s about to get a little rough. That little trip that they took may cost them big.</t>
  </si>
  <si>
    <t>S10 Tom (7/7): Ian won immunity for tonight. That darn gun, man, that is my Achilles heel. It’s very fortunate I became a fireman rather than a cop, because it would just be dangerous for everybody. We’ve got a plan in place. Ian and I are gonna pretend that there’s nothing going on, everything is fine. But the three of us -- myself, Ian and Caryn -- will vote for Gregg tonight, the other three will vote for Caryn, and then we’ll go to a draw and be forced to pick a stone. But it won’t be Ian who has to choose-- he won immunity. It’ll be me. So I’m very vulnerable, but it’s better to play it hard and go home tonight than to sit around here and just wait to be eliminated by their threesome.</t>
  </si>
  <si>
    <t>S10 Tom (1/5): There’s a possibility that after this Reward Challenge, Ian and I, we’re gonna get separated. If one of us gets to choose one other person, we can’t choose each other on this one. We’ve got to take one of the girls out of the mix, so that they’re not going to, uh, be able to throw it to each other.</t>
  </si>
  <si>
    <t>S10 Tom (2/5): We need to get back to our original alliance of Tom, Ian and Katie. I’m hoping that Ian can bring Katie around, because it really is our only play.</t>
  </si>
  <si>
    <t>S10 Tom (3/5): Caryn had two options: go with the girls, or go with us and trust the guys. And Ian just wavers and said, “Well, I can’t promise and I can’t do this,” and I just said, “Oh, my God.” He better be really tight with Katie.</t>
  </si>
  <si>
    <t>S10 Tom (4/5): At this point now, it-- it’s, uh, scrambling. You know, save your own neck, and, uh, you can take that alliance so far, and then everybody looks out for their own better interests and it’s usually that weakest person in the alliance who’s gonna flop to the other majority. Katie’s the weaker member, and she’s looking to better-deal us now. I don’t hold it against her for doing it, but that is the reality of this game.</t>
  </si>
  <si>
    <t>S10 Tom (5/5): I said this morning that immunity was about as important as it’s ever going to be for me today, and, uh, I pulled another one out of the hat. Just, uh, got lucky. There may still be a female alliance, and they may be taking out Ian tonight, and, uh, if he’s gone -- um, and I’ve done everything I can to keep him here -- then it’s an alliance of three against me, and any immunity I don’t win, I’m gone.</t>
  </si>
  <si>
    <t>S10 Tom (1/9): There have been no gimmes in this game -- you fight for what you get -- so to just get something today for nothing, just for making final four, it was just a, uh… like an “attaboy.” That’s what we call it in the firehouse. You know, you got an attaboy.</t>
  </si>
  <si>
    <t>S10 Tom (2/9): You know, it’s a treacherous game and you tell lies, or whatever you got to do to get ahead.</t>
  </si>
  <si>
    <t>S10 Tom (3/9): You know when the other guy is gonna stand by you, and he should know that you’ll stand by him. I’m taking a risk, but that’s my move.</t>
  </si>
  <si>
    <t>S10 Tom (4/9): I thought that it was an easy choice, and he told me, “Wow, I was glad I didn’t have to make it, that would’ve been a tough one,” and I thought we were rock solid, and when he said that, I was like, “Well, maybe he wouldn’t have chosen me.” Makes me think. Makes me think.</t>
  </si>
  <si>
    <t>S10 Tom (5/9): We came back to camp, and-and I’m thinking, “Wow, I just cast a vote against Ian and tried to get rid of him.” He’s still here. And then you’re saying to yourself, “I am right, aren’t I?” I mean, he did just try to submarine me. You know, it’s a personal grudge now.</t>
  </si>
  <si>
    <t>S10 Tom (6/9): Today is one of the, uh, the sweet moments of this game as you go to your final battle and acknowledge everybody who played with you, against you, sometimes for you, and, uh, give them a burial at sea.</t>
  </si>
  <si>
    <t>S10 Tom (7/9): Katie is so likable, and she’s such a character, that, you know, you just don’t know if people just say, “You know what? I’ve had enough of Tom and his Immunity Necklace. I’m going to give it to the one who was able to make it there just by riding with Tom.” To be here today as one of the final two is almost disconnecting. I’m, you know, really having trouble, um… processing it. It’s-it’s like, uh, I’m kind of numb to the whole thing right now. Final Tribal Council is tonight. We won’t be back to this beach. This is our last day here. And, uh, you know, it’s bittersweet. It’s-it’s… it’s been tough here, but it’s been the experience of a lifetime and, uh… I think we’re going to take this place apart with a little lump in our throat.</t>
  </si>
  <si>
    <t>S10 Tom (8/9): We’re going to get a good bonfire going, and, uh, it’ll be a celebratory bonfire, and the picnic table won’t be used by any other tribe, or family gathering. That’s, uh… it fed this tribe, this family, and, uh… it’s a great day to be here.</t>
  </si>
  <si>
    <t>S10 Tom (9/9): The jury tonight, um, no treachery or half-truths or-or sugarcoating things. Uh, whatever I did got me to where I am right now and, uh, so be it. Now it’s in their hands, not mine.</t>
  </si>
  <si>
    <t>S08 Amber (1/1): Just got our Tree Mail, our first Tree Mail, and it seems to be an Immunity Challenge, but we're hoping with an Immunity Challenge, we can win some fire, 'cause our tribe is, uh... we're hurtin' pretty bad.</t>
  </si>
  <si>
    <t>S08 Amber (1/1): In the beginning, the flirting with Boston Rob was complete strategy for me, and on the other end, I thought it was complete strategy for him, too. And I'll admit, when I saw him building that shelter, he was pretty hot building that shelter. (chuckles) He's good at doing what he does. It's getting much easier and easier to flirt with Boston Rob, for sure.</t>
  </si>
  <si>
    <t>S08 Amber (1/1): We have constructed a shelter that is pretty unbelievable. We used everything possible that we got from our reward. We put the parachute as a wall, we have the tarp on top.</t>
  </si>
  <si>
    <t>S08 Amber (1/1): Well, this morning we got some Tree Mail which involves building a raft. We got a bunch of bamboo, some rope and one paddle. The biggest part of the challenge is obviously building it.</t>
  </si>
  <si>
    <t>S08 Amber (1/4): As the day went on, she had more and more time to think about it, and when you're out here playing this game, your mind does crazy things, and so I think that just made the situation worse. I think if we were in another situation, not even playing Survivor, and that would have happened, it might not have been as big as a deal maybe as it turned out to be.</t>
  </si>
  <si>
    <t>S08 Amber (2/4): Rob and I came up with the idea to approach Rupert and Jenna, tell them that, you know, we think we're on the outs, we think we're in trouble. We'll save you if you save us.</t>
  </si>
  <si>
    <t>S08 Amber (3/4): It means a lot to lose a member of our tribe, especially the way that we had to lose Sue. But you can never count out Chapera for making a sad moment into a happy moment. We're the happy tribe, and somehow, we always find a way to laugh about it.</t>
  </si>
  <si>
    <t>S08 Amber (4/4): It definitely disappoints me that Sue couldn't keep it together. I mean, I can't help but wish that she was still here. We were up a member. But Survivor's true test is, if you're able to keep it together and keep each other happy, then you're good to go. Yeah, we've had bad days, we have our lows, but we have so many more highs. And that's what we concentrate on in this tribe. We don't even think about our lows for very long. We always think about the highs.</t>
  </si>
  <si>
    <t>S08 Amber (1/3): Some people grabbed plates. I didn't even grab a plate. I just started picking up the food left and right. Cheese and pickles and bread and... It was so great. We needed that.</t>
  </si>
  <si>
    <t>S08 Amber (2/3): The gorgeous waterfall right below us. It's just so crazy to think places that beautiful exist in the world and... that the fact that we're getting a chance to see them.</t>
  </si>
  <si>
    <t>S08 Amber (3/3): We had come to the end of a perfect day. So we went out onto the bow, and they brought us out champagne. And the sun was going down. It was just a perfect, perfect moment.</t>
  </si>
  <si>
    <t>S08 Amber (1/6): Every single one of us was scared to death. Not one of us wanted to go. We were so afraid that that person might have to stay over there. So we decided to pull straws, and Jenna ended up picking the smallest straw.</t>
  </si>
  <si>
    <t>S08 Amber (2/6): Kathy was chosen to come visit our tribe. What she had to do was make a list of three things... to take from our tribe.</t>
  </si>
  <si>
    <t>S08 Amber (3/6): Today is definitely one of the best days for me, and the fact that we're getting more rice, eating more, helped out great in the challenge, and it's just ended up being a really good day.</t>
  </si>
  <si>
    <t>S08 Amber (4/6): Definitely at first I was stringing him along. The flirting was a huge strategy in the beginning. Um, but then I got caught up in it, and feelings, you know, emerged.</t>
  </si>
  <si>
    <t>S08 Amber (5/6): It's crazy because coming into this game I never expected in a million years for ev-- for this to ever happen. And actually, I-I told myself that I wouldn't really let something like this happen, but... I love having the comfort level of it, and I love... I love that he, you know, keeps me warm at night, and he, you know, makes me feel safe out here. I can vent to him, complain to him about anything and he won't hold it against me.</t>
  </si>
  <si>
    <t>S08 Amber (6/6): You're not ever supposed to feel secure in this game, but with Rob and I, I feel 99.9% secure.</t>
  </si>
  <si>
    <t>S08 Amber (1/7): I definitely feel like I'm the one who got screwed in this whole situation. Oh. Gosh, I was so mad. When Jeff held up the new pot full of buffs, and we're all picking them out, one by one, really, the main thought that was going through my head was, "Let me just pull the same color that Rob pulls."</t>
  </si>
  <si>
    <t>S08 Amber (2/7): It's a little strange having everybody here. It's definitely not home without the people that belong here. It kind of sucks.</t>
  </si>
  <si>
    <t>S08 Amber (3/7): I had a feeling that the shampoo and the-- and the toothbrush and the things like that were going to be the first things they grabbed. And so things like that are hard.</t>
  </si>
  <si>
    <t>S08 Amber (4/7): They're already making theirselves at home, it's kind of weird, but something I'm going to have to get used to. This is the new home. This is the new Chapera.</t>
  </si>
  <si>
    <t>S08 Amber (5/7): This is probably the most important challenge yet to me, throughout the entire game, 'cause I really feel that by winning this challenge, I'm either keeping my life going in the game of Survivor or ending my life in the game of Survivor.</t>
  </si>
  <si>
    <t>S08 Amber (6/7): Well, we lost the Immunity Challenge, so now it's, uh, strategy. What am I going to do?</t>
  </si>
  <si>
    <t>S08 Amber (7/7): Right now, I'm just going to try to make a lot of deals and, uh, promise them a longer time in the game if they promise me a longer time in the game.</t>
  </si>
  <si>
    <t>S08 Amber (1/2): I was a little nervous because I made a deal with Lex and Kathy that they could come to the end with me, Big Tom and Rob, but I couldn't tell Rupert and Jenna that.</t>
  </si>
  <si>
    <t>S08 Amber (2/2): We've got our work cut out for us because we have so many deals going along with so many people. We have deals with Lex and Kathy. We have deals with Rupert and Jenna. We have a deal with Big Tom. Who the hell knows what's going on with Alicia? It's-it's insane. My mind is like freaking out right now.</t>
  </si>
  <si>
    <t>S08 Amber (1/1): Well, not only did Tribal suck, 'cause it always sucks, but it poured on us the entire time. I'm freezing cold. And especially for me, I had to suffer two votes. So... I'm just happy to still be here.</t>
  </si>
  <si>
    <t>S08 Amber (1/2): Alicia's very emotional, and when something upsets her, she becomes a huge grump around the camp. She's just being a big baby about it. People are observing it. People are getting annoyed with it. People will vote you out sooner because they don't want to live with it.</t>
  </si>
  <si>
    <t>S08 Amber (2/2): We really wanted to stay at the restaurant for as long as we possibly could, 'cause we just dreaded coming back here with all the bugs and the really long night. So, we told Rupert, "Keep drinking as much as you want. We're just going to lay here on the table and use these napkins as pillows and enjoy it."</t>
  </si>
  <si>
    <t>S08 Amber (1/1): Shii Ann is talking about getting out Jenna. I don't know necessarily if I'm going to, you know, 100% go along with it, but I'm going to entertain the idea, because this is the All-Star. It's, uh, hardcore. You've got to play this game, I think, more intense than you did before.</t>
  </si>
  <si>
    <t>S08 Amber (1/7): I was under the assumption that the game would be easier in the end because I knew we had our strategy set in the beginning and that we weren't really going to have to worry too much about it in the end, but I was completely wrong. Of course, I don't blame him he's worried, you know, if he is the target, he's the next one to go, but then I'm sure I'll be soon after, but it's out of our control right now.</t>
  </si>
  <si>
    <t>S08 Amber (2/7): I can't really complain about my first date with Rob. You know, I was thinking about after the game, you know, I wonder what we'll do, probably go out to dinner, you know, maybe go to the movies, maybe he'll bring me flowers, who knows? But on our first date, yeah, we did go to the movies, we did get some popcorn, and he gave me a car instead of flowers. Let's see, flowers, a car, flowers, a car? I'll take the car.</t>
  </si>
  <si>
    <t>S08 Amber (3/7): When you come back from Reward Challenges, you always feel guilty. So to come back from another Reward Challenge with a car, it was pretty rough.</t>
  </si>
  <si>
    <t>S08 Amber (4/7): I had the choice whether or not to tell people that I had won the car, but I felt that holding that back from them just wasn't me.</t>
  </si>
  <si>
    <t>S08 Amber (5/7): Big Tom is definitely scrambling. He knows that Rob and I are not 100% with him, and he knows that he's a swing vote right now. He knows that he could hop over with Rupert and Jenna right now and get rid of me if he wanted to.</t>
  </si>
  <si>
    <t>S08 Amber (6/7): There's no decision that could be made right now that I would feel 100% sure about. I hate being put in this position. It's a million dollar decision.</t>
  </si>
  <si>
    <t>S08 Amber (7/7): Tonight, Tribal Council is going to be the ugliest Tribal Council we've had yet.</t>
  </si>
  <si>
    <t>S08 Amber (1/11): Little did we know that we were gonna be woken up today by Jeff pulling up in a boat carrying a huge basket. I got a little nervous at first. I was thinking, “Maybe, oh, gosh, this is our challenge. What-what are we gonna have to do?”</t>
  </si>
  <si>
    <t>S08 Amber (2/11): Breakfast is my favorite meal of the day. So this meal is huge out here.</t>
  </si>
  <si>
    <t>S08 Amber (3/11): We knew it was gonna come down to a purple rock, so we gave her the option of voting out Rupert tonight.</t>
  </si>
  <si>
    <t>S08 Amber (4/11): Walking by all the torches made me feel proud to be standing where I was standing, but also a little guilty, knowing that I ended this game for a lot of those people. So, it was a little bit bittersweet. I'm feeling a little scared and nervous... and not really knowing what's ahead. At the end of the day, one of us is going to have immunity, and one of us will not be in the final two.</t>
  </si>
  <si>
    <t>S08 Amber (5/11): I feel 99% sure that I'm going to the final two with Rob. But I have seen him turn on people out here. I have seen him break his word to people out here. I just can't help but feel nervous.</t>
  </si>
  <si>
    <t>S08 Amber (6/11): To be able to spend 39 days now with a person who always makes you happy, always makes you feel completely safe in any situation... always makes you feel important and proud of yourself is just amazing.</t>
  </si>
  <si>
    <t>S08 Amber (7/11): I came into this game, and within the first couple of minutes Rob and I had formed an alliance. And over the first couple of days there was a lot of flirting going on, and it turned into something real. And now we have an amazing bond. And I'm so glad that that was my strategy in the beginning because look what I ended up with.</t>
  </si>
  <si>
    <t>S08 Amber (8/11): The game was over. I mean, what a huge relief. What a huge weight off your shoulders to know that now it's in the jury's hands. We're done voting people off. We're done strategizing. Now we can just sit back, relax and enjoy that last day. And I love that.</t>
  </si>
  <si>
    <t>S08 Amber (9/11): We're taking in every last moment. We're not really taking anything for granted. So going to one of our little favorite spots and just enjoying it one last time, and knowing that nobody else was around, it was just our island. Just a great, great feeling.</t>
  </si>
  <si>
    <t>S08 Amber (10/11): There is a very important night coming up. And there are a lot of anxious people who are really looking forward to grilling us. I hope I'm not forced into saying why they should pick me over Rob.</t>
  </si>
  <si>
    <t>S08 Amber (11/11): The way the day is ending with this rain and being miserable is, of course, bringing on the miserable feelings of going to Tribal Council. I think the vibe of the jury tonight is going to be pretty cold. You know, they came out here with their second chance, and the fact that they didn't get to finish it and we did... I don't think they're going to make this easy for us at all. I think the jury would love to see Rob and I squirm.</t>
  </si>
  <si>
    <t>S07 Sandra (1/9): He says, "The game starts, you're taking nothing." I was like, "Oh, (expletive censor)!"</t>
  </si>
  <si>
    <t>S07 Sandra (2/9): When we got to the village, I was lucky that I knew Spanish. And I was trying to bargain with the lady at the store and ask people for certain things.</t>
  </si>
  <si>
    <t>S07 Sandra (3/9): The lady at the store had it in for Trisha. Trisha thought the lady was laughing and giggling with her or whatever. But the lady actually, I think, you know, liked her in a sexual way. There's, uh, Trisha hugging the lady, laughing and giggling like it's all good. And I'm like, "Yo, we need to go."</t>
  </si>
  <si>
    <t>S07 Sandra (4/9): We went around the corner, and there was this lady having-- they were dancing. She was having a barbecue, and I says, "You know, I'll give you this gold chain for everything you have here." And she looked at my chain, she was like, "Yeah." I put the chain around her neck, and she was like, "What do you want?" I said, "I want all your chicken. I want your aluminum foil. I want your ketchup, your hot sauce, the barbecue sauce." She had a cutting board, a knife. Everything! The only thing we didn't take was the grill.</t>
  </si>
  <si>
    <t>S07 Sandra (5/9): We did very well in the village. You know, we-we managed to get a ton of stuff for the little bit of money we had.</t>
  </si>
  <si>
    <t>S07 Sandra (6/9): Burton opened up a coconut, and he shared the coconut milk with only Shawn and Michelle. I gave Christa the look and I said, "Did they offer you any coconut milk?" And she was like, "No, and I wanted some."</t>
  </si>
  <si>
    <t>S07 Sandra (7/9): I really can't stand him. He talks too much crap-- all night long, cursing. He thinks it's cute, but it isn't. It gets old. It's already old.</t>
  </si>
  <si>
    <t>S07 Sandra (8/9): Out of all the things that could happen, I never thought that this would be one of them, to just have whatever you had on and that was it.</t>
  </si>
  <si>
    <t>S07 Sandra (9/9): I wasn't impressed. I don't know what was going on with them. I wish their ding-a-lings got stuck on a vine or I don't know. That was just stupid.</t>
  </si>
  <si>
    <t>S07 Sandra (1/3): When I arrived at-at the Morgan tribe, I could not believe that they-they just didn't have anything. It's unbelievable. I don't know how they're getting through.</t>
  </si>
  <si>
    <t>S07 Sandra (2/3): And so I looked around and I went looking for the water jug. Well, they had no water jug. So I said, "Wait a minute."</t>
  </si>
  <si>
    <t>S07 Sandra (3/3): In order for me to get the tarp, I had to destroy their whole shelter, which I started feeling bad until they started running their mouths. I go to a grab a knife and the black girl's like, "No, no, no, no, no. You're not going to use our knife and you better not cut our rope." So I was like, "Okay. Regardless, I'm taking the tarp down."</t>
  </si>
  <si>
    <t>S07 Sandra (1/2): I said, "When we jumped off the boat the very first day, I had already landed on shore. He was still out there doggy paddling.” So, he's weaker than l am. But he gets mad. He doesn't want to seem like he's the weakest one out here, which he is.</t>
  </si>
  <si>
    <t>S07 Sandra (2/2): Screw Jon, 'cause he's an ass. Everything that comes out of his mouth is just ridiculous.</t>
  </si>
  <si>
    <t>S07 Sandra (1/2): I'm hoping there's candy and maybe some canned juice and peaches and pineapples in there, l don't know. Anything but rice-- if l see one more grain of rice, I'm gonna… (shakes head) l'Il be upset. I'm gonna go wild.</t>
  </si>
  <si>
    <t>S07 Sandra (2/2): So after trying and trying and trying to bring the chest up, they said, "Okay, the hell with it. Screw this. Let's pop the chest open." When they cleared away the lock, and finally it popped open and, oh, my God… a stench so awful. Smelled like death.</t>
  </si>
  <si>
    <t>S07 Sandra (1/2): I want Rupert back, 'cause I want to find out what all happened over there, what they talked about, um, if he gave out any pertinent information. Everybody's kind of, um, tripping. They don't know if Rupert went to the other side.</t>
  </si>
  <si>
    <t>S07 Sandra (2/2): I am so worried because I feel like it's my fault that we lost the Immunity Challenge. I just couldn't get the sardine down. And so, I feel when we go to Tribal Council tonight that, why shouldn't I be the one going home if this is all my fault?</t>
  </si>
  <si>
    <t>S07 Sandra (1/4): So, everybody starts taking the shelter apart and what happened? Shawn told Jon, "Well… l think this is all a waste of time. I don't think we should be wasting our energy doing all of this." Shawn kept looking for excuses why not to help and Jon's, like, had it up to here with him.</t>
  </si>
  <si>
    <t>S07 Sandra (2/4): I'm glad Jon put him in his place. And after that, what happened? Shawn practically put the whole shelter together. Maybe Shawn should get a clue that he's not anybody's buddy here. That he needs to get whatever has to happen done. He needs to make sure we win the challenge… or he's going home, and that's it.</t>
  </si>
  <si>
    <t>S07 Sandra (3/4): It felt good coming home with all that stuff. We tore it up. We cooked the lobster first. Then, came around to the steak. And l just picked it up off the grill and l just ate it off the fork. It was so delicious. It was the greatest steak I've ever had.</t>
  </si>
  <si>
    <t>S07 Sandra (4/4): Jon and Trish feel insecure about Rupert's power within the tribe, because Rupert is the man in charge here.</t>
  </si>
  <si>
    <t>S07 Sandra (1/3): On our way back from, uh, the Tree Mail, Jon mentioned, "Hey, you know what? We should open up a coconut." And, uh, Rupert, Christa, myself and Jon had said, "Okay, we want the coconut popcorn." Because once you fry the coconut, it tastes exactly like popcorn.</t>
  </si>
  <si>
    <t>S07 Sandra (2/3): They're always fighting. I'm glad it's not me. Let them duke it out. You know, let them kill each other, vote each other off. As long as it ain't Sandra, I'm happy.</t>
  </si>
  <si>
    <t>S07 Sandra (3/3): When I first saw the Outcast tribe, I was, like, “No way!” And then to see Burton as their leader-- he's so strong-- and everyone, I know, was probably full of anger and energy.</t>
  </si>
  <si>
    <t>S07 Sandra (1/3): The person I was most worried about coming back in the game was Burton. I was like, "Well, if he comes back to the Drake tribe, will he be pissed off at everybody? Is he gonna let bygones be bygones? What's his attitude going to be like?"</t>
  </si>
  <si>
    <t>S07 Sandra (2/3): And then the apologies started. "Burton we're so sorry we voted for you." That's what we wanted to hear, and you know what? We're glad he's here, because he's so strong. We're gonna go further.</t>
  </si>
  <si>
    <t>S07 Sandra (3/3): We rolled in, and there was a feast just waiting for us on a table. Ribs, bread, cheese, oranges, nuts, everything, the works… and we just tore down.</t>
  </si>
  <si>
    <t>S07 Sandra (1/1): Me and Christa definitely do feel vulnerable, because Burton and Rupert are the only ones that bring anything from in the ocean to us to eat-- fish, stingray, whatever.</t>
  </si>
  <si>
    <t>S07 Sandra (1/1): The vibe at the camp is that everybody's agreed upon Darrah going home. Maybe Burton figured out that there was a way between him and Jon to get together and outmaneuver us three. But I don't see it happening. I just can't see it happening, because all along they've said, "It's going to be the strong five and we'll separate from there."</t>
  </si>
  <si>
    <t>S07 Sandra (1/5): When we got back to camp, I kept thinking, "You know what? They're not coming and enjoy Rupert's fish. Screw that." So, I got up to camp first, and I grabbed the bucketful of fish, and it was so damn heavy, and I tripped on a vine, and I spilled all the fish. And I started arguing with Jon to the point where it saved me, because they never pointed the finger at me as to being the one dumping the fish. Now I'm in a bind. If I was to tell her, she'd run off to them, and there's no doubt in my mind that I got three days left.</t>
  </si>
  <si>
    <t>S07 Sandra (2/5): Me and Christa have been looking for ways to just put stuff in Tijuana's head, because right now we feel like Tijuana has the power to make a move either against us or with us. My only hope is for them to realize that they cannot trust Jon and Burton.</t>
  </si>
  <si>
    <t>S07 Sandra (3/5): And Tijuana just looked at us and just listened to the whole thing. And she didn't comment on anything. Burton and Jon decided to go off on a walk. And a lot of the times, I sneak up, just to hear what's going on. That's how I always have a working knowledge of what's going on, what's going to happen next. And this time, when I saw them getting ready to go, I went over to Tijuana and I said, "You gotta come with me now."</t>
  </si>
  <si>
    <t>S07 Sandra (4/5): The timing was perfect. It was better for her to hear with her own ears coming out of their mouths than for me to put things in her head and for her to have doubts. There's no doubts now.</t>
  </si>
  <si>
    <t>S07 Sandra (5/5): Jon comes out and says, "We want to fix things between you guys again. I want you to help me save Burton today in exchange for Tijuana." And we're like, "Well, we're listening, but you have done us wrong so many times before."</t>
  </si>
  <si>
    <t>S07 Sandra (1/5): Me and Christa, we've been tight since, like, day number two or three. But without Darrah right now, I can't move another step. I can't take another step without knowing where Darrah stands right now. She voted for Burton last night. She shouldn't have a problem voting for him either tomorrow or the next day.</t>
  </si>
  <si>
    <t>S07 Sandra (2/5): Burton has never been one to talk to me and Christa clearly about anything. But let it be known that if it wasn't for me and Christa, Burton would not be here today. You would think that that would count for something. And then here he is saying that he-he can't promise us third and fourth. That's a bunch of baloney. The first chance l get to send him home, he's going home.</t>
  </si>
  <si>
    <t>S07 Sandra (3/5): When Jon, Lill and Darrah returned from the reward, I was happy to see them, because l was glad the reward was over for them. I'm still jealous. But l wanted to hear everything. I want to hear everything from the beginning to the end.</t>
  </si>
  <si>
    <t>S07 Sandra (4/5): We want Burton gone, because he's the strongest one out here. Although he hasn't won these immunities, but that doesn't mean anything. Physically, he's stronger than we are, and to put it all on an equal playing field, we want all the females together till the end.</t>
  </si>
  <si>
    <t>S07 Sandra (5/5): Jon is a snake. Jon will never be anything other than a snake, but the fact is that Christa keeps telling me, "Sandra, l honestly believe him. He swore on his grandmother. Therefore, he can't be lying."</t>
  </si>
  <si>
    <t>S07 Sandra (1/6): Today is Day 34 and, um… I'm not feeling too good, because of the fact that now Christa's gone, and I know I'm vulnerable. I know my days are numbered. Jon, Burton, Lill and Darrah, they all deceived, so now I'm working on my revenge. My plan right now is to start on the two water cans. I'm going to hide those, I'm going to hide the nets, 'cause they haven't used them in a long time. I'm going to hide the pickaxe, all the knives, all the machetes. I mean, little by little, they just won't even see it coming. I'm going to hide the spear and all four masks. Therefore, they don't have a way to fish unless they're going to go out there with their bare hands. I know I'm going down, but they're going to feel it more than I am. Yes, they are.</t>
  </si>
  <si>
    <t>S07 Sandra (2/6): I have always said that they were both snakes and I have always said that they're good liars. So, everything that Lill was saying is stuff that I had already mentioned from before.</t>
  </si>
  <si>
    <t>S07 Sandra (3/6): Lill doesn't seem to understand. She keeps thinking that, regardless, she's done at three. And I tell her, "I'm not stronger than you, Lill. Have I ever showed you that I was stronger than you in all these competitions? You're not bad for 50 years old."</t>
  </si>
  <si>
    <t>S07 Sandra (4/6): I am totally psyched. I am very happy knowing that there's still a chance. The only problem now is that I had so many plans of sabotage that now I have to hold off, because I think it's in my best interest not to start commotion.</t>
  </si>
  <si>
    <t>S07 Sandra (5/6): When Burton and Jon come back, I'm going to do what I usually do whenever they betray me-- (chuckles) be the outcast until Jon comes to me and says, "Don't worry, Sandra. I swear, you won't be the next to go as long as you vote this person out." "Okay, Jon. If that'll save my skin again, then I shall do that." I can't worry about what Lill's going to do. If every minute I'm looking over my shoulder like, "What in the hell is Lill doing?," they're going to know something's up. That's usually Burton's job, to keep control of everybody and figure out where everyone's at-- who's with who, who's not with who, who's peeing, who's cooking. No. I'm going to lay there and, hopefully, try to take a nap and just relax.</t>
  </si>
  <si>
    <t>S07 Sandra (6/6): He was like, "Swear on your kids." And then he said, "Let me see your hands," 'cause he didn't want me, I guess, to have my fingers crossed. How dumb is that? So, I said, "I swear on my kids." And in my head, in mumbling under my breath, I was like, "I swear on my kids that I'm going to screw you and Burton."</t>
  </si>
  <si>
    <t>S07 Sandra (1/9): I got four letters from home: one from my husband, my two girls and my mom. So l started crying because you can't help but to cry. It really felt good at a time like this when you got so many other things on your mind, and you do worry about your family. And then, to get a letter and know that everything's okay, okay fine, then l don't have to worry about them anymore. Now, it's time to focus on the end of the game.</t>
  </si>
  <si>
    <t>S07 Sandra (2/9): We went to get water and Darrah was just talking about, "We need to get rid of Lill. I think it would be good to keep Jon," um, “because he would be perfect to go into the final two." So, now, she's thinking Jon. Fine. It could be Lill as long as it's not me. I come back, Darrah takes off. Now, Lill comes to me with her own strategy.</t>
  </si>
  <si>
    <t>S07 Sandra (3/9): As it stands now, if either Darrah or Lill wins immunity, then the other one goes. I really don't give a damn which one of the two goes, as long as it ain't me.</t>
  </si>
  <si>
    <t>S07 Sandra (4/9): The Tree Mail came and, uh, it said something about just head out to Tribal Council as usual. That your peers and your fate will be determined, l guess, by the "peers," meaning the jury. So, um, everyone's kind of freaking out.</t>
  </si>
  <si>
    <t>S07 Sandra (5/9): Tonight at Tribal Council, we knew where the vote had to go. Darrah had won immunity three times in a row and she was still the strongest one of all of us. So, um, we all decided that she would be the one going home tonight. So, now, it's down to Jon, Lill and myself.</t>
  </si>
  <si>
    <t>S07 Sandra (6/9): It was the first time we ever received Tree Mail at night and it mentioned having to go to Pirates Cove before sunrise. So that means we're going to be getting up early, early, early and heading off to a challenge. This is going to be very important because this-- it's the last Immunity Challenge. And it's going to decide what's going to happen at Tribal Council tomorrow.</t>
  </si>
  <si>
    <t>S07 Sandra (7/9): If she were smart, she'd keep Jon and vote me out tonight. I will be in damn shock if l'm not voted out tonight.</t>
  </si>
  <si>
    <t>S07 Sandra (8/9): I thought, before we even left the camp, that my fate was sealed, that l was third in line. In my head, l already had it planned. "Okay, grab the torch, step in the right place," 'cause every time somebody's surprised and in shock, they're all over the damn place.</t>
  </si>
  <si>
    <t>S07 Sandra (9/9): To this day, no one has ever put my name on a piece of parchment. They write it tonight, it's to give me the money. It'Il be for a good reason, not for a bad reason. And that was one of my goals. Lill is a good person. So, l don't know why she doesn't deserve it more than l do or why she does deserve it more than l do. I hope l win a million dollars tonight. I think l have a good chance. I think that what this will come down to is a three to four vote. It's going to be something real close.</t>
  </si>
  <si>
    <t>S35 Ben (1/2): Right now we’re looking at a core four, and that’s, uh, me, Alan, Ashley and JP. We’re all younger, we’re fit, and then we got the two moms, Chrissy and Katrina. We’ve labeled them the mom squad, and, uh, that’s just an easy target at this point. Winning is the most important thing right now for this tribe. When it comes down to it, we have each other’s backs.</t>
  </si>
  <si>
    <t>S35 Ben (2/2): If everyone would have just stuck to the plan and calm down and talked it out, we’d be fine. But here we are, Day 3, and we’ve all-- it just blown up. At Tribal Council tonight, there’s two ways Alan and I can go. We can go with the mom squad and go straight for Ashley, or we we can go with JP and Ashley and get Chrissy or Katrina out. I’m a little worried about Ashley and JP having something going on, but as a tribe, we have to stay strong, and the two older women are probably the weakest links in our tribe. Whether or not you go with strength or loyalty, in the long run it’s about Alan and I, who we trust more.</t>
  </si>
  <si>
    <t>S35 Ben (1/2): Man, this group is like old paint. It’s cracked and fractured everywhere. I’m not sure who I can trust. The core four is gone. The perception might be there in some people’s heads… not-- actually no, it’s not. It’s done. The whole thing’s shot. Now it’s every man for himself.</t>
  </si>
  <si>
    <t>S35 Ben (2/2): Alan and I were aligned from the get-go, but after he blew up at Tribal the other night, I just don’t know if I can work with him. Chrissy is a smart woman, and she has a good head on her shoulders. And that’s gonna help me get further in the game. At this point, Chrissy and I are in the driver’s seat, and whatever we decide to do is what’s gonna happen.</t>
  </si>
  <si>
    <t>S35 Ben (1/2): So 7 days into the Hero tribe, at this point, you could say that Chrissy and I are driving the train. But moving forward, Chrissy and I need to figure out who’s going to be the next target. Ashley is a good, hard worker and she’s fun, so the better choices are JP or Alan. Alan and I were aligned from Day 1, but Alan is a hot head and a loose cannon, and JP, he’s walking around here like he don’t know what’s going on. But JP would be good to have around camp because he does fish and everything. So, right now, Chrissy and I haven’t made any decisions.</t>
  </si>
  <si>
    <t>S35 Ben (2/2): Ashley is tossed into a power couple. Now whether or not that’s the truth, that’s the whole Alan thing, but I can’t fully trust Ashley at this point because she keeps pulling for JP to stay in the game, which makes me think JP and Ashley are actually still working together. And normally, as a power couple on Survivor, it don’t work out good.</t>
  </si>
  <si>
    <t>S35 Ben (1/2): Being split up from Chrissy, that’s a shot in the foot right there. Things were well oiled and greased and we were moving. So I’m gonna have to put some work in, and I’m not just gonna roll over and die, but my odds at this point are real low to move forward. I’m scared.</t>
  </si>
  <si>
    <t>S35 Ben (2/2): First initial impression of this tribe swap, there’s a little bit of comfort in our tribe knowing that we work well together and won that PB&amp;J. But three Healers, one Hustler, and a Hero, that’s a target pinned right on my tail. So I have to earn respect around here and gain trust to keep my butt in the game.</t>
  </si>
  <si>
    <t>S35 Ben (1/1): There was a bamboo explosion in the fire, and I don’t like loud noises like that, like when they’re unexpected. It kind of put me in a bad spot. I was in the Marines for three and half years. When you go through combat and you come back, there is no way to adjust fully. There’s things upstairs that are there forever. Coming back with that stuff, it’s hard, and you feel lonely, and you feel that nobody understands. Other people, civilians or whatever, have no idea what it’s like to, uh, to be shot or mortar-- have-have people try to kill you. You can’t comprehend that without being there and going through it. And so those reactions are 100% real for men and women that have fought for our country. And it’s hard to be around other people that don’t understand that. Before I met my wife, that was a monkey on my back. My wife and kids have definitely saved me from my demons, my nightmares, and the past. I used to live in the past. That’s not a good thing for anyone. You have to look forward to the future, because the past will eat you alive, but the future will save you. (tearfully) You know, winning the million for my family is-is my goal, but there’s a bigger picture, and it’s bigger than me, my family, the game of Survivor. It’s about just being able to show vets who have have gone through battle and war and depression and PTSD, there’s a way to life outside of all that hell… (nods head) and that’s what I’m doing.</t>
  </si>
  <si>
    <t>S35 Ben (1/2): Oh, Mikey… (laughs) that poor guy, he-he was determined, though. That man never gave up. Through hell or high water, Mike was cooking that fish, and eating it. I’m proud of him. He’s out of his element, and he’s doing good. You know, Mike caught a small fish and he shared that. Cole’s caught a decent-sized fish, and he ate it for himself-- a couple of times. I mean, that shows right there who you should work with in this game. Someone who is going to share and then think about others or someone who’s just going to think about himself. Cole’s showing his true colors… (nods) and they ain’t good.</t>
  </si>
  <si>
    <t>S35 Ben (2/2): It’s funny how things work in this game. When Cole fell over, he sealed his fate. I feel bad saying that, but it’s true. I think Lauren and Doc have the same agenda as I do, so if we do lose an Immunity Challenge, Jess’ boyfriend is gone.</t>
  </si>
  <si>
    <t>S35 Ben (1/7): If we go into a merge, guns-ablazing, five strong, we’ll do alright, but my biggest concern right now is Cole. Cole and Jess sit down there and play patty-cake all night long, and it’s just hard to trust that.</t>
  </si>
  <si>
    <t>S35 Ben (2/7): This is the greatest feeling ever, because you want to make it to the merge because then Survivor starts. That’s when you start finding your true alliance, but you gotta be on your game. And the merge is the first step in getting to that million dollars.</t>
  </si>
  <si>
    <t>S35 Ben (3/7): Before the tribe swap, Chrissy and I were pretty tight, but no one knows we were working together. And she’s wanting to talk in front of everyone, and that’s kind of concerning, because I don’t want us two to be considered a tight alliance. Now that we hit the merge, everybody’s starting from scratch. You gotta anticipate. There’s no teams now. It’s about me and my family, so moving forward, there’s not gonna be all this camaraderie. It’s gonna be blindsides, lies, and I’m sure someone is going to cry.</t>
  </si>
  <si>
    <t>S35 Ben (4/7): So right now, I’m listening to everyone, and I could go one way with the old Heroes and old Hustlers… or I can see if we could get that Yawa five working. The question is, can I trust Cole?</t>
  </si>
  <si>
    <t>S35 Ben (5/7): He’s selfish, and I don’t think Cole respects anyone here. He just respects himself. You need help to get to the end, period. But right now, I need someone that I can trust.</t>
  </si>
  <si>
    <t>S35 Ben (6/7): Cole came up and apologized to me, and I did my little, “Oh no, bud, we’re good. Yeah, you know?” And he’s offended me this whole time I’ve been at camp with him. But separating away from the old Yawa tribe and voting Cole could backfire on me later. I gotta be tactically and not emotionally. So, tactically speaking, if I have to work with Cole to get further in the game, then I will.</t>
  </si>
  <si>
    <t>S35 Ben (7/7): Chrissy, she trusts me, so tonight am I going to have to break that with Chrissy and vote her out, or break away from the Yawa Five and get a Healer out? I’m sitting in the middle, and having to choose a side, this is the worst thing you can do in a million dollar game. But one thing is for certain, tonight is going to be battle lines drawn, alliances aligned. You know, war is not a pretty thing, and it’s not going to be pretty tonight either, because we’re going to war tonight.</t>
  </si>
  <si>
    <t>S35 Ben (1/8): Lauren and I put a plan in play, and executed it, and got our target out. So, it was, uh, it was a good feeling. If I can keep the reins on this Hero-Hustler group and get us to a seven, I will, but I’m worried about the individual part, because an individual can mess this whole thing up.</t>
  </si>
  <si>
    <t>S35 Ben (2/8): Cole’s digging his own grave at this point. You don’t want your enemies to know you have the idol, and he blatantly went out there running and just started digging.</t>
  </si>
  <si>
    <t>S35 Ben (3/8): I don’t like Cole. He’s rubbed me the wrong way, and if Cole’s got the idol, everybody needs to know, because he’s one of the main targets. I don’t care, I’ll blow his game out.</t>
  </si>
  <si>
    <t>S35 Ben (4/8): Cole winning immunity changes everything, so the plan right now is to split the vote between Joe and Desi. Dude, and the fact that he’s already found and played two idols. Joe is a gamer, and the longer Joe stays in the game, the more chance he has to find another one. And Desi, she’s physically strong, she’s mentally strong and she can compete with the best of us.</t>
  </si>
  <si>
    <t>S35 Ben (5/8): Just like I thought, Joe is trying to put a target on my back. You know, I just really don’t like that guy.</t>
  </si>
  <si>
    <t>S35 Ben (6/8): Joe pushed the right button. I take what I did in the Marine Corps very serious. And I’m still dealing with it. There’s things that I have to live with every day, and, uh, thoughts that I have every single day, and for some putz like him to sit there and telling people that I swore on it, it pisses me off.</t>
  </si>
  <si>
    <t>S35 Ben (7/8): It’s a blessing and a curse that she found this, but right now I’m worried that Joe’s got another idol, so we have to split the vote. But to get the numbers, I’ve got to convince a Healer to come with us.</t>
  </si>
  <si>
    <t>S35 Ben (8/8): If this don’t work, I might be screwed. It’s a game of russian roulette. I’ve just put one round in the chamber, spun it, and hopefully the hammer doesn’t go down on me tonight.</t>
  </si>
  <si>
    <t>S35 Ben (1/5): Freakin’ Ryan has the idol, and I couldn’t be more ecstatic at this point because now I know Cole doesn’t have it. Information is key in this game and so all this trust getting put into me is going to help me later on in the game, too. But this proves that Ryan is out here to play and win a million dollars, so I’ll just have to keep an eye on that because right now this seven has to stick together.</t>
  </si>
  <si>
    <t>S35 Ben (2/5): I’m aligned with Lauren, but I am going to need to trust someone to come on board with Lauren and I to help us, because thinking more about the fact that Ryan has an idol, I realized that’s pretty dangerous.</t>
  </si>
  <si>
    <t>S35 Ben (3/5): I chose Devon because Devon’s just got a good soul. He really does. He’s got a good heart. I want him to trust me, and I want him on my side.</t>
  </si>
  <si>
    <t>S35 Ben (4/5): Old Lauren pulled it out and beat Cole, so couldn’t be happier. You know, it was very important that Cole did not win immunity today because Cole is the biggest Immunity Challenge threat here. We’re getting the main target out, our hard target, but there’s a big fear of a Hidden Immunity Idol, and that is why we can’t just place all our votes on one Healer, so we have to split the votes into a four and three.</t>
  </si>
  <si>
    <t>S35 Ben (5/5): I’m not trying to be a dictator here, but for my game, I don’t want Joe gone because everyone already can’t stand the guy. Unfortunately, some people, they’re playing with their heart and their morals. In Survivor, heart and morals don’t get you a million dollars.</t>
  </si>
  <si>
    <t>S35 Ben (1/6): It is impossible to live with Joe. I’m sick of being called King Arthur. I’m sick of, uh, trying to keep everyone in line and straight, but right now if I need to keep Joe, I’ll do it.</t>
  </si>
  <si>
    <t>S35 Ben (2/6): It was the start to a new day and what better way to start your day from hearing from your family? So sitting up there with my wife and my two kids, you know, I know it’s a letter, but you can hear her talking those words, you know? And Wyatt wrote me a letter, too, and… (chuckles) and his writing is getting better. And, uh, I love my wife. I love her to death. She changed my life. She saved my life. When you go through combat and you come back, a lot of people have a hard time doing it, and I owe her the world. She’s why I’m out here. I’m-I’m here to play the game. My family just gave me the gas and the fuel I needed to play this game.</t>
  </si>
  <si>
    <t>S35 Ben (3/6): Out of nowhere, I see this “X” and it says, “Dig.” At first I think that there’s an idol underneath that rock. But there wasn’t. It’s a map of our island, and it’s a clue to where this Hidden Immunity Idol is sitting. It says, “Look for a clay pot.” Oh, man, I’ve been looking since Day 1 to find these darn idols. Man, I lost it. You know, no way! And now the marine in me, when there is a mission or a task to be done, it-- it’s go time. Right now I have a map. I have an objective, and I’m going to go get the job done. My mission now is to get to this idol. You know, I’m sweeping the area like I would clearing a room. You have to keep a keen eye out for something that looks out of place. And I have to find this, but you have to keep a calm and cool head, think quickly, but think clearly.</t>
  </si>
  <si>
    <t>S35 Ben (4/6): I found an idol on Survivor. I’ve never been more happy in my entire life to wear a darn necklace of shells, you know? At this point the seven blowing up and my name has been thrown around. I’m being called King Arthur. So I need the idol, and I ain’t telling no one about it, ‘cause nobody around here can keep a darn secret. This gets me one step closer to a million, and I believe that my wife helped me find this idol. So thank you, honey. This one’s for you, and this one is from you.</t>
  </si>
  <si>
    <t>S35 Ben (5/6): My mission now is to stay on the inside of JP, Chrissy and Ryan, and infiltrate when we get back from Tribal.</t>
  </si>
  <si>
    <t>S35 Ben (6/6): Tribal Council is going to be fun to watch, ‘cause we’re going to pull the rug out from underneath them. So I got to get my acting shoes on… (chuckles) and they need to get Mike and Joe.</t>
  </si>
  <si>
    <t>S35 Ben (1/5): Mike and Joe are pretty much in the dark of me working with Ashley, Devon and Lauren, but Joe is walking around like it was his damn idea, you know, to blindside JP. He did what a good little puppet would do. You know, you pull the strings, you make sure you write JP, and he did. I should get an award for, uh, the performance I put out after I got back to camp. I’m doing my best double agent, whatever you want to call it. I’m playing the role of being on the outs with Chrissy and Ryan to gather intel when I know that I have my alliance of four in Lauren, Devon, Ashley and myself.</t>
  </si>
  <si>
    <t>S35 Ben (2/5): It’d be nice to kick back and relax with Devon and Ashley, but I’m still playing my part as being on the outs, but that stuff is kind of fun for me right now just ‘cause I’m messing with Joe and he don’t even know it. Anytime I can mess with Joe, I’ll take it.</t>
  </si>
  <si>
    <t>S35 Ben (3/5): After the challenge, even with Chrissy winning, there’s three other people to pick and send home, so no harm no foul. Now we just need to get to gettin’ and figure out who is voted out next.</t>
  </si>
  <si>
    <t>S35 Ben (4/5): This whole act that I’m putting on out here, it is a little exhausting, but it’s for a good cause to this point. So I just need to get through one more Tribal and play the “Poor me, why me, oh, me” card.</t>
  </si>
  <si>
    <t>S35 Ben (5/5): I still have an idol, but I don’t feel I need to play it. And for tonight to actually happen the way it’s supposed to happen, put a sucker in my hand and a balloon in the other, and I’ll be sitting there like a little kid in a candy store just watching Joe get his torch snuffed.</t>
  </si>
  <si>
    <t>S35 Ben (1/4): Ryan played an idol at Tribal. Traditionally, once an idol is played, one comes back into the game. With that one coming back into the game, we need to find it. So I decided to make a fake idol and I’m going to plant that somewhere while I’m looking for the real idol. If Chrissy, Mike or Ryan find this fake idol, they’ll stop looking, and that will give us more time to look for the real one.</t>
  </si>
  <si>
    <t>S35 Ben (2/4): I came up on the well and I see Devon, Ashley, and Lauren kinda talking under their breath. I heard my name, and then they seen me coming and they stopped talking. The whole thing was really suspicious.</t>
  </si>
  <si>
    <t>S35 Ben (3/4): Something is definitely going on around here. They’re saying it’s Chrissy, but I feel like there is a chance that it’s going to be me. So I got to do whatever I have to do to keep myself in this game.</t>
  </si>
  <si>
    <t>S35 Ben (4/4): I was trying to talk to Chrissy, and she just blew me off. She’s holding a grudge in this game, and taking it too personal. Half of we was like, “Screw it, I have an idol.” On the other hand, I’d rather save it for the five, and to do that, I’m gonna need Chrissy.</t>
  </si>
  <si>
    <t>S35 Ben (1/12): I am so excited. I can’t believe that just happened. You know, the only way I felt I could keep me in the game is to turn everyone on me and paint a target on myself and then use the idol and get Lauren out. Seeing six votes for yourself, and then, you know, you pulling off the only, you know, vote and getting to choose solely on who gets to… (chuckles) go home, I mean, that’s a good feeling.</t>
  </si>
  <si>
    <t>S35 Ben (2/12): I got Devon who is calling me out, and everybody is painting me the bad guy, and, uh, you know, I have no alliances anymore. So I got a long, hard road ahead of me now.</t>
  </si>
  <si>
    <t>S35 Ben (3/12): Traditionally in Survivor, once an idol is played, it gets introduced back into the game. So I get up this morning, and-and the fire is not going, and so I make a fire and kind of look around, and everybody is still sleeping. There’s not much wood, so I’m going to start looking for an idol while I… (air quotes) “gather wood,” you know? Idols are not easy to find at all. These forests and these jungles and these islands are huge, but the last time I found one there was a rock that said dig on it. So I’m looking for something like that. I’m looking in trees, looking at rocks. I’m looking on the ground. I’m looking everywhere.</t>
  </si>
  <si>
    <t>S35 Ben (4/12): My time is dwindling here, and I know that, and I accept that fate. So I need to find an idol or win immunity to keep me in the game, because I ain’t going to quit until I’m out.</t>
  </si>
  <si>
    <t>S35 Ben (5/12): I wanted to go on this reward to look for a clue to a Hidden Immunity Idol, but Ashley is all hangry, which perfect for me. That’s going to be the only way I can start stirring stuff up.</t>
  </si>
  <si>
    <t>S35 Ben (6/12): These two are walking around like a bunch of crying babies. You know, they’re hungry and tired and am I going to try to use that to my advantage? Well, yeah, I mean, that’s the only thing I got at this point.</t>
  </si>
  <si>
    <t>S35 Ben (7/12): Mike wants me gone. So, uh, he’s going to be my next target. You know, I’m hoping I’m going to be able to work with Ash, but I got a lot of work to do to keep my butt in this game.</t>
  </si>
  <si>
    <t>S35 Ben (8/12): I don’t get far with Ashley. Trying to patch everything over with her is like talking to a brick wall. So I’m going to keep looking and trying to find this dang idol.</t>
  </si>
  <si>
    <t>S35 Ben (9/12): Damn, friggin’ puzzles. This one hurts. This one hurts big time. I needed that one, because considering how last Tribal went, I’m 100% sure everyone is targeting me tonight. But being a marine, you never give up. So I’ma go look around this darn island for another idol. Those people are crazy for not following me.</t>
  </si>
  <si>
    <t>S35 Ben (10/12): Looking around, I peek around a tree, and I see a purple box with a black arrow pointed down.</t>
  </si>
  <si>
    <t>S35 Ben (11/12): No way! No way! I found it! I found the dang clue. I got the map to the idol. On it is a picture of our bed. It has an “X” on the bed, so I’m pretty nervous, ‘cause it’s in plain sight of everybody. I’m hoping that nobody back at camp. I get back to camp and Ryan, Devon and Mike was at the fire. I don’t know how I’m going to pull this off.</t>
  </si>
  <si>
    <t>S35 Ben (12/12): If I start digging around the base of the bed and pull out a purple thing, everyone is going to know what that is. Time is running out. I can’t see nothing. Everybody on this camp wants me gone, but if I can find the idol, I can blow up this whole game, so I’m not going anywhere until I get that idol.</t>
  </si>
  <si>
    <t>S35 Ben: I’m not going to give up. I’m going to keep trying. And I’m going to go look around this island for another idol, and if I can’t find it, I’m going to do my best to win immunity.</t>
  </si>
  <si>
    <t>S35 Ben (1/12): I’m vulnerable. You know, I have no protection now. I have no alliance. And I know they’re gunning for me. The only thing that could blow up their game is if I find another idol. It is absolutely crazy. Nobody’s followed me. They’re feeling too comfortable. I don’t know why ‘cause them idols can be played till five, and so as long as my heart is beating, I’m looking for an idol. Everybody’s sleeping. Everybody’s zonked out, cozy with their blankets and pillows, and I’m out here for my family. So there ain’t no time for sleeping or rest. This is more than a game for me. You know, this is a mission. This is a job.</t>
  </si>
  <si>
    <t>S35 Ben (2/12): I’m so exhausted. I’m trying to hold my eyes open, and I just can’t. I looked everywhere and I can’t find this thing. You know, I feel like I’m letting my wife down. But I know she’ll be proud of me for how hard I tried. I’m not just going to roll over and die, but my back is up against the wall.</t>
  </si>
  <si>
    <t>S35 Ben (3/12): I was about to get some sleep, and literally, right there behind me, is the “DIG” mark on the gosh darn raft that I’ve been looking for, forever. I can’t believe this. I cannot believe this. (chuckles) Number three, baby. This idol guarantees me a spot in the final four and, you know, Ryan, Devon, Chrissy and Mike think they have control of the game, but, uh, I’ll be dropping a big old Ben bomb at the end of Tribal. You think I’m going home? Watch this.</t>
  </si>
  <si>
    <t>S35 Ben (4/12): I’m not stupid. Chrissy’s trying to finagle her way in, if I win individual immunity. And it ain’t going to work at all.</t>
  </si>
  <si>
    <t>S35 Ben (5/12): I’ll give it to the lady, props to her. At least she’s trying. But you’re barking up the wrong tree there, sister. Chrissy is my biggest competitor. She’s building a résumé at this point. She could win the million dollars. I don’t want her in the game no longer, so I’m going to play my idol and blindside her. That woman’s gone. Period. She gone!</t>
  </si>
  <si>
    <t>S35 Ben (6/12): Chrissy’s unbeatable. I’m bummed that she won because, you know, I was gunning for her. So I just need to figure out the best way to use this idol and make a decision on who’s going to be my next target.</t>
  </si>
  <si>
    <t>S35 Ben (7/12): Are you kidding me?! There ain’t no way it’s a real idol because I got the one in my boot.</t>
  </si>
  <si>
    <t>S35 Ben (8/12): Now I don’t even have to fake look for idols no more. She just made my job easier. I’m one step ahead of ‘em through this whole darn game. These four think they’re so smart, but it’s like a bunch of blind mice just running around bumping into stuff. I think they do underestimate me, you know, and it’s hilarious for me, but one of them’s still going home. I mean, at this point I kind of got my hand on everyone’s fate. Tonight, it comes down to who I can beat in the challenge tomorrow. Ryan is safe because as far as challenges goes, that boy ain’t done nothing. So it’s between Mike and Devon. So physically, Devon is the strongest competitor. But Doc, he’s good at challenges and he’s good at solving puzzles-- not fast, but he’s good. So this decision is huge.</t>
  </si>
  <si>
    <t>S35 Ben (9/12): Tribal Council was amazing. But, you know, this is where it gets tricky. Um, I have no more Ben Bombs to drop in on Tribal. There ain’t no more idols in the game. So the final Immunity Challenge is by far the biggest moment of my life, and I have to win it because ain’t none of them going take me to the end. The only way I’m getting to the end is if I take myself. I have no protection now. I have no alliance. But I do have my wife and my kids. That’s what I’m thinking about, and that’s my driving force. So it’s go time. I’m going to give it everything I got.</t>
  </si>
  <si>
    <t>S35 Ben (10/12): That final Immunity Challenge was a butt-kicker, man. I was so close so many times. I knew I had to win immunity to stay in this game. And it just hurts that a silly mistake is going to cost my dream and my family’s dream. A million dollars was at stake today, my kid’s college, retirement. I just let it slip away. And that-- that hurt. That hurt.</t>
  </si>
  <si>
    <t>S35 Ben (11/12): I’m pretty much the only target on the board at this point. But until Jeff snuffs my torch, there might be options.</t>
  </si>
  <si>
    <t>S35 Ben (12/12): You know, I’ve never let off the gas. I’ve been full throttle 100% from Day 1. This game and I are like two peas in a pod, you know? Being in the Marines, I’ve been through a lot of battles in life, and tonight is going to be a battle, because Ryan is a good talker and Chrissy won four Immunity Challenges. I have to go in humble, but confident. My game’s been about providing for my family more than anything else, and at the end of the day, I need to bring a paycheck home to my wife and my two kids. I’ve never had a million dollar night, and I probably never will again. This is the biggest night of my life.</t>
  </si>
  <si>
    <t>S40 Tony (1/6): I have a big reputation in Survivor, but seeing my competitors, I’m like, “Oh, man!” Fans of football, they wait all year to see the Super Bowl at the end. Fans of Survivor have been waiting 20 years to see Winners at War.</t>
  </si>
  <si>
    <t>S40 Tony (2/6): I desperately want the Immunity Idol, especially for a season like this and oh, my God, it took everything out of me not to just (darting sound) and just take off running and look for an idol. I seen what happened to me in Game Changers. My first 30 seconds, I ran around the whole island three times.</t>
  </si>
  <si>
    <t>S40 Tony (3/6): But right now, I don’t wanna put a target on my back by showing them that I'm back to the old Tony Vlachos’ antics. So I want everybody to get nice and comfortable with me, ‘cause their guards are here right now and they're slowly coming down as they see Tony around the camp all day, all night. It’s coming down like this, and when it gets down to here… (throws punch) bang! that's where the sucker punch comes in.</t>
  </si>
  <si>
    <t>S40 Tony (4/6): Tyson wants to vote me out. Oh, come on, man, really?! Alright, let’s go! You know, they see me calm and cool and laid down and relaxed, but when I know it’s game on, I go straight to ten.</t>
  </si>
  <si>
    <t>S40 Tony (5/6): Tyson is very powerful and he’s dangerous. Um, he’s a very funny guy. Uh, people love him.</t>
  </si>
  <si>
    <t>S40 Tony (6/6): We gotta break up the poker alliance-- Tyson, Amber, Kim, and I want to get Tyson out of the game. Amber is not running around doing anything, plus you leave the biggest targets, husband and wife, in the game still as big shields. So Tyson goes home.</t>
  </si>
  <si>
    <t>S40 Tony (1/2): Taking on projects is fun. It keeps my mind occupied. ‘Cause if I don't occupy my mind, I’m gonna start doing crazy things, like searching for idols in front of everybody and just get myself in trouble. So I say, “You know what? Let me just build a ladder.” We’ll climb up and simply pick the papayas off the tree, simply walk down the ladder, simply go to camp, chop it up and simply eat it. Simple as that.</t>
  </si>
  <si>
    <t>S40 Tony (2/2): The first time, in Cagayan, it didn’t work out so well for Sarah. It worked out great for me, the Cops-R-Us alliance, which just included me, because, um, Sarah was voted off. But this time around, I’m gonna make it up to her if she gives me that trust.</t>
  </si>
  <si>
    <t>S40 Tony (1/3): I said, “Oh, hey, let me jump in. Let me be the hero. Let me grab the shark.” So I grab the shark, just pick it up. As soon as I picked it up, it went… (shouts)</t>
  </si>
  <si>
    <t>S40 Tony (2/3): So many thoughts went through my mind in, like, a millisecond. The first reaction was to let it go. So it would’ve fell back in the water and it would escape. There-- I-I would’ve-- I would’ve just said, “Guys, let me just swim to the Edge, because you don’t need to vote me off tonight. I know who’s going.” Oh, man, what a cluster that was.</t>
  </si>
  <si>
    <t>S40 Tony (3/3): Officer Sarah comes up to me and says, “Tony, I need you to be a good partner today, and I need backup.” And we went into stealth mode at that point. I told her I was gonna get a coconut, fill it up with ashes, so, before she goes on her mission, I’m gonna cover her skin so she can be camouflaged. So, as I put this charcoal on her forehead, it’s, like, dusty and it’s not really sticking. So she tells me, “Spit on it.” So I’m like spitting in the charcoal, making it nice and wet. And then she had to spit in it too ‘cause it wasn’t enough. So, at the end of the day, we did it.</t>
  </si>
  <si>
    <t>S40 Tony (1/1): So far, it’s been real smooth for me, and that’s why I’m in a tricky situation right now. If it was up to me, I would rather get rid of Nick, ‘cause Nick is really not a threat. He’s my number, but he’s not a shield. Tyson is a shield, and he can be a number. Tyson is more of a target than I am. I’m just hiding behind him. And-and I don’t want to lose him. I don’t want to lose him.</t>
  </si>
  <si>
    <t>S40 Tony (1/1): The biggest fear of a swap is exactly what happened to Denise and Jeremy. They’re on the bottom of the numbers. But we have to be very careful, because there’s gonna be hyenas in this game, there’s gonna be the lions in this game. If the lions go against one another, the hyenas are gonna come in and just clean up shop, and I don’t want to get eaten by a hyena. And when there’s five people, there’s always one in the middle, and right now, in this tribe, I believe it’s Kim in the middle. I’m gonna try my best to try to convince her-- in order for our game to move forward, we have to stick together.</t>
  </si>
  <si>
    <t>S40 Tony (1/2): Our tribe only has five people right now. I’m in the majority of the numbers, but the worry right now for me is that I don’t know if Sandra’s gonna flip on me. I don’t know if Kim might flip on me. Jeremy and Denise might have an idol. Who are they gonna use it on? I need that information, and there’s only one way to get that information; that’s a spy bunker.</t>
  </si>
  <si>
    <t>S40 Tony (2/2): I decide to pop out of my bunker. Sure enough, my timing couldn’t be more off.</t>
  </si>
  <si>
    <t>S40 Tony (1/1): Today, I feel like I’m in a good position right now, even without Sandra, who I’ve been close with, because right now we have two Seles, two old Dakals. I-I’m close with Kim, I’m hoping I’m getting close with Jeremy. So I think we formed a nice bond between the three of us, and I’m just so grateful that Denise pretty much did me a favor by making a flashy move at Tribal, and she took out the queen. She dethroned the queen! She used two idols! So-so that makes her a big target, and that’s good news for me, because I need protection in front of me-- I need shields in front of me. So, Denise, in my book, she’s (gives two thumbs up)... A-OK.</t>
  </si>
  <si>
    <t>S40 Tony (1/3): So we come into the merge tribe, and I see the new menu, and prices have gone up. I can’t buy anything. I’m looking at the menu-- three tokens, two tokens. I got one. I can’t do nothing. I’m just like a little poor kid going into the bodega, and I don’t have enough money to buy a little bubble gum. But, thankfully, the feast doesn’t cost you anything, and I’m very grateful for that. I love it.</t>
  </si>
  <si>
    <t>S40 Tony (2/3): That’s music to my ears, because this is exactly what I wanted. People like Wendell, Nick, Adam and Michele-- they’re good players, but they’re lower profile. They’re not in the spotlight. There’s no target on these people. So now’s the time for me to try to get rid of all of them.</t>
  </si>
  <si>
    <t>S40 Tony (3/3): I want to keep the higher profile threats, us lions, in the game. And Nick is a player that is that hyena that I talked about. He just stays on the outskirts. He just waits for the lions to go at it, and that’s when he comes in to see what he can get. He’s like a scavenger.</t>
  </si>
  <si>
    <t>S40 Tony (1/2): Wow. Sarah got caught up in the moment, and that one moment on Survivor is what costs you the game sometimes, when you can’t get out of that emotional, realistic, humane moment to be that barbaric survivor that you need to be.</t>
  </si>
  <si>
    <t>S40 Tony (2/2): My big concern from Day 1 was that the lower-profile players, as I would call the hyenas of the game, will all start coming after the higher-profile players and pick us off one by one. So right now I want to try to get rid of the hyenas because they’re gonna wait for the lions to go at it, and then they’re gonna come in and clean up shop.</t>
  </si>
  <si>
    <t>S40 Tony (1/2): This is the first time in three seasons I get to wear the bulletproof vest right here (holds Immunity Necklace to camera). I have it. To win it on a game that requires patience, that’s not my style of game. Slow and steady is not what I’m made of. I’m made out of fast and sloppy. I am so happy. This is more powerful than any Hidden Immunity Idol. And when you have the power, people come to you.</t>
  </si>
  <si>
    <t>S40 Tony (2/2): There’s something fishy about Jeremy. He’s sneaky. I don’t trust him. Every time we tell him something, he wants to go against the grain. He would even vote Sarah out if he could, so he’s gotta go.</t>
  </si>
  <si>
    <t>S40 Tony (1/16): The beginning of the season, I couldn’t go and look for idols. I didn’t want to put a target on my back by leaving camp at all, so I stayed in camp all the time. I was drooling. I wanted to go look, but I couldn’t do it, ‘cause it would jeopardize my game. And look what happened: I’m still in the game, I made the merge. Everything’s working out wonderfully, because I’ve been patient and I haven’t been causing any paranoia at camp by looking for idols. Everybody’s always tired after Tribal. They’re exhausted. They sleep like logs. So now I’m at a point where I’m saying, “You know what? Now’s my time to go out and go to work.” Historically, on Survivor, when you play an idol at Tribal, it goes right back into the game. That means the idol’s back out there now. So, first thing in the morning, I went to the area where I knew I wanted to target first and I said to myself, “This is where I’m gonna look before anybody else gets up to look.”</t>
  </si>
  <si>
    <t>S40 Tony (2/16): And then, while I’m looking, Nick shows up. And he’s cramping my style. I’m like, “This is my area, man. I want you out of here.” I already looked at the water well area. So I said, “Nick, go to the well. Let’s split up. It’s a perfect strategy. You search the well first. I’ll search this area first before anybody else does.” So he says, “Good idea,” and he goes off. And I was so happy, so delighted that he did that. So I continue my search. I went right to work. I was looking, looking, looking, looking, looking, looking, looking, scratching, scratching, looking up, going in the hole, looking looking, looking.</t>
  </si>
  <si>
    <t>S40 Tony (3/16): I picked up a rock behind a big root, and there was a little package. I grabbed that little package, and I ran full force into the jungle to a nice spot where I knew I was safe to look at it. I open it up. I peel it open. And then, sure enough, it’s a idol. I am so excited. I really didn’t think I was gonna find an idol this season because of the way I was playing. But say hello to my little friend (shows HII). This is season 40. These are all veterans, so you gotta, you gotta think of everything. And I woke up early in the morning. I made sure I was the first one looking. That’s somebody that knows how to play the game Survivor. So now I got the real deal. (kisses HII) I love it so much.</t>
  </si>
  <si>
    <t>S40 Tony (4/16): Sarah wanted to put on a fashion show, but I want to do damage, man. I want to play the game. Jeremy was my target at the last Tribal. Jeremy’s very likable. I can’t go to the end with him, so there’s no point in keeping him around. So, obviously, I need to go undercover right now.</t>
  </si>
  <si>
    <t>S40 Tony (5/16): What I have to do is pretend that I’m on a side that I’m really not. I’m undercover, so I can keep infiltrated in the group that I really want out… which is Jeremy, Michele, Denise and Kim.</t>
  </si>
  <si>
    <t>S40 Tony (6/16): I have to continuously pretend I’m on their side, because that’s the only way we can blindside them. In my real job, I never went undercover like this. The real world is way more dangerous than getting blindsided on Survivor, so, right now, I’m having all the fun out here on Survivor land.</t>
  </si>
  <si>
    <t>S40 Tony (7/16): This morning, I looked in my bag and I seen something like this in my bag (shows rolled scroll to camera). And I know I didn’t put it in there. So I gotta see what it is. I’m hoping it’s an advantage from the Edge. So I’m gonna read it right now. I ran far away from camp, so nobody knows I’m gone. And here it is right now. Oh, my God. “Extortion.” Oh, my-- first word I read is “extortion.” This is great. The first word I saw that popped out to me was “extortion.” I’m like, “Yes! Yes, I’m gonna extort somebody.” ‘Cause, in real life, I can’t do that. But I know it sounds like fun. When I watch in the movies, the mobsters extort people for money or they’re gonna break your legs or they break your kneecaps if you don’t give me this and that. So I’m s-- I’m excited. (reads) “This is the Extortion Advantage. This blocks a player from participating in the next Immunity Challenge, and prohibits them from voting at the next Tribal Council… unless the player is able to meet the payment demands.” This is illegal, man. (reads) “If the demand is not paid before the next Immunity Challenge, they will not participate and they will not vote.” That’s a extremely powerful advantage, and I can’t wait to use it. And then I’m reading more and I’m reading more and then it says… (reads) “This advantage is being played against you.” (disappointed, drops parchment) “This advantage is playing on you.” (reads) “The demand is six Fire Tokens.” Six tokens? I’ll tell you what, man, if-if this in real life, you’re doing some prison time. This is extortion, Code 2C-something. I know it’s a criminal code that-- extortion is illegal in the States. I don’t know why it’s not illegal here in Fiji. This is, this ludicrous. I got three tokens. They want six. I’m being extorted for six tokens. That’s double of what I have. And they’re saying if the person cannot come up with the extortion payment, they don’t get to play in the Immunity Challenge, so they have no shot at winning immunity. And at Tribal, they can’t vote. My deadline is before the Immunity Challenge. So if we get Tree Mail and it says it’s time for Immunity Challenge, I have to have the tokens in place, ready to pay up the vig.</t>
  </si>
  <si>
    <t>S40 Tony (8/16): Denise comes with the Tree Mail, and, sure enough, it’s an Immunity Challenge. And I’m like, “Not only are they extorting me for Fire Tokens, they’re also putting a time limit on it.” Th-they’re like, “You need to pay this extortion fee right before the Immunity Challenge.” So I’m like, “The pressure’s on.” So, my plan in my head is to approach my fake alliance and tell ‘em I’m in trouble and they need to help me so I can help them with the vote.</t>
  </si>
  <si>
    <t>S40 Tony (9/16): And then she comes clean and says, “Tony, I spent my tokens on a advantage.” I said, “Wow, that’s great, Michele. How much did it cost you?” She said, “Four Fire Tokens.” I’m like, “Whoa, the price of milk just went up.” How-- what’s going on here? I’m getting extorted six tokens. She just paid four tokens for an advantage. It-it’s-- I guess it’s inflation on Survivor island. Inflation just… (stammers) I don’t know what Survivor’s doing to me to-- this time around.</t>
  </si>
  <si>
    <t>S40 Tony (10/16): Jeremy gave me one Fire Token. So now I have four tokens. I need two more, because I can’t vote if I can’t come up with these six tokens. So I’m thinking I have to go to my real alliance members.</t>
  </si>
  <si>
    <t>S40 Tony (11/16): So I go to Nick. I say, “Nick, I’m in trouble.” He said, “No problem, Tony. I’ll help you.” So then I said, “I need to talk it over with Ben.” Ben’s like, “Tony, I got you. I got your back.” And I have the six on me right now to pay the price for the extortion. I am loaded (shows tokens to camera). I am wealthy. So this is an official payment for that… disgusting disadvantage that somebody sent me. So I’m officially paying for it. I will compete in this Immunity Challenge. I will have a vote tonight.</t>
  </si>
  <si>
    <t>S40 Tony (12/16): This is perfect. I won two Fire Tokens. I can pay my debt. And had I not played that immunity Challenge, Jeremy would have won that necklace. So, what’s happening today is we’re gonna be voting for Jeremy. I’m loving it.</t>
  </si>
  <si>
    <t>S40 Tony (13/16): Everybody’s very calm and cool and quiet, and they’re tired of all the talking, the chattering. Like, “Guys, we’re solid. Let’s just stop talking.” If they want to stop or slow down, that’s better for me, because I’m not stopping or slowing down. I’m always thinking when they’re not. I have the Immunity Necklace, so I’m safe for tonight. I’ve been patient long enough. Now I have an opportunity to flip-flop. It’s time for me to blindside somebody. And Sophie is getting too close to my partner, Sarah. So, I’m thinking my target should be Sophie. Because my real alliance is splitting the votes, that creates a huge opportunity for me, because you don’t need that many numbers. Jeremy and Michele don’t have a choice. Once I tell them a name, they’re gonna go for it. So all I need is Nick. But I’m just watching the sun, as it’s starting to set. I want to hit them, like, maybe minutes before we have to go to Tribal.</t>
  </si>
  <si>
    <t>S40 Tony (14/16): Me, Jeremy, Nick, Michele. ‘Cause that four is stronger than their three and their two. So, I’m gonna be golden if I can pull this off.</t>
  </si>
  <si>
    <t>S40 Tony (15/16): Oh, man. Jeremy doesn’t believe me.</t>
  </si>
  <si>
    <t>S40 Tony (16/16): I can’t believe it. Jeremy’s reluctant. I’m trying to save him. I’m begging him to save him. “Jeremy, this is your only opportunity to stay in the game. I’m telling you, Kim and Denise jumped ship. They are coming after you. If you don’t believe that, and you want to go with your plan and vote Ben, you’ll be going home tonight.”</t>
  </si>
  <si>
    <t>S40 Tony (1/8): Wow, man. Usually, you blindside somebody, you go back to camp, you hash it all out, and everybody’s like, “It’s okay. It’s all good.” Not this time. This time, it’s like deep wounds, man. But, come on, give me a break. I’m playing the game, too, you know? This is war. Stop crying. Put your man panties on and go to war.</t>
  </si>
  <si>
    <t>S40 Tony (2/8): I made a big power move, which was blindsiding Sophie. The backlash was unbelievable, so I think I’m in trouble. My wife told me, “Tony, this time you can’t play wild. You can’t play crazy. You can’t play flashy.” But I got the itch, and now this is the time for another undercover operation. In my first season, season 28 in Cagayan, I made a spy shack, and it worked. And then, Game Changers, my second season, I made the underground bunker. It was a failure, but it was fun. Right now, my spying has evolved, and now I’m up in the air. It's called the spy nest. It’s like a bird nest that I perch myself on, just like a bird, and I sit there and I wait to hear conversations that are going on. The only person that knows I’m undercover is my partner, Sarah.</t>
  </si>
  <si>
    <t>S40 Tony (3/8): I saw him try to sneak it from me. Hello? Ben? I’m right next to you, man. What are you doing? I-I’m watching you try to hide the idol.</t>
  </si>
  <si>
    <t>S40 Tony (4/8): You found the idol in front of me. You’re trying to hide it in fnt of me, man. Y- are you okay?</t>
  </si>
  <si>
    <t>S40 Tony (5/8): What?! I won three in a row. Back-to back-to back. It’s amazing, ‘cause anything can happen. I could’ve sneezed at that moment. Mosquito could’ve bit me in the eyeball. So, thanks, Nick. One token for an Immunity Necklace? I’ll take it. That’s a bargain.</t>
  </si>
  <si>
    <t>S40 Tony (6/8): I just found this news out. Kim was chirping in everybody’s ear, “Maybe it’s Tony’s time to go.” And it’s a big deal to me.</t>
  </si>
  <si>
    <t>S40 Tony (7/8): I’m talking to Nick, and he’s looking at me, and he’s fumbling his words. I keep asking him, “Nick, what’s going on?” He’s always lost. Like, come on, man. Nick is lying to me right to me right in my face.</t>
  </si>
  <si>
    <t>S40 Tony (8/8): So, now I’m 100% worried about Kim trying to get these lower-tier threats together. So, if Jeremy goes home, we’re screwed, ‘cause the ladies are gonna stick together and possibly use Nick.</t>
  </si>
  <si>
    <t>S40 Tony (1/5): This thing, right, with Jeremy-- he’s a fireman. I’m a police officer. We’re always feuding, and-and we have a little rivalry going. It’s for fun over here on Survivor. But I know Jeremy is a number for me. I know he trusts me. So, right now, my plan is to try to keep Jeremy around. Because if Jeremy goes home, the hyenas are gonna come out in a full pack and start attacking us.</t>
  </si>
  <si>
    <t>S40 Tony (2/5): So, Sarah and I, we’ve played this game. Six years ago, we formed an alliance, Cops-R-Us, and I burned her.</t>
  </si>
  <si>
    <t>S40 Tony (3/5): Now I got to know Sarah, and we said, “Let’s just stick together and just keep this Cops-R-Us going all the way to the end.” And we’ve been doing good so far. I mean, that’s our plan right now, is to take Cops-R-Us all the way to the end.</t>
  </si>
  <si>
    <t>S40 Tony (4/5): So, Jeremy, he wants to vote out Ben. Jeremy and Ben been clashing for a while now. So, he wants Ben out of the game for his best interest. That’s not my best interest. Not for the cop. I really don’t want to get rid of Jeremy, but, at this point, Sarah and I think that our best thing to do would be to stay strong with Ben.</t>
  </si>
  <si>
    <t>S40 Tony (5/5): So, we’re gonna split the votes between Michele and Jeremy. So, the guys-- me, Nick and Ben-- we’re voting Jeremy. Denise and Sarah, they’re voting Michele. And then Michele can play her advantage that she has, a 50/50. And whether it’s “Safe” or “Not Safe,” our real votes tonight are going to Jeremy.</t>
  </si>
  <si>
    <t>S40 Tony (1/6): Tribal worked out exactly as planned. This whole entire game, I’ve been on the right side of the votes. This whole entire game. And then you have Michele that’s always been outside every vote. She has no idea what’s going on in the game. In other seasons, you would call that a goat and you would want to go to the end with them. Not on the Super Bowl season of Survivor. You don’t, you don’t want that around.</t>
  </si>
  <si>
    <t>S40 Tony (2/6): She’s a hyena in the game. And you know what? Time for you to go home.</t>
  </si>
  <si>
    <t>S40 Tony (3/6): There’s definitely a big consideration to get rid of Ben. Ben won his season with a fire-making challenge. I don’t want to go up against Ben. I played a very hard game. I don’t want to lose it to fire. I know Ben has an idol now. So if I’m gonna make a move, now’s the time to make the move and get rid of Ben. But, in the meantime, I wanna open up the spy nest again. I wanna open it up for business. My spy nest is… I- built it so nice. It’s up there collecting dust. So I say, you know what? I gotta put it back to use, because intel in this game has been the key. ‘Cause this is war. And in war, the more intel you have, the more you can prepare yourself for a counterattack.</t>
  </si>
  <si>
    <t>S40 Tony (4/6): So, I was open for business, and the spy nest? (exhales) It came through for me big time, because I got to hear a lot of stuff.</t>
  </si>
  <si>
    <t>S40 Tony (5/6): Denise was like, “Hey, guys, what are you thinking about the Final Four? Because I don’t think we can beat Tony.” So, once I heard that, I knew Denise has to go, because she doesn’t want me in the finals. If you don’t want me in the finals, that means I don’t want you in the finals. So you gotta go. Let’s see who gets the first punch first.</t>
  </si>
  <si>
    <t>S40 Tony (6/6): I was tossing the idea of blindsiding Ben, but now no more. So, right now the pecking order has changed, and it went straight to Denise.</t>
  </si>
  <si>
    <t>S40 Tony (1/15): When I seen all these people and they’re telling their stories-- the hardships, the suffering, the struggling that they did on the Edge-- it really hurt me on an emotional level. However, I got to put the emotions to the side. We have a game to play. I’m not gonna let off the gas for one second. As a matter of fact, I’m gonna press it even harder, if I can. I’ll put it right through the floor at this time, because the end is coming up.</t>
  </si>
  <si>
    <t>S40 Tony (2/15): You have somebody like Natalie coming into this from the Edge; it’s very tricky. It’s very dangerous for my game, ‘cause she can say whatever she wants to us. That information could be total lies, because nobody’s here from the Edge to debunk it. And she started blowing up people’s spots, especially mine. She’s like, “Oh, everybody loves you, Tony.” Uh… “You’re-you’re their favorite. You’re-you’re gonna-- you’re-you’re the winner in their eyes.” And I’m like, uh, you know what, this is no good. I hope nobody believes that. I-I mean, deep down inside, I hope it’s true. But I hope nobody believes that, because I don’t want to put this target on my back that I don’t need right now. It’s poison.</t>
  </si>
  <si>
    <t>S40 Tony (3/15): This next Tribal’s gonna be very, very tricky. We seen it in season 38, where Chris comes back from the Edge with an idol. But I’m glad that happened, because it opens up people’s eyes to see that’s what’s gonna happen to all of you guys. I’m pretty nervous about that, because if she plays some advantage, that could be sending me packing, and I don’t want that to happen.</t>
  </si>
  <si>
    <t>S40 Tony (4/15): When there’s a potential problem, I’d rather try to address it than ignore it. “Cause when you ignore a potential problem, it usually bites you in the butt. This is Survivor. It’s a game of the unknown. So let’s prepare for the unknown. It’s better to assume that she has something than assume that she doesn’t.</t>
  </si>
  <si>
    <t>S40 Tony (5/15): I would think Ben would be all for saving his idol so we can guarantee ourselves in the Final Four. It’s mind-boggling how everybody’s so reluctant to throw any votes on Denise. They’re adamant that this girl Natalie does not have anything. If Natalie stands up and plays an idol, now I go into panic mode. You, Ben, go into panic mode. We burn our idols. Natalie’s safe, and either Sarah or Denise are on the chopping block at that point. So let’s just get rid of Denise and be safe. It’s a win-win.</t>
  </si>
  <si>
    <t>S40 Tony (6/15): I’m so angry. I’m frustrated. Denise goes home. I lose an idol. Ben loses an idol. We’re vulnerable at the Final Five. Nice job, guys. The only good part is there was three idols played. At least one is coming back into the game, and I want to get a jump on finding it. I’m not gonna wait till the sun comes out, so… I do one of my midnight specials. (chuckles) I get a shell, I throw some coal in it, and off I go into the jungle, searching for the idol.</t>
  </si>
  <si>
    <t>S40 Tony (7/15): So, I’m feeling around, feeling around, searching high and low, everywhere in between, and I come up short. And then here comes the sun, and then here comes everybody else. And now I’m getting nervous, because with a little luck, anybody can find an idol.</t>
  </si>
  <si>
    <t>S40 Tony (8/15): So I climb up the tree, listening to their conversation, and then my eyes are like “bing!” And sure enough, Natalie tells Sarah she has an idol.</t>
  </si>
  <si>
    <t>S40 Tony (9/15): (quietly) That was the worst experience of my life. They were talking for, like, an hour. Look at me. My legs are shaking. I almost died. But after she showed her the idol, I knew that we’re all good.</t>
  </si>
  <si>
    <t>S40 Tony (10/15): Knowing that Natalie has an idol, we’re all voting for Michele. We can’t let her stay here any longer. She’s just gonna cause trouble and chaos, so she’s going home tonight. Done.</t>
  </si>
  <si>
    <t>S40 Tony (11/15): Today was the biggest Immunity Challenge of the season. I could’ve tied a record, which is five Immunity Challenge wins. All I do is catch the ball, put it back, catch the ball, put it back, and I would’ve been in good shape. I lost focus for a second, and just like that, my game is in the fate of fire.</t>
  </si>
  <si>
    <t>S40 Tony (12/15): So I’m pretty certain that Natalie’s gonna throw Sarah under the bus and make me go against the other cop.</t>
  </si>
  <si>
    <t>S40 Tony (13/15): So I was watching Michele. She’s striking it. She’s like… (imitates clicking) flame. So I’m a little concerned about that.</t>
  </si>
  <si>
    <t>S40 Tony (14/15): I wish I could have the easy route, but I always take the hard route. That’s what I do, man. I grind. I work hard, I’m gonna practice hard, I’m gonna try to perform hard. Tonight’s gonna be put up or shut up. I’m either gonna win this game or I’m gonna lose trying.</t>
  </si>
  <si>
    <t>S40 Tony (15/15): This is an opportunity to win a second time and prove that I’m one of the greatest players to ever play this game. Everybody has their own specialty and what they’re focused on-- they’re good at challenges, they’re good at the social game, they’re good at the strategic game. But, me, I do a little of everything. And that’s what it takes to be a great player. You have to be good at everything Survivor has to throw your way. These are all winners. These are the best of the best. And these jurors-- I had a big part of ruining their chances of winning two million dollars to better their families. So I know the pain that they’re feeling. The wounds are deep, and I know they’re real. So this is gonna be the hardest task of all, to try to convince them that I deserve the title of Sole Survivor. But I’m pretty confident in how I played my game. So, we always had a queen of Survivor for many, many years, which was Sandra. We never had a king of Survivor. Now I’m hoping that I can take it home and be the king.</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</si>
</sst>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font>
    <font/>
    <font>
      <sz val="11.0"/>
      <color rgb="FF000000"/>
      <name val="Arial"/>
    </font>
    <font>
      <i/>
      <sz val="11.0"/>
      <color rgb="FF000000"/>
      <name val="Arial"/>
    </font>
  </fonts>
  <fills count="4">
    <fill>
      <patternFill patternType="none"/>
    </fill>
    <fill>
      <patternFill patternType="lightGray"/>
    </fill>
    <fill>
      <patternFill patternType="solid">
        <fgColor rgb="FF666666"/>
        <bgColor rgb="FF666666"/>
      </patternFill>
    </fill>
    <fill>
      <patternFill patternType="solid">
        <fgColor rgb="FFFFFFFF"/>
        <bgColor rgb="FFFFFFFF"/>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readingOrder="0" shrinkToFit="0" vertical="top" wrapText="1"/>
    </xf>
    <xf borderId="0" fillId="2" fontId="1" numFmtId="0" xfId="0" applyAlignment="1" applyFill="1" applyFont="1">
      <alignment readingOrder="0" shrinkToFit="0" vertical="top" wrapText="1"/>
    </xf>
    <xf borderId="0" fillId="0" fontId="2" numFmtId="0" xfId="0" applyAlignment="1" applyFont="1">
      <alignment shrinkToFit="0" vertical="top" wrapText="1"/>
    </xf>
    <xf borderId="0" fillId="2" fontId="2" numFmtId="0" xfId="0" applyAlignment="1" applyFont="1">
      <alignment shrinkToFit="0" vertical="top" wrapText="1"/>
    </xf>
    <xf borderId="0" fillId="0" fontId="3" numFmtId="0" xfId="0" applyAlignment="1" applyFont="1">
      <alignment readingOrder="0"/>
    </xf>
    <xf borderId="0" fillId="3" fontId="3" numFmtId="0" xfId="0" applyAlignment="1" applyFill="1" applyFont="1">
      <alignment readingOrder="0"/>
    </xf>
    <xf borderId="0" fillId="0" fontId="4" numFmtId="0" xfId="0" applyAlignment="1" applyFont="1">
      <alignment readingOrder="0"/>
    </xf>
    <xf borderId="0" fillId="0" fontId="2"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hidden="1" min="1" max="1" width="91.14"/>
    <col customWidth="1" hidden="1" min="2" max="2" width="1.57"/>
    <col customWidth="1" min="3" max="3" width="91.14"/>
    <col customWidth="1" min="4" max="4" width="1.57"/>
    <col customWidth="1" hidden="1" min="5" max="5" width="91.14"/>
    <col customWidth="1" hidden="1" min="6" max="6" width="1.57"/>
    <col customWidth="1" hidden="1" min="7" max="7" width="91.14"/>
    <col customWidth="1" hidden="1" min="8" max="8" width="1.57"/>
    <col customWidth="1" hidden="1" min="9" max="9" width="91.14"/>
    <col customWidth="1" hidden="1" min="10" max="10" width="1.57"/>
    <col customWidth="1" hidden="1" min="11" max="11" width="91.14"/>
    <col customWidth="1" hidden="1" min="12" max="12" width="1.57"/>
    <col customWidth="1" min="13" max="13" width="91.14"/>
    <col customWidth="1" min="14" max="14" width="1.57"/>
    <col customWidth="1" min="15" max="15" width="91.14"/>
    <col customWidth="1" min="16" max="16" width="1.57"/>
    <col customWidth="1" min="17" max="17" width="91.14"/>
    <col customWidth="1" min="18" max="18" width="1.57"/>
    <col customWidth="1" min="19" max="19" width="91.14"/>
    <col customWidth="1" min="20" max="20" width="1.57"/>
    <col customWidth="1" min="21" max="21" width="91.14"/>
    <col customWidth="1" min="22" max="22" width="1.57"/>
    <col customWidth="1" min="23" max="23" width="91.14"/>
    <col customWidth="1" min="24" max="24" width="1.57"/>
    <col customWidth="1" min="25" max="25" width="91.14"/>
    <col customWidth="1" min="26" max="26" width="1.57"/>
    <col customWidth="1" min="27" max="27" width="91.14"/>
    <col customWidth="1" min="28" max="28" width="1.57"/>
    <col customWidth="1" min="29" max="29" width="91.14"/>
    <col customWidth="1" min="30" max="30" width="1.57"/>
    <col customWidth="1" min="31" max="31" width="91.14"/>
    <col customWidth="1" min="32" max="32" width="1.57"/>
    <col customWidth="1" min="33" max="33" width="91.14"/>
    <col customWidth="1" min="34" max="34" width="1.57"/>
    <col customWidth="1" min="35" max="35" width="91.14"/>
    <col customWidth="1" min="36" max="36" width="1.57"/>
    <col customWidth="1" min="37" max="37" width="91.14"/>
    <col customWidth="1" min="38" max="38" width="1.57"/>
    <col customWidth="1" min="39" max="39" width="91.14"/>
    <col customWidth="1" min="40" max="40" width="1.57"/>
    <col customWidth="1" min="41" max="41" width="91.14"/>
    <col customWidth="1" min="42" max="42" width="1.57"/>
    <col customWidth="1" hidden="1" min="43" max="43" width="91.14"/>
    <col customWidth="1" hidden="1" min="44" max="44" width="1.57"/>
    <col customWidth="1" hidden="1" min="45" max="45" width="91.14"/>
    <col customWidth="1" hidden="1" min="46" max="46" width="1.57"/>
    <col customWidth="1" hidden="1" min="47" max="47" width="91.14"/>
    <col customWidth="1" hidden="1" min="48" max="48" width="1.57"/>
    <col customWidth="1" hidden="1" min="49" max="49" width="91.14"/>
    <col customWidth="1" hidden="1" min="50" max="50" width="1.57"/>
    <col customWidth="1" hidden="1" min="51" max="51" width="91.14"/>
    <col customWidth="1" hidden="1" min="52" max="52" width="1.57"/>
    <col customWidth="1" hidden="1" min="53" max="53" width="91.14"/>
    <col customWidth="1" hidden="1" min="54" max="54" width="1.57"/>
    <col customWidth="1" hidden="1" min="55" max="55" width="91.14"/>
    <col customWidth="1" hidden="1" min="56" max="56" width="1.57"/>
    <col customWidth="1" hidden="1" min="57" max="57" width="91.14"/>
    <col customWidth="1" hidden="1" min="58" max="58" width="1.57"/>
    <col customWidth="1" hidden="1" min="59" max="59" width="91.14"/>
    <col customWidth="1" hidden="1" min="60" max="60" width="1.57"/>
    <col customWidth="1" hidden="1" min="61" max="61" width="91.14"/>
    <col customWidth="1" hidden="1" min="62" max="62" width="1.57"/>
    <col customWidth="1" min="63" max="63" width="91.14"/>
    <col customWidth="1" min="64" max="64" width="1.57"/>
    <col customWidth="1" min="65" max="65" width="91.14"/>
    <col customWidth="1" min="66" max="66" width="1.57"/>
    <col customWidth="1" min="67" max="67" width="91.14"/>
    <col customWidth="1" min="68" max="68" width="1.57"/>
    <col customWidth="1" min="69" max="69" width="91.14"/>
    <col customWidth="1" min="70" max="70" width="1.57"/>
    <col customWidth="1" min="71" max="71" width="91.14"/>
    <col customWidth="1" min="72" max="72" width="1.57"/>
    <col customWidth="1" min="73" max="73" width="91.14"/>
    <col customWidth="1" min="74" max="74" width="1.57"/>
    <col customWidth="1" min="75" max="75" width="91.14"/>
    <col customWidth="1" min="76" max="76" width="1.57"/>
    <col customWidth="1" min="77" max="77" width="91.14"/>
    <col customWidth="1" min="78" max="78" width="1.57"/>
    <col customWidth="1" min="79" max="79" width="91.14"/>
    <col customWidth="1" min="80" max="80" width="1.57"/>
    <col customWidth="1" min="81" max="81" width="91.14"/>
    <col customWidth="1" min="82" max="82" width="1.57"/>
  </cols>
  <sheetData>
    <row r="1">
      <c r="A1" s="1" t="s">
        <v>0</v>
      </c>
      <c r="B1" s="2"/>
      <c r="C1" s="1" t="s">
        <v>1</v>
      </c>
      <c r="D1" s="2"/>
      <c r="E1" s="1" t="s">
        <v>2</v>
      </c>
      <c r="F1" s="2"/>
      <c r="G1" s="1" t="s">
        <v>3</v>
      </c>
      <c r="H1" s="2"/>
      <c r="I1" s="1" t="s">
        <v>4</v>
      </c>
      <c r="J1" s="2"/>
      <c r="K1" s="1" t="s">
        <v>5</v>
      </c>
      <c r="L1" s="2"/>
      <c r="M1" s="1" t="s">
        <v>6</v>
      </c>
      <c r="N1" s="2"/>
      <c r="O1" s="1" t="s">
        <v>7</v>
      </c>
      <c r="P1" s="2"/>
      <c r="Q1" s="1" t="s">
        <v>8</v>
      </c>
      <c r="R1" s="2"/>
      <c r="S1" s="1" t="s">
        <v>9</v>
      </c>
      <c r="T1" s="2"/>
      <c r="U1" s="1" t="s">
        <v>10</v>
      </c>
      <c r="V1" s="2"/>
      <c r="W1" s="1" t="s">
        <v>11</v>
      </c>
      <c r="X1" s="2"/>
      <c r="Y1" s="1" t="s">
        <v>12</v>
      </c>
      <c r="Z1" s="2"/>
      <c r="AA1" s="1" t="s">
        <v>13</v>
      </c>
      <c r="AB1" s="2"/>
      <c r="AC1" s="1" t="s">
        <v>14</v>
      </c>
      <c r="AD1" s="2"/>
      <c r="AE1" s="1" t="s">
        <v>15</v>
      </c>
      <c r="AF1" s="2"/>
      <c r="AG1" s="1" t="s">
        <v>16</v>
      </c>
      <c r="AH1" s="2"/>
      <c r="AI1" s="1" t="s">
        <v>17</v>
      </c>
      <c r="AJ1" s="2"/>
      <c r="AK1" s="1" t="s">
        <v>18</v>
      </c>
      <c r="AL1" s="2"/>
      <c r="AM1" s="1" t="s">
        <v>19</v>
      </c>
      <c r="AN1" s="2"/>
      <c r="AO1" s="1" t="s">
        <v>20</v>
      </c>
      <c r="AP1" s="2"/>
      <c r="AQ1" s="1" t="s">
        <v>21</v>
      </c>
      <c r="AR1" s="2"/>
      <c r="AS1" s="1" t="s">
        <v>22</v>
      </c>
      <c r="AT1" s="2"/>
      <c r="AU1" s="1" t="s">
        <v>23</v>
      </c>
      <c r="AV1" s="2"/>
      <c r="AW1" s="1" t="s">
        <v>24</v>
      </c>
      <c r="AX1" s="2"/>
      <c r="AY1" s="1" t="s">
        <v>25</v>
      </c>
      <c r="AZ1" s="2"/>
      <c r="BA1" s="1" t="s">
        <v>26</v>
      </c>
      <c r="BB1" s="2"/>
      <c r="BC1" s="1" t="s">
        <v>27</v>
      </c>
      <c r="BD1" s="2"/>
      <c r="BE1" s="1" t="s">
        <v>28</v>
      </c>
      <c r="BF1" s="2"/>
      <c r="BG1" s="1" t="s">
        <v>29</v>
      </c>
      <c r="BH1" s="2"/>
      <c r="BI1" s="1" t="s">
        <v>30</v>
      </c>
      <c r="BJ1" s="2"/>
      <c r="BK1" s="1" t="s">
        <v>31</v>
      </c>
      <c r="BL1" s="2"/>
      <c r="BM1" s="1" t="s">
        <v>32</v>
      </c>
      <c r="BN1" s="2"/>
      <c r="BO1" s="1" t="s">
        <v>33</v>
      </c>
      <c r="BP1" s="2"/>
      <c r="BQ1" s="1" t="s">
        <v>34</v>
      </c>
      <c r="BR1" s="2"/>
      <c r="BS1" s="1" t="s">
        <v>35</v>
      </c>
      <c r="BT1" s="2"/>
      <c r="BU1" s="1" t="s">
        <v>36</v>
      </c>
      <c r="BV1" s="2"/>
      <c r="BW1" s="1" t="s">
        <v>37</v>
      </c>
      <c r="BX1" s="2"/>
      <c r="BY1" s="1" t="s">
        <v>38</v>
      </c>
      <c r="BZ1" s="2"/>
      <c r="CA1" s="1" t="s">
        <v>39</v>
      </c>
      <c r="CB1" s="2"/>
      <c r="CC1" s="1" t="s">
        <v>40</v>
      </c>
      <c r="CD1" s="2"/>
    </row>
    <row r="2">
      <c r="A2" s="3" t="str">
        <f>IFERROR(__xludf.DUMMYFUNCTION("FILTER('Data Entry'!$A:$A,LEFT('Data Entry'!$A:$A,LEN(A1))=A1)"),"#N/A")</f>
        <v>#N/A</v>
      </c>
      <c r="B2" s="4"/>
      <c r="C2" s="3" t="str">
        <f>IFERROR(__xludf.DUMMYFUNCTION("FILTER('Data Entry'!$A:$A,LEFT('Data Entry'!$A:$A,LEN(C1))=C1)"),"S40 Tony (1/6): I have a big reputation in Survivor, but seeing my competitors, I’m like, “Oh, man!” Fans of football, they wait all year to see the Super Bowl at the end. Fans of Survivor have been waiting 20 years to see Winners at War.")</f>
        <v>S40 Tony (1/6): I have a big reputation in Survivor, but seeing my competitors, I’m like, “Oh, man!” Fans of football, they wait all year to see the Super Bowl at the end. Fans of Survivor have been waiting 20 years to see Winners at War.</v>
      </c>
      <c r="D2" s="4"/>
      <c r="E2" s="3" t="str">
        <f>IFERROR(__xludf.DUMMYFUNCTION("FILTER('Data Entry'!$A:$A,LEFT('Data Entry'!$A:$A,LEN(E1))=E1)"),"#N/A")</f>
        <v>#N/A</v>
      </c>
      <c r="F2" s="4"/>
      <c r="G2" s="3" t="str">
        <f>IFERROR(__xludf.DUMMYFUNCTION("FILTER('Data Entry'!$A:$A,LEFT('Data Entry'!$A:$A,LEN(G1))=G1)"),"#N/A")</f>
        <v>#N/A</v>
      </c>
      <c r="H2" s="4"/>
      <c r="I2" s="3" t="str">
        <f>IFERROR(__xludf.DUMMYFUNCTION("FILTER('Data Entry'!$A:$A,LEFT('Data Entry'!$A:$A,LEN(I1))=I1)"),"#N/A")</f>
        <v>#N/A</v>
      </c>
      <c r="J2" s="4"/>
      <c r="K2" s="3" t="str">
        <f>IFERROR(__xludf.DUMMYFUNCTION("FILTER('Data Entry'!$A:$A,LEFT('Data Entry'!$A:$A,LEN(K1))=K1)"),"#N/A")</f>
        <v>#N/A</v>
      </c>
      <c r="L2" s="4"/>
      <c r="M2" s="3" t="str">
        <f>IFERROR(__xludf.DUMMYFUNCTION("FILTER('Data Entry'!$A:$A,LEFT('Data Entry'!$A:$A,LEN(M1))=M1)"),"S35 Ben (1/2): Right now we’re looking at a core four, and that’s, uh, me, Alan, Ashley and JP. We’re all younger, we’re fit, and then we got the two moms, Chrissy and Katrina. We’ve labeled them the mom squad, and, uh, that’s just an easy target at this "&amp;"point. Winning is the most important thing right now for this tribe. When it comes down to it, we have each other’s backs.")</f>
        <v>S35 Ben (1/2): Right now we’re looking at a core four, and that’s, uh, me, Alan, Ashley and JP. We’re all younger, we’re fit, and then we got the two moms, Chrissy and Katrina. We’ve labeled them the mom squad, and, uh, that’s just an easy target at this point. Winning is the most important thing right now for this tribe. When it comes down to it, we have each other’s backs.</v>
      </c>
      <c r="N2" s="4"/>
      <c r="O2" s="3" t="str">
        <f>IFERROR(__xludf.DUMMYFUNCTION("FILTER('Data Entry'!$A:$A,LEFT('Data Entry'!$A:$A,LEN(O1))=O1)"),"S34 Sarah (1/1): I played Survivor: Cagayan, and I have a phenomenal social game. I’m a police officer, so I can read people, and with a season called Game Changers, I feel like somebody will get anxious and feel as though they need to make a move, which "&amp;"will put a target on their back, and then I’m going to be the silent assassin. (laughs)")</f>
        <v>S34 Sarah (1/1): I played Survivor: Cagayan, and I have a phenomenal social game. I’m a police officer, so I can read people, and with a season called Game Changers, I feel like somebody will get anxious and feel as though they need to make a move, which will put a target on their back, and then I’m going to be the silent assassin. (laughs)</v>
      </c>
      <c r="P2" s="4"/>
      <c r="Q2" s="3" t="str">
        <f>IFERROR(__xludf.DUMMYFUNCTION("FILTER('Data Entry'!$A:$A,LEFT('Data Entry'!$A:$A,LEN(Q1))=Q1)"),"S33 Adam (1/5): Walking up the beach and seeing that tribe flag, everybody is so excited. Everybody is really happy to get to know each other. And we're going to prove a lot of people wrong about their misconceptions about Millennials.")</f>
        <v>S33 Adam (1/5): Walking up the beach and seeing that tribe flag, everybody is so excited. Everybody is really happy to get to know each other. And we're going to prove a lot of people wrong about their misconceptions about Millennials.</v>
      </c>
      <c r="R2" s="4"/>
      <c r="S2" s="3" t="str">
        <f>IFERROR(__xludf.DUMMYFUNCTION("FILTER('Data Entry'!$A:$A,LEFT('Data Entry'!$A:$A,LEN(S1))=S1)"),"S32 Michele (1/2): Being a bartender is an extremely social job. You learn that personality types want certain things from you, so I was like, “Okay, who-who looks like I would get along with them?” There’s Tai, he’s freaking always moving. He’s like a wh"&amp;"irlwind. Caleb is super strong. And Nick, you know, the tall, dreamy guy. Of course, I was like, “Oh! He’s on my tribe?” I get to spend a lot of time with him and he gets to see me disgustingly dirty… wonderful. (laughs) So I decided to build the relation"&amp;"ship with the girls. You know, you’re inclined to kind of go with the girls, weave palm fronds, braid each other’s hair, whatever. Girls kind of go with girls and so that alliance felt really natural to me.")</f>
        <v>S32 Michele (1/2): Being a bartender is an extremely social job. You learn that personality types want certain things from you, so I was like, “Okay, who-who looks like I would get along with them?” There’s Tai, he’s freaking always moving. He’s like a whirlwind. Caleb is super strong. And Nick, you know, the tall, dreamy guy. Of course, I was like, “Oh! He’s on my tribe?” I get to spend a lot of time with him and he gets to see me disgustingly dirty… wonderful. (laughs) So I decided to build the relationship with the girls. You know, you’re inclined to kind of go with the girls, weave palm fronds, braid each other’s hair, whatever. Girls kind of go with girls and so that alliance felt really natural to me.</v>
      </c>
      <c r="T2" s="4"/>
      <c r="U2" s="3" t="str">
        <f>IFERROR(__xludf.DUMMYFUNCTION("FILTER('Data Entry'!$A:$A,LEFT('Data Entry'!$A:$A,LEN(U1))=U1)"),"S31 Jeremy (1/2): Last time when I played with my wife, half my mind was always with her. It’s emotional, you know, with Val. I really love her and I care about what she’s doing. I wasn’t focused so I was blindsided by my own alliance. I went home, took i"&amp;"t hard. Now, I want the money for Val more than for me. Like, I just need to go through this again. I’m back for some redemption.")</f>
        <v>S31 Jeremy (1/2): Last time when I played with my wife, half my mind was always with her. It’s emotional, you know, with Val. I really love her and I care about what she’s doing. I wasn’t focused so I was blindsided by my own alliance. I went home, took it hard. Now, I want the money for Val more than for me. Like, I just need to go through this again. I’m back for some redemption.</v>
      </c>
      <c r="V2" s="4"/>
      <c r="W2" s="3" t="str">
        <f>IFERROR(__xludf.DUMMYFUNCTION("FILTER('Data Entry'!$A:$A,LEFT('Data Entry'!$A:$A,LEN(W1))=W1)"),"S30 Mike (1/4): I work in the oil and gas industry. I'm normally the one that is covered the most in oil, covered the most in mud. Same thing with this game. If you're not getting your hands dirty, you ain't going to win. My hands are going to be filthy.")</f>
        <v>S30 Mike (1/4): I work in the oil and gas industry. I'm normally the one that is covered the most in oil, covered the most in mud. Same thing with this game. If you're not getting your hands dirty, you ain't going to win. My hands are going to be filthy.</v>
      </c>
      <c r="X2" s="4"/>
      <c r="Y2" s="3" t="str">
        <f>IFERROR(__xludf.DUMMYFUNCTION("FILTER('Data Entry'!$A:$A,LEFT('Data Entry'!$A:$A,LEN(Y1))=Y1)"),"S29 Natalie (1/2): On Amazing Race we had all the basic needs. You take away all the basic needs and that's Survivor. Survivor is going to be way harder than Amazing Race.")</f>
        <v>S29 Natalie (1/2): On Amazing Race we had all the basic needs. You take away all the basic needs and that's Survivor. Survivor is going to be way harder than Amazing Race.</v>
      </c>
      <c r="Z2" s="4"/>
      <c r="AA2" s="3" t="str">
        <f>IFERROR(__xludf.DUMMYFUNCTION("FILTER('Data Entry'!$A:$A,LEFT('Data Entry'!$A:$A,LEN(AA1))=AA1)"),"S28 Tony (1/3): I've been a police officer up in Jersey City for thirteen years. I'm always jumping over cars, climbing over fences, jumping from roof to roof, chasing people. So this game to me should be easy. Knock on wood.")</f>
        <v>S28 Tony (1/3): I've been a police officer up in Jersey City for thirteen years. I'm always jumping over cars, climbing over fences, jumping from roof to roof, chasing people. So this game to me should be easy. Knock on wood.</v>
      </c>
      <c r="AB2" s="4"/>
      <c r="AC2" s="3" t="str">
        <f>IFERROR(__xludf.DUMMYFUNCTION("FILTER('Data Entry'!$A:$A,LEFT('Data Entry'!$A:$A,LEN(AC1))=AC1)"),"S27 Tyson (1/1): I've been disappointed by Survivor twice, but this time I actually feel like I'm in a pretty good spot. You know, in a game like this, I think that the loved ones aren't going to be prepared, and I'm going to slit their throats.")</f>
        <v>S27 Tyson (1/1): I've been disappointed by Survivor twice, but this time I actually feel like I'm in a pretty good spot. You know, in a game like this, I think that the loved ones aren't going to be prepared, and I'm going to slit their throats.</v>
      </c>
      <c r="AD2" s="4"/>
      <c r="AE2" s="3" t="str">
        <f>IFERROR(__xludf.DUMMYFUNCTION("FILTER('Data Entry'!$A:$A,LEFT('Data Entry'!$A:$A,LEN(AE1))=AE1)"),"S26 Cochran (1/6): Weather-wise, this is not my environment. I was not aware how quickly I can become sunburned. The sun is constantly roasting you. My entire body, head to toe-- literally, my toes are sunburned.")</f>
        <v>S26 Cochran (1/6): Weather-wise, this is not my environment. I was not aware how quickly I can become sunburned. The sun is constantly roasting you. My entire body, head to toe-- literally, my toes are sunburned.</v>
      </c>
      <c r="AF2" s="4"/>
      <c r="AG2" s="3" t="str">
        <f>IFERROR(__xludf.DUMMYFUNCTION("FILTER('Data Entry'!$A:$A,LEFT('Data Entry'!$A:$A,LEN(AG1))=AG1)"),"S25 Denise (1/3): I'm a licensed sex therapist. So being a therapist, I'm really curious about Zane because at first you go, “God, this guy is trouble,” but then you look closer and you go, “Okay, wait a minute,” look closer at those tattoos. He's lost so"&amp;"mebody, there's a-a death date of somebody on his arm, and he's got the serenity prayer on his hands, so part of me is kind of hoping, “This guy's got some story.” And if nothing else, I'm curious about his story.")</f>
        <v>S25 Denise (1/3): I'm a licensed sex therapist. So being a therapist, I'm really curious about Zane because at first you go, “God, this guy is trouble,” but then you look closer and you go, “Okay, wait a minute,” look closer at those tattoos. He's lost somebody, there's a-a death date of somebody on his arm, and he's got the serenity prayer on his hands, so part of me is kind of hoping, “This guy's got some story.” And if nothing else, I'm curious about his story.</v>
      </c>
      <c r="AH2" s="4"/>
      <c r="AI2" s="3" t="str">
        <f>IFERROR(__xludf.DUMMYFUNCTION("FILTER('Data Entry'!$A:$A,LEFT('Data Entry'!$A:$A,LEN(AI1))=AI1)"),"S24 Kim (1/2): I didn't plan to form an alliance right off the bat. I was just going to lay low but I think when the guys started stealing off the truck, that was a huge rivalry right off the bat. And when the guys did that, the girls were like, “Women po"&amp;"wer!” (laughs) Which I'm not a big fan of but I'm going with it. So…")</f>
        <v>S24 Kim (1/2): I didn't plan to form an alliance right off the bat. I was just going to lay low but I think when the guys started stealing off the truck, that was a huge rivalry right off the bat. And when the guys did that, the girls were like, “Women power!” (laughs) Which I'm not a big fan of but I'm going with it. So…</v>
      </c>
      <c r="AJ2" s="4"/>
      <c r="AK2" s="3" t="str">
        <f>IFERROR(__xludf.DUMMYFUNCTION("FILTER('Data Entry'!$A:$A,LEFT('Data Entry'!$A:$A,LEN(AK1))=AK1)"),"S23 Sophie (1/2): I'm a Russian Economics major. Coach, Здравствуйте, which means, like, a pretty formal way to say hello. You know, he's ready to show off what he has. But at the same time, like, you can't deny what the situation is, that Coach has been "&amp;"out here twice before. He knows some things.")</f>
        <v>S23 Sophie (1/2): I'm a Russian Economics major. Coach, Здравствуйте, which means, like, a pretty formal way to say hello. You know, he's ready to show off what he has. But at the same time, like, you can't deny what the situation is, that Coach has been out here twice before. He knows some things.</v>
      </c>
      <c r="AL2" s="4"/>
      <c r="AM2" s="3" t="str">
        <f>IFERROR(__xludf.DUMMYFUNCTION("FILTER('Data Entry'!$A:$A,LEFT('Data Entry'!$A:$A,LEN(AM1))=AM1)"),"S22 Rob (1/1): Originally, I wanted to vote Francesca off because the very first time I met her, she stood up on the mat, looked at Jeff, and said, ""I don't want to play with him because he's too sneaky."" She knows my game so I don't want someone like t"&amp;"hat on my tribe. But after thinking about it some more, the second we landed on our beach, Kristina was the one looking through all the supplies, looking for the Hidden Immunity Idol. She's dangerous. She knows strategy. She knows to get out there and wor"&amp;"k for it. To me, I don't need someone like that with me.")</f>
        <v>S22 Rob (1/1): Originally, I wanted to vote Francesca off because the very first time I met her, she stood up on the mat, looked at Jeff, and said, "I don't want to play with him because he's too sneaky." She knows my game so I don't want someone like that on my tribe. But after thinking about it some more, the second we landed on our beach, Kristina was the one looking through all the supplies, looking for the Hidden Immunity Idol. She's dangerous. She knows strategy. She knows to get out there and work for it. To me, I don't need someone like that with me.</v>
      </c>
      <c r="AN2" s="4"/>
      <c r="AO2" s="3" t="str">
        <f>IFERROR(__xludf.DUMMYFUNCTION("FILTER('Data Entry'!$A:$A,LEFT('Data Entry'!$A:$A,LEN(AO1))=AO1)"),"S21 Fabio (1/3): Everywhere you look there's monkeys hanging from things. There's dangerous animals here. It's like, it's real. There's no-- there’s no fences like the zoo.")</f>
        <v>S21 Fabio (1/3): Everywhere you look there's monkeys hanging from things. There's dangerous animals here. It's like, it's real. There's no-- there’s no fences like the zoo.</v>
      </c>
      <c r="AP2" s="4"/>
      <c r="AQ2" s="3" t="str">
        <f>IFERROR(__xludf.DUMMYFUNCTION("FILTER('Data Entry'!$A:$A,LEFT('Data Entry'!$A:$A,LEN(AQ1))=AQ1)"),"#N/A")</f>
        <v>#N/A</v>
      </c>
      <c r="AR2" s="4"/>
      <c r="AS2" s="3" t="str">
        <f>IFERROR(__xludf.DUMMYFUNCTION("FILTER('Data Entry'!$A:$A,LEFT('Data Entry'!$A:$A,LEN(AS1))=AS1)"),"#N/A")</f>
        <v>#N/A</v>
      </c>
      <c r="AT2" s="4"/>
      <c r="AU2" s="3" t="str">
        <f>IFERROR(__xludf.DUMMYFUNCTION("FILTER('Data Entry'!$A:$A,LEFT('Data Entry'!$A:$A,LEN(AU1))=AU1)"),"#N/A")</f>
        <v>#N/A</v>
      </c>
      <c r="AV2" s="4"/>
      <c r="AW2" s="3" t="str">
        <f>IFERROR(__xludf.DUMMYFUNCTION("FILTER('Data Entry'!$A:$A,LEFT('Data Entry'!$A:$A,LEN(AW1))=AW1)"),"#N/A")</f>
        <v>#N/A</v>
      </c>
      <c r="AX2" s="4"/>
      <c r="AY2" s="3" t="str">
        <f>IFERROR(__xludf.DUMMYFUNCTION("FILTER('Data Entry'!$A:$A,LEFT('Data Entry'!$A:$A,LEN(AY1))=AY1)"),"#N/A")</f>
        <v>#N/A</v>
      </c>
      <c r="AZ2" s="4"/>
      <c r="BA2" s="3" t="str">
        <f>IFERROR(__xludf.DUMMYFUNCTION("FILTER('Data Entry'!$A:$A,LEFT('Data Entry'!$A:$A,LEN(BA1))=BA1)"),"#N/A")</f>
        <v>#N/A</v>
      </c>
      <c r="BB2" s="4"/>
      <c r="BC2" s="3" t="str">
        <f>IFERROR(__xludf.DUMMYFUNCTION("FILTER('Data Entry'!$A:$A,LEFT('Data Entry'!$A:$A,LEN(BC1))=BC1)"),"#N/A")</f>
        <v>#N/A</v>
      </c>
      <c r="BD2" s="4"/>
      <c r="BE2" s="3" t="str">
        <f>IFERROR(__xludf.DUMMYFUNCTION("FILTER('Data Entry'!$A:$A,LEFT('Data Entry'!$A:$A,LEN(BE1))=BE1)"),"#N/A")</f>
        <v>#N/A</v>
      </c>
      <c r="BF2" s="4"/>
      <c r="BG2" s="3" t="str">
        <f>IFERROR(__xludf.DUMMYFUNCTION("FILTER('Data Entry'!$A:$A,LEFT('Data Entry'!$A:$A,LEN(BG1))=BG1)"),"#N/A")</f>
        <v>#N/A</v>
      </c>
      <c r="BH2" s="4"/>
      <c r="BI2" s="3" t="str">
        <f>IFERROR(__xludf.DUMMYFUNCTION("FILTER('Data Entry'!$A:$A,LEFT('Data Entry'!$A:$A,LEN(BI1))=BI1)"),"#N/A")</f>
        <v>#N/A</v>
      </c>
      <c r="BJ2" s="4"/>
      <c r="BK2" s="3" t="str">
        <f>IFERROR(__xludf.DUMMYFUNCTION("FILTER('Data Entry'!$A:$A,LEFT('Data Entry'!$A:$A,LEN(BK1))=BK1)"),"S10 Tom (1/2): You know, it was funny. I mean, uh, everybody is just walking around in different directions. (chuckles) “Let's get the water. Let's build a shelter,” and, uh, you just gotta watch that. You know, I had a few people try to wrangle me into d"&amp;"oing the fire, and I'm just like, “That's a loser job, man.”")</f>
        <v>S10 Tom (1/2): You know, it was funny. I mean, uh, everybody is just walking around in different directions. (chuckles) “Let's get the water. Let's build a shelter,” and, uh, you just gotta watch that. You know, I had a few people try to wrangle me into doing the fire, and I'm just like, “That's a loser job, man.”</v>
      </c>
      <c r="BL2" s="4"/>
      <c r="BM2" s="3" t="str">
        <f>IFERROR(__xludf.DUMMYFUNCTION("FILTER('Data Entry'!$A:$A,LEFT('Data Entry'!$A:$A,LEN(BM1))=BM1)"),"S09 Chris (1/4): Men against women, it's perfect. I can outsmart eight men a hell of a lot quicker than I can outsmart eight women. Women stick together. They're thick as thieves. Men are deceiving, mischievous, untrusting human beings. Men, I can manipul"&amp;"ate.")</f>
        <v>S09 Chris (1/4): Men against women, it's perfect. I can outsmart eight men a hell of a lot quicker than I can outsmart eight women. Women stick together. They're thick as thieves. Men are deceiving, mischievous, untrusting human beings. Men, I can manipulate.</v>
      </c>
      <c r="BN2" s="4"/>
      <c r="BO2" s="3" t="str">
        <f>IFERROR(__xludf.DUMMYFUNCTION("FILTER('Data Entry'!$A:$A,LEFT('Data Entry'!$A:$A,LEN(BO1))=BO1)"),"S08 Amber (1/1): Just got our Tree Mail, our first Tree Mail, and it seems to be an Immunity Challenge, but we're hoping with an Immunity Challenge, we can win some fire, 'cause our tribe is, uh... we're hurtin' pretty bad.")</f>
        <v>S08 Amber (1/1): Just got our Tree Mail, our first Tree Mail, and it seems to be an Immunity Challenge, but we're hoping with an Immunity Challenge, we can win some fire, 'cause our tribe is, uh... we're hurtin' pretty bad.</v>
      </c>
      <c r="BP2" s="4"/>
      <c r="BQ2" s="3" t="str">
        <f>IFERROR(__xludf.DUMMYFUNCTION("FILTER('Data Entry'!$A:$A,LEFT('Data Entry'!$A:$A,LEN(BQ1))=BQ1)"),"S07 Sandra (1/9): He says, ""The game starts, you're taking nothing."" I was like, ""Oh, (expletive censor)!""")</f>
        <v>S07 Sandra (1/9): He says, "The game starts, you're taking nothing." I was like, "Oh, (expletive censor)!"</v>
      </c>
      <c r="BR2" s="4"/>
      <c r="BS2" s="3" t="str">
        <f>IFERROR(__xludf.DUMMYFUNCTION("FILTER('Data Entry'!$A:$A,LEFT('Data Entry'!$A:$A,LEN(BS1))=BS1)"),"#N/A")</f>
        <v>#N/A</v>
      </c>
      <c r="BT2" s="4"/>
      <c r="BU2" s="3" t="str">
        <f>IFERROR(__xludf.DUMMYFUNCTION("FILTER('Data Entry'!$A:$A,LEFT('Data Entry'!$A:$A,LEN(BU1))=BU1)"),"#N/A")</f>
        <v>#N/A</v>
      </c>
      <c r="BV2" s="4"/>
      <c r="BW2" s="3" t="str">
        <f>IFERROR(__xludf.DUMMYFUNCTION("FILTER('Data Entry'!$A:$A,LEFT('Data Entry'!$A:$A,LEN(BW1))=BW1)"),"#N/A")</f>
        <v>#N/A</v>
      </c>
      <c r="BX2" s="4"/>
      <c r="BY2" s="3" t="str">
        <f>IFERROR(__xludf.DUMMYFUNCTION("FILTER('Data Entry'!$A:$A,LEFT('Data Entry'!$A:$A,LEN(BY1))=BY1)"),"#N/A")</f>
        <v>#N/A</v>
      </c>
      <c r="BZ2" s="4"/>
      <c r="CA2" s="3" t="str">
        <f>IFERROR(__xludf.DUMMYFUNCTION("FILTER('Data Entry'!$A:$A,LEFT('Data Entry'!$A:$A,LEN(CA1))=CA1)"),"#N/A")</f>
        <v>#N/A</v>
      </c>
      <c r="CB2" s="4"/>
      <c r="CC2" s="3" t="str">
        <f>IFERROR(__xludf.DUMMYFUNCTION("FILTER('Data Entry'!$A:$A,LEFT('Data Entry'!$A:$A,LEN(CC1))=CC1)"),"#N/A")</f>
        <v>#N/A</v>
      </c>
      <c r="CD2" s="4"/>
    </row>
    <row r="3">
      <c r="A3" s="3"/>
      <c r="B3" s="4"/>
      <c r="C3" s="3" t="str">
        <f>IFERROR(__xludf.DUMMYFUNCTION("""COMPUTED_VALUE"""),"S40 Tony (2/6): I desperately want the Immunity Idol, especially for a season like this and oh, my God, it took everything out of me not to just (darting sound) and just take off running and look for an idol. I seen what happened to me in Game Changers. M"&amp;"y first 30 seconds, I ran around the whole island three times.")</f>
        <v>S40 Tony (2/6): I desperately want the Immunity Idol, especially for a season like this and oh, my God, it took everything out of me not to just (darting sound) and just take off running and look for an idol. I seen what happened to me in Game Changers. My first 30 seconds, I ran around the whole island three times.</v>
      </c>
      <c r="D3" s="4"/>
      <c r="E3" s="3"/>
      <c r="F3" s="4"/>
      <c r="G3" s="3"/>
      <c r="H3" s="4"/>
      <c r="I3" s="3"/>
      <c r="J3" s="4"/>
      <c r="K3" s="3"/>
      <c r="L3" s="4"/>
      <c r="M3" s="3" t="str">
        <f>IFERROR(__xludf.DUMMYFUNCTION("""COMPUTED_VALUE"""),"S35 Ben (2/2): If everyone would have just stuck to the plan and calm down and talked it out, we’d be fine. But here we are, Day 3, and we’ve all-- it just blown up. At Tribal Council tonight, there’s two ways Alan and I can go. We can go with the mom squ"&amp;"ad and go straight for Ashley, or we we can go with JP and Ashley and get Chrissy or Katrina out. I’m a little worried about Ashley and JP having something going on, but as a tribe, we have to stay strong, and the two older women are probably the weakest "&amp;"links in our tribe. Whether or not you go with strength or loyalty, in the long run it’s about Alan and I, who we trust more.")</f>
        <v>S35 Ben (2/2): If everyone would have just stuck to the plan and calm down and talked it out, we’d be fine. But here we are, Day 3, and we’ve all-- it just blown up. At Tribal Council tonight, there’s two ways Alan and I can go. We can go with the mom squad and go straight for Ashley, or we we can go with JP and Ashley and get Chrissy or Katrina out. I’m a little worried about Ashley and JP having something going on, but as a tribe, we have to stay strong, and the two older women are probably the weakest links in our tribe. Whether or not you go with strength or loyalty, in the long run it’s about Alan and I, who we trust more.</v>
      </c>
      <c r="N3" s="4"/>
      <c r="O3" s="3" t="str">
        <f>IFERROR(__xludf.DUMMYFUNCTION("""COMPUTED_VALUE"""),"S34 Sarah (1/1): I told Cirie I’m good with her, but if someone’s going to throw her name out, I’m gonna go with it. Last time I played like a cop, look where it got me. This time I’m playing like a criminal, and we’ll see where it gets me. My word is not"&amp;" my bond in this game this time.")</f>
        <v>S34 Sarah (1/1): I told Cirie I’m good with her, but if someone’s going to throw her name out, I’m gonna go with it. Last time I played like a cop, look where it got me. This time I’m playing like a criminal, and we’ll see where it gets me. My word is not my bond in this game this time.</v>
      </c>
      <c r="P3" s="4"/>
      <c r="Q3" s="3" t="str">
        <f>IFERROR(__xludf.DUMMYFUNCTION("""COMPUTED_VALUE"""),"S33 Adam (2/5): Heading into the first night, I'm a little nervous 'cause, oh, man, we're in a world of hurt when it comes to our shelter. We have no real roof, but every single person on this tribe thinks everything's gonna be okay.")</f>
        <v>S33 Adam (2/5): Heading into the first night, I'm a little nervous 'cause, oh, man, we're in a world of hurt when it comes to our shelter. We have no real roof, but every single person on this tribe thinks everything's gonna be okay.</v>
      </c>
      <c r="R3" s="4"/>
      <c r="S3" s="3" t="str">
        <f>IFERROR(__xludf.DUMMYFUNCTION("""COMPUTED_VALUE"""),"S32 Michele (2/2): I just don’t trust Tai. I think that he’s bringing a lot of anxious energy. He made his bed, and right now, Tai is number one for me.")</f>
        <v>S32 Michele (2/2): I just don’t trust Tai. I think that he’s bringing a lot of anxious energy. He made his bed, and right now, Tai is number one for me.</v>
      </c>
      <c r="T3" s="4"/>
      <c r="U3" s="3" t="str">
        <f>IFERROR(__xludf.DUMMYFUNCTION("""COMPUTED_VALUE"""),"S31 Jeremy (2/2): With the tribe I feel good. I knew my season that they saw me as a threat, so I figure, let me talk to Keith. The only thing I’m hoping that if Keith hears my name that he comes back to me. I’m trying to go strategically, and like, reall"&amp;"y use my head this season. So I wanted Tasha, probably the strongest female out here. And I wanted Savage. Savage seems like a real straight up guy, another physical threat. But my number one that I wanted was Joe. There’s no bigger shield out here than J"&amp;"oe. And it kind of worked out that way, and I think it’ll be so dumb for someone to mess this up. And I feel like we have the stronger group. We could really move on in this game. We could make some noise. We just gotta stick together and get each other’s"&amp;" back.")</f>
        <v>S31 Jeremy (2/2): With the tribe I feel good. I knew my season that they saw me as a threat, so I figure, let me talk to Keith. The only thing I’m hoping that if Keith hears my name that he comes back to me. I’m trying to go strategically, and like, really use my head this season. So I wanted Tasha, probably the strongest female out here. And I wanted Savage. Savage seems like a real straight up guy, another physical threat. But my number one that I wanted was Joe. There’s no bigger shield out here than Joe. And it kind of worked out that way, and I think it’ll be so dumb for someone to mess this up. And I feel like we have the stronger group. We could really move on in this game. We could make some noise. We just gotta stick together and get each other’s back.</v>
      </c>
      <c r="V3" s="4"/>
      <c r="W3" s="3" t="str">
        <f>IFERROR(__xludf.DUMMYFUNCTION("""COMPUTED_VALUE"""),"S30 Mike (2/4): So I grab this piece of bamboo that I'm about to cut. I happen to see this scorpion go by. It's not that big of a scorpion at all but big enough that I'm sure if it stung you it would do some damage. First instinct is protein. So I cut its"&amp;" tail off. Bang! Down the hatch. It tasted like crap.")</f>
        <v>S30 Mike (2/4): So I grab this piece of bamboo that I'm about to cut. I happen to see this scorpion go by. It's not that big of a scorpion at all but big enough that I'm sure if it stung you it would do some damage. First instinct is protein. So I cut its tail off. Bang! Down the hatch. It tasted like crap.</v>
      </c>
      <c r="X3" s="4"/>
      <c r="Y3" s="3" t="str">
        <f>IFERROR(__xludf.DUMMYFUNCTION("""COMPUTED_VALUE"""),"S29 Natalie (2/2): I really like Jeremy, you know, the way he fought today and the way he, his emotions after he had sent his wife to Exile Island showed, like, real true, like a good heart, you know. So I would say if I had to choose one person as my des"&amp;"ignated Twinnie, it's Jeremy. Everybody loves a firefighter.")</f>
        <v>S29 Natalie (2/2): I really like Jeremy, you know, the way he fought today and the way he, his emotions after he had sent his wife to Exile Island showed, like, real true, like a good heart, you know. So I would say if I had to choose one person as my designated Twinnie, it's Jeremy. Everybody loves a firefighter.</v>
      </c>
      <c r="Z3" s="4"/>
      <c r="AA3" s="3" t="str">
        <f>IFERROR(__xludf.DUMMYFUNCTION("""COMPUTED_VALUE"""),"S28 Tony (2/3): Soon as we arrive to camp, Trish came with open arms. She says, “I had the choice of looking for the idol for myself or helping my tribe out in getting a second bag of rice.” And we were, like, so excited. We were like, “Yes, you did the r"&amp;"ight thing.” But if I was in Trish’s shoes, it would have been one bag of rice... and one idol in my pocket.")</f>
        <v>S28 Tony (2/3): Soon as we arrive to camp, Trish came with open arms. She says, “I had the choice of looking for the idol for myself or helping my tribe out in getting a second bag of rice.” And we were, like, so excited. We were like, “Yes, you did the right thing.” But if I was in Trish’s shoes, it would have been one bag of rice... and one idol in my pocket.</v>
      </c>
      <c r="AB3" s="4"/>
      <c r="AC3" s="3" t="str">
        <f>IFERROR(__xludf.DUMMYFUNCTION("""COMPUTED_VALUE"""),"S27 Tyson (1/1): That fight was awesome. I think it's interesting with Colton. I think he came out here wanting to be different than the person he was and he pretended to be for, like, a day and a half or something, but now you look at him and you're, lik"&amp;"e, he's going to end up overthinking himself out of the game probably.")</f>
        <v>S27 Tyson (1/1): That fight was awesome. I think it's interesting with Colton. I think he came out here wanting to be different than the person he was and he pretended to be for, like, a day and a half or something, but now you look at him and you're, like, he's going to end up overthinking himself out of the game probably.</v>
      </c>
      <c r="AD3" s="4"/>
      <c r="AE3" s="3" t="str">
        <f>IFERROR(__xludf.DUMMYFUNCTION("""COMPUTED_VALUE"""),"S26 Cochran (2/6): I'm trying to put on a brave face, maybe make some self-deprecating comments around camp like, “Oh, yeah, I look like a lobster. I look like a freak. Ha, ha. It’s funny.” Actually, I'm in horrible pain right now, and I feel like crying,"&amp;" kind of, but I’m, you know, trying to stay strong. And my new persona is strong, a little bit of swagger, a little more confidence. I can't be the same freak I was last time.")</f>
        <v>S26 Cochran (2/6): I'm trying to put on a brave face, maybe make some self-deprecating comments around camp like, “Oh, yeah, I look like a lobster. I look like a freak. Ha, ha. It’s funny.” Actually, I'm in horrible pain right now, and I feel like crying, kind of, but I’m, you know, trying to stay strong. And my new persona is strong, a little bit of swagger, a little more confidence. I can't be the same freak I was last time.</v>
      </c>
      <c r="AF3" s="4"/>
      <c r="AG3" s="3" t="str">
        <f>IFERROR(__xludf.DUMMYFUNCTION("""COMPUTED_VALUE"""),"S25 Denise (2/3): I just had this gut instinct about Malcolm. He's young but his wise, and instantly, we just clicked. And it was like, “What are you feeling? Here's what I'm feeling.” So as long as my alliance with Malcolm holds true, I’m good.")</f>
        <v>S25 Denise (2/3): I just had this gut instinct about Malcolm. He's young but his wise, and instantly, we just clicked. And it was like, “What are you feeling? Here's what I'm feeling.” So as long as my alliance with Malcolm holds true, I’m good.</v>
      </c>
      <c r="AH3" s="4"/>
      <c r="AI3" s="3" t="str">
        <f>IFERROR(__xludf.DUMMYFUNCTION("""COMPUTED_VALUE"""),"S24 Kim (2/2): The guys with the, uh, not wanting to finish the challenge, you know, I get it. Like, in hindsight, I can look back and kind of see maybe what they were thinking. But I'm from Texas. Men are chivalrous, grew up watching westerns. It's just,"&amp;" like, no guy I know would have made that choice.")</f>
        <v>S24 Kim (2/2): The guys with the, uh, not wanting to finish the challenge, you know, I get it. Like, in hindsight, I can look back and kind of see maybe what they were thinking. But I'm from Texas. Men are chivalrous, grew up watching westerns. It's just, like, no guy I know would have made that choice.</v>
      </c>
      <c r="AJ3" s="4"/>
      <c r="AK3" s="3" t="str">
        <f>IFERROR(__xludf.DUMMYFUNCTION("""COMPUTED_VALUE"""),"S23 Sophie (2/2): I think I have a really great advantage right now because I have a strong alliance where I really think, at least a couple of people there, are really, really sincere. Uh, Brandon, I'm a little more worried about only because I have this"&amp;" gut feeling-- I feel like he's hiding something.")</f>
        <v>S23 Sophie (2/2): I think I have a really great advantage right now because I have a strong alliance where I really think, at least a couple of people there, are really, really sincere. Uh, Brandon, I'm a little more worried about only because I have this gut feeling-- I feel like he's hiding something.</v>
      </c>
      <c r="AL3" s="4"/>
      <c r="AM3" s="3" t="str">
        <f>IFERROR(__xludf.DUMMYFUNCTION("""COMPUTED_VALUE"""),"S22 Rob (1/12): I know for a fact that Kristina and Phillip were lying but it doesn't take a genius F.B.I. man to figure that out. All you had to do was look at their faces and watch their lips moving.")</f>
        <v>S22 Rob (1/12): I know for a fact that Kristina and Phillip were lying but it doesn't take a genius F.B.I. man to figure that out. All you had to do was look at their faces and watch their lips moving.</v>
      </c>
      <c r="AN3" s="4"/>
      <c r="AO3" s="3" t="str">
        <f>IFERROR(__xludf.DUMMYFUNCTION("""COMPUTED_VALUE"""),"S21 Fabio (2/3): As soon as we saw thirty and under it was like, “These are my people!” This is going to be a lot of fun.")</f>
        <v>S21 Fabio (2/3): As soon as we saw thirty and under it was like, “These are my people!” This is going to be a lot of fun.</v>
      </c>
      <c r="AP3" s="4"/>
      <c r="AQ3" s="3"/>
      <c r="AR3" s="4"/>
      <c r="AS3" s="3"/>
      <c r="AT3" s="4"/>
      <c r="AU3" s="3"/>
      <c r="AV3" s="4"/>
      <c r="AW3" s="3"/>
      <c r="AX3" s="4"/>
      <c r="AY3" s="3"/>
      <c r="AZ3" s="4"/>
      <c r="BA3" s="3"/>
      <c r="BB3" s="4"/>
      <c r="BC3" s="3"/>
      <c r="BD3" s="4"/>
      <c r="BE3" s="3"/>
      <c r="BF3" s="4"/>
      <c r="BG3" s="3"/>
      <c r="BH3" s="4"/>
      <c r="BI3" s="3"/>
      <c r="BJ3" s="4"/>
      <c r="BK3" s="3" t="str">
        <f>IFERROR(__xludf.DUMMYFUNCTION("""COMPUTED_VALUE"""),"S10 Tom (2/2): We were so elated, the ride back in the canoe. It was-- we were just loving life, we couldn't wait to see the new beach, and all this to happen, and we're just crushed right now. We don't have the water. We don't have the flint to start a f"&amp;"ire to boil the water and purify it. We lost everything we won today. We're in a worse scenario than we originally had.")</f>
        <v>S10 Tom (2/2): We were so elated, the ride back in the canoe. It was-- we were just loving life, we couldn't wait to see the new beach, and all this to happen, and we're just crushed right now. We don't have the water. We don't have the flint to start a fire to boil the water and purify it. We lost everything we won today. We're in a worse scenario than we originally had.</v>
      </c>
      <c r="BL3" s="4"/>
      <c r="BM3" s="3" t="str">
        <f>IFERROR(__xludf.DUMMYFUNCTION("""COMPUTED_VALUE"""),"S09 Chris (2/4): J.P. wants to prove himself bad. He's about thirty years old, and he's feeling like, you know, I'm buff, I'm bad, I'm young, I'm all, you know, go to the end of this. He don't have a clue. He's got the frame, but he ain't got the brain.")</f>
        <v>S09 Chris (2/4): J.P. wants to prove himself bad. He's about thirty years old, and he's feeling like, you know, I'm buff, I'm bad, I'm young, I'm all, you know, go to the end of this. He don't have a clue. He's got the frame, but he ain't got the brain.</v>
      </c>
      <c r="BN3" s="4"/>
      <c r="BO3" s="3" t="str">
        <f>IFERROR(__xludf.DUMMYFUNCTION("""COMPUTED_VALUE"""),"S08 Amber (1/1): In the beginning, the flirting with Boston Rob was complete strategy for me, and on the other end, I thought it was complete strategy for him, too. And I'll admit, when I saw him building that shelter, he was pretty hot building that shel"&amp;"ter. (chuckles) He's good at doing what he does. It's getting much easier and easier to flirt with Boston Rob, for sure.")</f>
        <v>S08 Amber (1/1): In the beginning, the flirting with Boston Rob was complete strategy for me, and on the other end, I thought it was complete strategy for him, too. And I'll admit, when I saw him building that shelter, he was pretty hot building that shelter. (chuckles) He's good at doing what he does. It's getting much easier and easier to flirt with Boston Rob, for sure.</v>
      </c>
      <c r="BP3" s="4"/>
      <c r="BQ3" s="3" t="str">
        <f>IFERROR(__xludf.DUMMYFUNCTION("""COMPUTED_VALUE"""),"S07 Sandra (2/9): When we got to the village, I was lucky that I knew Spanish. And I was trying to bargain with the lady at the store and ask people for certain things.")</f>
        <v>S07 Sandra (2/9): When we got to the village, I was lucky that I knew Spanish. And I was trying to bargain with the lady at the store and ask people for certain things.</v>
      </c>
      <c r="BR3" s="4"/>
      <c r="BS3" s="3"/>
      <c r="BT3" s="4"/>
      <c r="BU3" s="3"/>
      <c r="BV3" s="4"/>
      <c r="BW3" s="3"/>
      <c r="BX3" s="4"/>
      <c r="BY3" s="3"/>
      <c r="BZ3" s="4"/>
      <c r="CA3" s="3"/>
      <c r="CB3" s="4"/>
      <c r="CC3" s="3"/>
      <c r="CD3" s="4"/>
    </row>
    <row r="4">
      <c r="A4" s="3"/>
      <c r="B4" s="4"/>
      <c r="C4" s="3" t="str">
        <f>IFERROR(__xludf.DUMMYFUNCTION("""COMPUTED_VALUE"""),"S40 Tony (3/6): But right now, I don’t wanna put a target on my back by showing them that I'm back to the old Tony Vlachos’ antics. So I want everybody to get nice and comfortable with me, ‘cause their guards are here right now and they're slowly coming d"&amp;"own as they see Tony around the camp all day, all night. It’s coming down like this, and when it gets down to here… (throws punch) bang! that's where the sucker punch comes in.")</f>
        <v>S40 Tony (3/6): But right now, I don’t wanna put a target on my back by showing them that I'm back to the old Tony Vlachos’ antics. So I want everybody to get nice and comfortable with me, ‘cause their guards are here right now and they're slowly coming down as they see Tony around the camp all day, all night. It’s coming down like this, and when it gets down to here… (throws punch) bang! that's where the sucker punch comes in.</v>
      </c>
      <c r="D4" s="4"/>
      <c r="E4" s="3"/>
      <c r="F4" s="4"/>
      <c r="G4" s="3"/>
      <c r="H4" s="4"/>
      <c r="I4" s="3"/>
      <c r="J4" s="4"/>
      <c r="K4" s="3"/>
      <c r="L4" s="4"/>
      <c r="M4" s="3" t="str">
        <f>IFERROR(__xludf.DUMMYFUNCTION("""COMPUTED_VALUE"""),"S35 Ben (1/2): Man, this group is like old paint. It’s cracked and fractured everywhere. I’m not sure who I can trust. The core four is gone. The perception might be there in some people’s heads… not-- actually no, it’s not. It’s done. The whole thing’s s"&amp;"hot. Now it’s every man for himself.")</f>
        <v>S35 Ben (1/2): Man, this group is like old paint. It’s cracked and fractured everywhere. I’m not sure who I can trust. The core four is gone. The perception might be there in some people’s heads… not-- actually no, it’s not. It’s done. The whole thing’s shot. Now it’s every man for himself.</v>
      </c>
      <c r="N4" s="4"/>
      <c r="O4" s="3" t="str">
        <f>IFERROR(__xludf.DUMMYFUNCTION("""COMPUTED_VALUE"""),"S34 Sarah (1/2): Tavua, who started literally from scratch, has somehow banded together, and we’re just, like, dominating stuff now. But I don’t want to be overconfident. In the event that something crazy happens, I need options.")</f>
        <v>S34 Sarah (1/2): Tavua, who started literally from scratch, has somehow banded together, and we’re just, like, dominating stuff now. But I don’t want to be overconfident. In the event that something crazy happens, I need options.</v>
      </c>
      <c r="P4" s="4"/>
      <c r="Q4" s="3" t="str">
        <f>IFERROR(__xludf.DUMMYFUNCTION("""COMPUTED_VALUE"""),"S33 Adam (3/5): Everybody's so excited. Everybody's really happy to get to know each other. I'm looking up at the sky, it's getting dark. It's only gonna get worse. Nobody seems to really care. I think the difference between Gen Xs and Millennials, is tha"&amp;"t Gen Xs believe that you have to put in your time in order to get to where you want to be. Millennials don't believe that. They believe that if you set your mind to something and you dream big, you can go and accomplish it now.")</f>
        <v>S33 Adam (3/5): Everybody's so excited. Everybody's really happy to get to know each other. I'm looking up at the sky, it's getting dark. It's only gonna get worse. Nobody seems to really care. I think the difference between Gen Xs and Millennials, is that Gen Xs believe that you have to put in your time in order to get to where you want to be. Millennials don't believe that. They believe that if you set your mind to something and you dream big, you can go and accomplish it now.</v>
      </c>
      <c r="R4" s="4"/>
      <c r="S4" s="3" t="str">
        <f>IFERROR(__xludf.DUMMYFUNCTION("""COMPUTED_VALUE"""),"S32 Michele (1/2): They’re just two totally different personalities that you wouldn’t think connect, and somehow, they just get each other.")</f>
        <v>S32 Michele (1/2): They’re just two totally different personalities that you wouldn’t think connect, and somehow, they just get each other.</v>
      </c>
      <c r="T4" s="4"/>
      <c r="U4" s="3" t="str">
        <f>IFERROR(__xludf.DUMMYFUNCTION("""COMPUTED_VALUE"""),"S31 Jeremy (1/1): (tearfully) Trying to have fun and be all business. And then Savage bringing up that story with his wife, yeah, it touches you, you know? I mean, it makes you think. My wife is pregnant and I just want to see her stomach, you know what I"&amp;" mean? I want to be there to see it grow. (sniffles) I’m not telling anybody. I got so much riding on me anyway, I know they’re going to come after me as a physical threat. And you’re going to add on that my wife is pregnant, no one is going to want to ta"&amp;"ke me to the end. But I got to control this a little bit. Val knows how much this means to me and to her, you know? She’s the reason why I’m doing this again, you know?")</f>
        <v>S31 Jeremy (1/1): (tearfully) Trying to have fun and be all business. And then Savage bringing up that story with his wife, yeah, it touches you, you know? I mean, it makes you think. My wife is pregnant and I just want to see her stomach, you know what I mean? I want to be there to see it grow. (sniffles) I’m not telling anybody. I got so much riding on me anyway, I know they’re going to come after me as a physical threat. And you’re going to add on that my wife is pregnant, no one is going to want to take me to the end. But I got to control this a little bit. Val knows how much this means to me and to her, you know? She’s the reason why I’m doing this again, you know?</v>
      </c>
      <c r="V4" s="4"/>
      <c r="W4" s="3" t="str">
        <f>IFERROR(__xludf.DUMMYFUNCTION("""COMPUTED_VALUE"""),"S30 Mike (3/4): I knew whenever I came out here, that if there was an extra chance to get protein, that I was going to take that chance. It just so happens that that might not have been the greatest decision that I ever made.")</f>
        <v>S30 Mike (3/4): I knew whenever I came out here, that if there was an extra chance to get protein, that I was going to take that chance. It just so happens that that might not have been the greatest decision that I ever made.</v>
      </c>
      <c r="X4" s="4"/>
      <c r="Y4" s="3" t="str">
        <f>IFERROR(__xludf.DUMMYFUNCTION("""COMPUTED_VALUE"""),"S29 Natalie (1/1): (weeping) Oh, Nadiya got voted off. She's probably fine and its just that we're not together will be the hard part. Now it's just, like, really good motivation for me to keep my head in the game and just play hard so that I can just at "&amp;"least go as far as I can.")</f>
        <v>S29 Natalie (1/1): (weeping) Oh, Nadiya got voted off. She's probably fine and its just that we're not together will be the hard part. Now it's just, like, really good motivation for me to keep my head in the game and just play hard so that I can just at least go as far as I can.</v>
      </c>
      <c r="Z4" s="4"/>
      <c r="AA4" s="3" t="str">
        <f>IFERROR(__xludf.DUMMYFUNCTION("""COMPUTED_VALUE"""),"S28 Tony (3/3): I thought for a split second, “Should I tell her I’m a cop?” But then I said, “You know what? If I tell them I’m a police officer, the first thing they’re gonna be thinking is, like, this guy’s strategical, he’s tactical, he’s probably sha"&amp;"rp on his toes, he’s very observant.” And they’re gonna be right. So obviously I’m a threat to them, so they’re gonna probably want to try and blindside me right away.")</f>
        <v>S28 Tony (3/3): I thought for a split second, “Should I tell her I’m a cop?” But then I said, “You know what? If I tell them I’m a police officer, the first thing they’re gonna be thinking is, like, this guy’s strategical, he’s tactical, he’s probably sharp on his toes, he’s very observant.” And they’re gonna be right. So obviously I’m a threat to them, so they’re gonna probably want to try and blindside me right away.</v>
      </c>
      <c r="AB4" s="4"/>
      <c r="AC4" s="3" t="str">
        <f>IFERROR(__xludf.DUMMYFUNCTION("""COMPUTED_VALUE"""),"S27 Tyson (1/3): (tearfully) It was hard to see Rachel at Redemption. I knew she was going to be there. It was the only move for them that made sense, really, if they wanted to try and win challenges. So now I have to get all the way to the end or I would"&amp;" regret not stepping in for Rachel. When she lost and I got to hug her, I asked her if she had fun and she said she did and for me that was enough. Because it is a game, you know? Too many people take it too serious and it shouldn't be. And it ruins their"&amp;" lives and it makes them angry and a good example of that is Colton.")</f>
        <v>S27 Tyson (1/3): (tearfully) It was hard to see Rachel at Redemption. I knew she was going to be there. It was the only move for them that made sense, really, if they wanted to try and win challenges. So now I have to get all the way to the end or I would regret not stepping in for Rachel. When she lost and I got to hug her, I asked her if she had fun and she said she did and for me that was enough. Because it is a game, you know? Too many people take it too serious and it shouldn't be. And it ruins their lives and it makes them angry and a good example of that is Colton.</v>
      </c>
      <c r="AD4" s="4"/>
      <c r="AE4" s="3" t="str">
        <f>IFERROR(__xludf.DUMMYFUNCTION("""COMPUTED_VALUE"""),"S26 Cochran (3/6): Sunburn aside, I have basically instant rapport with ever-- I say everybody on my tribe, uh, is-is intensely satisfying. It’s basically the aloe to my sunburn, as it were.")</f>
        <v>S26 Cochran (3/6): Sunburn aside, I have basically instant rapport with ever-- I say everybody on my tribe, uh, is-is intensely satisfying. It’s basically the aloe to my sunburn, as it were.</v>
      </c>
      <c r="AF4" s="4"/>
      <c r="AG4" s="3" t="str">
        <f>IFERROR(__xludf.DUMMYFUNCTION("""COMPUTED_VALUE"""),"S25 Denise (3/3): Right now, there's this feeling that Russell has maybe found an Immunity Idol and so Zane might have a shot to stay. But, you know, nothing against Zane, but this is not the point in the game where you can have weak players. You know, Go"&amp;"d, it just sucks having to make this decision.")</f>
        <v>S25 Denise (3/3): Right now, there's this feeling that Russell has maybe found an Immunity Idol and so Zane might have a shot to stay. But, you know, nothing against Zane, but this is not the point in the game where you can have weak players. You know, God, it just sucks having to make this decision.</v>
      </c>
      <c r="AH4" s="4"/>
      <c r="AI4" s="3" t="str">
        <f>IFERROR(__xludf.DUMMYFUNCTION("""COMPUTED_VALUE"""),"S24 Kim (1/2): I was thankful last night that we stuck to our guns a little bit after Tribal and-and didn't run over and jumped in the men's shelter. But going over there this morning, I have no shame. (laughs) Like, I've never been so miserable. I couldn"&amp;"'t get my tail over there to that fire fast enough. But I hope this is a temporary pit stop at the men's camp. I don't think any of the girls want to stand over there. It's uncomfortable mooching off of them. I mean, they're all like, “Excuse me. Move, mo"&amp;"ve.”")</f>
        <v>S24 Kim (1/2): I was thankful last night that we stuck to our guns a little bit after Tribal and-and didn't run over and jumped in the men's shelter. But going over there this morning, I have no shame. (laughs) Like, I've never been so miserable. I couldn't get my tail over there to that fire fast enough. But I hope this is a temporary pit stop at the men's camp. I don't think any of the girls want to stand over there. It's uncomfortable mooching off of them. I mean, they're all like, “Excuse me. Move, move.”</v>
      </c>
      <c r="AJ4" s="4"/>
      <c r="AK4" s="3" t="str">
        <f>IFERROR(__xludf.DUMMYFUNCTION("""COMPUTED_VALUE"""),"S23 Sophie (1/1): For some reason or other, Brandon wants to vote out Mikayla. I don't know what his deal is. Maybe Brandon is threatened by Mikayla 'cause she's a strong woman and if that's the case, it worries me because I think that I'm quite strong as"&amp;" well.")</f>
        <v>S23 Sophie (1/1): For some reason or other, Brandon wants to vote out Mikayla. I don't know what his deal is. Maybe Brandon is threatened by Mikayla 'cause she's a strong woman and if that's the case, it worries me because I think that I'm quite strong as well.</v>
      </c>
      <c r="AL4" s="4"/>
      <c r="AM4" s="3" t="str">
        <f>IFERROR(__xludf.DUMMYFUNCTION("""COMPUTED_VALUE"""),"S22 Rob (2/12): This guy Phillip, F.B.I., whatever Special Agent, he is a piece of work. He told me that I own his vote for the rest of the time he's here until he goes to Redemption Island. I don't know if he's delusional. I think he's a good-hearted guy"&amp;". I do. Just might not all be there. Let it be a lesson to you... government jobs, stressful.")</f>
        <v>S22 Rob (2/12): This guy Phillip, F.B.I., whatever Special Agent, he is a piece of work. He told me that I own his vote for the rest of the time he's here until he goes to Redemption Island. I don't know if he's delusional. I think he's a good-hearted guy. I do. Just might not all be there. Let it be a lesson to you... government jobs, stressful.</v>
      </c>
      <c r="AN4" s="4"/>
      <c r="AO4" s="3" t="str">
        <f>IFERROR(__xludf.DUMMYFUNCTION("""COMPUTED_VALUE"""),"S21 Fabio (3/3): The name Fabio, man, I didn't even realize I was being called that at first. Fabio, like, rides a white horse and does butter commercials and is kind of a cheese ball. Whatever. Dude, I don't care what they call me. I'm gonna win the mill"&amp;"ion dollars so I guess my nickname is Fabio.")</f>
        <v>S21 Fabio (3/3): The name Fabio, man, I didn't even realize I was being called that at first. Fabio, like, rides a white horse and does butter commercials and is kind of a cheese ball. Whatever. Dude, I don't care what they call me. I'm gonna win the million dollars so I guess my nickname is Fabio.</v>
      </c>
      <c r="AP4" s="4"/>
      <c r="AQ4" s="3"/>
      <c r="AR4" s="4"/>
      <c r="AS4" s="3"/>
      <c r="AT4" s="4"/>
      <c r="AU4" s="3"/>
      <c r="AV4" s="4"/>
      <c r="AW4" s="3"/>
      <c r="AX4" s="4"/>
      <c r="AY4" s="3"/>
      <c r="AZ4" s="4"/>
      <c r="BA4" s="3"/>
      <c r="BB4" s="4"/>
      <c r="BC4" s="3"/>
      <c r="BD4" s="4"/>
      <c r="BE4" s="3"/>
      <c r="BF4" s="4"/>
      <c r="BG4" s="3"/>
      <c r="BH4" s="4"/>
      <c r="BI4" s="3"/>
      <c r="BJ4" s="4"/>
      <c r="BK4" s="3" t="str">
        <f>IFERROR(__xludf.DUMMYFUNCTION("""COMPUTED_VALUE"""),"S10 Tom (1/1): We went at it at the absolute worse time, and the current was ripping like I've never seen the ocean tide rip. It was like almost, like being in a fast-moving river. We were paddling as fast as we could and just barely holding position.")</f>
        <v>S10 Tom (1/1): We went at it at the absolute worse time, and the current was ripping like I've never seen the ocean tide rip. It was like almost, like being in a fast-moving river. We were paddling as fast as we could and just barely holding position.</v>
      </c>
      <c r="BL4" s="4"/>
      <c r="BM4" s="3" t="str">
        <f>IFERROR(__xludf.DUMMYFUNCTION("""COMPUTED_VALUE"""),"S09 Chris (3/4): I really wanted to make it across the beam. And, you know, if I had wings, I'd have made it, you know? I would have made myself go across the beam. But this game, you outwit, outplay, outlast people. You don't out-balance ‘em.")</f>
        <v>S09 Chris (3/4): I really wanted to make it across the beam. And, you know, if I had wings, I'd have made it, you know? I would have made myself go across the beam. But this game, you outwit, outplay, outlast people. You don't out-balance ‘em.</v>
      </c>
      <c r="BN4" s="4"/>
      <c r="BO4" s="3" t="str">
        <f>IFERROR(__xludf.DUMMYFUNCTION("""COMPUTED_VALUE"""),"S08 Amber (1/1): We have constructed a shelter that is pretty unbelievable. We used everything possible that we got from our reward. We put the parachute as a wall, we have the tarp on top.")</f>
        <v>S08 Amber (1/1): We have constructed a shelter that is pretty unbelievable. We used everything possible that we got from our reward. We put the parachute as a wall, we have the tarp on top.</v>
      </c>
      <c r="BP4" s="4"/>
      <c r="BQ4" s="3" t="str">
        <f>IFERROR(__xludf.DUMMYFUNCTION("""COMPUTED_VALUE"""),"S07 Sandra (3/9): The lady at the store had it in for Trisha. Trisha thought the lady was laughing and giggling with her or whatever. But the lady actually, I think, you know, liked her in a sexual way. There's, uh, Trisha hugging the lady, laughing and g"&amp;"iggling like it's all good. And I'm like, ""Yo, we need to go.""")</f>
        <v>S07 Sandra (3/9): The lady at the store had it in for Trisha. Trisha thought the lady was laughing and giggling with her or whatever. But the lady actually, I think, you know, liked her in a sexual way. There's, uh, Trisha hugging the lady, laughing and giggling like it's all good. And I'm like, "Yo, we need to go."</v>
      </c>
      <c r="BR4" s="4"/>
      <c r="BS4" s="3"/>
      <c r="BT4" s="4"/>
      <c r="BU4" s="3"/>
      <c r="BV4" s="4"/>
      <c r="BW4" s="3"/>
      <c r="BX4" s="4"/>
      <c r="BY4" s="3"/>
      <c r="BZ4" s="4"/>
      <c r="CA4" s="3"/>
      <c r="CB4" s="4"/>
      <c r="CC4" s="3"/>
      <c r="CD4" s="4"/>
    </row>
    <row r="5">
      <c r="A5" s="3"/>
      <c r="B5" s="4"/>
      <c r="C5" s="3" t="str">
        <f>IFERROR(__xludf.DUMMYFUNCTION("""COMPUTED_VALUE"""),"S40 Tony (4/6): Tyson wants to vote me out. Oh, come on, man, really?! Alright, let’s go! You know, they see me calm and cool and laid down and relaxed, but when I know it’s game on, I go straight to ten.")</f>
        <v>S40 Tony (4/6): Tyson wants to vote me out. Oh, come on, man, really?! Alright, let’s go! You know, they see me calm and cool and laid down and relaxed, but when I know it’s game on, I go straight to ten.</v>
      </c>
      <c r="D5" s="4"/>
      <c r="E5" s="3"/>
      <c r="F5" s="4"/>
      <c r="G5" s="3"/>
      <c r="H5" s="4"/>
      <c r="I5" s="3"/>
      <c r="J5" s="4"/>
      <c r="K5" s="3"/>
      <c r="L5" s="4"/>
      <c r="M5" s="3" t="str">
        <f>IFERROR(__xludf.DUMMYFUNCTION("""COMPUTED_VALUE"""),"S35 Ben (2/2): Alan and I were aligned from the get-go, but after he blew up at Tribal the other night, I just don’t know if I can work with him. Chrissy is a smart woman, and she has a good head on her shoulders. And that’s gonna help me get further in t"&amp;"he game. At this point, Chrissy and I are in the driver’s seat, and whatever we decide to do is what’s gonna happen.")</f>
        <v>S35 Ben (2/2): Alan and I were aligned from the get-go, but after he blew up at Tribal the other night, I just don’t know if I can work with him. Chrissy is a smart woman, and she has a good head on her shoulders. And that’s gonna help me get further in the game. At this point, Chrissy and I are in the driver’s seat, and whatever we decide to do is what’s gonna happen.</v>
      </c>
      <c r="N5" s="4"/>
      <c r="O5" s="3" t="str">
        <f>IFERROR(__xludf.DUMMYFUNCTION("""COMPUTED_VALUE"""),"S34 Sarah (2/2): At this point, Troyzan’s the odd one out against me and the other four, but the set four, that’s stupid. That’s boring. I don’t like it. Let’s grow up. Come on. I’m completely playing this game like a criminal this time. I know how crimin"&amp;"als lie to me. So I know how to lie to these people.")</f>
        <v>S34 Sarah (2/2): At this point, Troyzan’s the odd one out against me and the other four, but the set four, that’s stupid. That’s boring. I don’t like it. Let’s grow up. Come on. I’m completely playing this game like a criminal this time. I know how criminals lie to me. So I know how to lie to these people.</v>
      </c>
      <c r="P5" s="4"/>
      <c r="Q5" s="3" t="str">
        <f>IFERROR(__xludf.DUMMYFUNCTION("""COMPUTED_VALUE"""),"S33 Adam (4/5): My jaw drops! This is unprecedented! This is something that we've never seen. There have been bad storms on Survivor, but we have never done this in the history of 33 seasons of Survivor.")</f>
        <v>S33 Adam (4/5): My jaw drops! This is unprecedented! This is something that we've never seen. There have been bad storms on Survivor, but we have never done this in the history of 33 seasons of Survivor.</v>
      </c>
      <c r="R5" s="4"/>
      <c r="S5" s="3" t="str">
        <f>IFERROR(__xludf.DUMMYFUNCTION("""COMPUTED_VALUE"""),"S32 Michele (2/2): The bromance is real out here. They bicker like a married couple, and then they kiss and make up.")</f>
        <v>S32 Michele (2/2): The bromance is real out here. They bicker like a married couple, and then they kiss and make up.</v>
      </c>
      <c r="T5" s="4"/>
      <c r="U5" s="3" t="str">
        <f>IFERROR(__xludf.DUMMYFUNCTION("""COMPUTED_VALUE"""),"S31 Jeremy (1/4): When Spencer joined up, he needed to talk to me. And, uh, it was good to sit down and talk because I think he’s a stand-up guy, like, someone that you can really connect with and trust. He’s funny and, like, I’m digging the kid. He’s alr"&amp;"ight. I think we could definitely have a bond. I’m not sure how long we’ll keep him, but we can use him for right now. You know, I’ll take that.")</f>
        <v>S31 Jeremy (1/4): When Spencer joined up, he needed to talk to me. And, uh, it was good to sit down and talk because I think he’s a stand-up guy, like, someone that you can really connect with and trust. He’s funny and, like, I’m digging the kid. He’s alright. I think we could definitely have a bond. I’m not sure how long we’ll keep him, but we can use him for right now. You know, I’ll take that.</v>
      </c>
      <c r="V5" s="4"/>
      <c r="W5" s="3" t="str">
        <f>IFERROR(__xludf.DUMMYFUNCTION("""COMPUTED_VALUE"""),"S30 Mike (4/4): Maybe not the best decision to eat a scorpion on the first day of Survivor. But I'm the type of person, if I see an opportunity in front of me, I'm going to go grab it. I'm going to run as fast as I can and clench on as hard as I can and r"&amp;"ide that bull for as long as I can. I saw the scorpion, I seized the opportunity. And I paid the consequence. That's your boy.")</f>
        <v>S30 Mike (4/4): Maybe not the best decision to eat a scorpion on the first day of Survivor. But I'm the type of person, if I see an opportunity in front of me, I'm going to go grab it. I'm going to run as fast as I can and clench on as hard as I can and ride that bull for as long as I can. I saw the scorpion, I seized the opportunity. And I paid the consequence. That's your boy.</v>
      </c>
      <c r="X5" s="4"/>
      <c r="Y5" s="3" t="str">
        <f>IFERROR(__xludf.DUMMYFUNCTION("""COMPUTED_VALUE"""),"S29 Natalie (1/2): I don’t understand how you come out here and you’re with total strangers and you don’t feel the need to just pull your own weight. Drew is just a waste of space.")</f>
        <v>S29 Natalie (1/2): I don’t understand how you come out here and you’re with total strangers and you don’t feel the need to just pull your own weight. Drew is just a waste of space.</v>
      </c>
      <c r="Z5" s="4"/>
      <c r="AA5" s="3" t="str">
        <f>IFERROR(__xludf.DUMMYFUNCTION("""COMPUTED_VALUE"""),"S28 Tony (1/7): I’m looking at Cliff. I can’t tell you for a fact what basketball team he was on or what he did for a living or what he does for a living because I don’t really care. And then we have Lindsey and Sarah and Woo. Apparently they... they’re l"&amp;"ike fans of him. This is a game, I understand how the game is played. I just gotta make sure I’m aware of what’s going on.")</f>
        <v>S28 Tony (1/7): I’m looking at Cliff. I can’t tell you for a fact what basketball team he was on or what he did for a living or what he does for a living because I don’t really care. And then we have Lindsey and Sarah and Woo. Apparently they... they’re like fans of him. This is a game, I understand how the game is played. I just gotta make sure I’m aware of what’s going on.</v>
      </c>
      <c r="AB5" s="4"/>
      <c r="AC5" s="3" t="str">
        <f>IFERROR(__xludf.DUMMYFUNCTION("""COMPUTED_VALUE"""),"S27 Tyson (2/3): Right now, being here with Monica is a little weird. I mean, who wouldn't be bothered by that? You know, I know her husband was the main reason that Rachel got voted out but he doesn't know how to play the game. All he's doing is creating"&amp;" a larger target on his back.")</f>
        <v>S27 Tyson (2/3): Right now, being here with Monica is a little weird. I mean, who wouldn't be bothered by that? You know, I know her husband was the main reason that Rachel got voted out but he doesn't know how to play the game. All he's doing is creating a larger target on his back.</v>
      </c>
      <c r="AD5" s="4"/>
      <c r="AE5" s="3" t="str">
        <f>IFERROR(__xludf.DUMMYFUNCTION("""COMPUTED_VALUE"""),"S26 Cochran (4/6): Coming into this game I was a little bit, uh, skeptical of how Dawn would react to me ‘cause I arguably screwed her over last time. I voted her out. So I wasn’t sure if there was going to be any lingering resentment or what was going to"&amp;" be the case.")</f>
        <v>S26 Cochran (4/6): Coming into this game I was a little bit, uh, skeptical of how Dawn would react to me ‘cause I arguably screwed her over last time. I voted her out. So I wasn’t sure if there was going to be any lingering resentment or what was going to be the case.</v>
      </c>
      <c r="AF5" s="4"/>
      <c r="AG5" s="3" t="str">
        <f>IFERROR(__xludf.DUMMYFUNCTION("""COMPUTED_VALUE"""),"S25 Denise (1/3): Apparently, Roxy sees Malcolm and Angie as this couple, as this big threat, you know, kind of, “Hey, we need to split that up.” But Malcolm and I are in an alliance. I think part of it is just a twenty-four year-old guy snuggling up to s"&amp;"omething that is really nice to snuggle up to, but now it’s like, there’s these huge targets on their back.")</f>
        <v>S25 Denise (1/3): Apparently, Roxy sees Malcolm and Angie as this couple, as this big threat, you know, kind of, “Hey, we need to split that up.” But Malcolm and I are in an alliance. I think part of it is just a twenty-four year-old guy snuggling up to something that is really nice to snuggle up to, but now it’s like, there’s these huge targets on their back.</v>
      </c>
      <c r="AH5" s="4"/>
      <c r="AI5" s="3" t="str">
        <f>IFERROR(__xludf.DUMMYFUNCTION("""COMPUTED_VALUE"""),"S24 Kim (2/2): Things are starting to feel different. I actually feel like people get that they're here. I felt like before everybody was just like, “Where am I? (chuckles) What am I doing?”")</f>
        <v>S24 Kim (2/2): Things are starting to feel different. I actually feel like people get that they're here. I felt like before everybody was just like, “Where am I? (chuckles) What am I doing?”</v>
      </c>
      <c r="AJ5" s="4"/>
      <c r="AK5" s="3" t="str">
        <f>IFERROR(__xludf.DUMMYFUNCTION("""COMPUTED_VALUE"""),"S23 Sophie (1/1): God, oh, my God! I was in so much shock. We all didn't say anything after that. He's a loose cannon and there's a lot of tension between Brandon and Mikayla. In his biblical terms, he'd probably call her like, “The Whore of Babylon.” I t"&amp;"hink Brandon right now, is just really torn between following whatever crazy religious beliefs he has, and yet at the same time, he, like, inherently in his bloodline, is a devious jerk.")</f>
        <v>S23 Sophie (1/1): God, oh, my God! I was in so much shock. We all didn't say anything after that. He's a loose cannon and there's a lot of tension between Brandon and Mikayla. In his biblical terms, he'd probably call her like, “The Whore of Babylon.” I think Brandon right now, is just really torn between following whatever crazy religious beliefs he has, and yet at the same time, he, like, inherently in his bloodline, is a devious jerk.</v>
      </c>
      <c r="AL5" s="4"/>
      <c r="AM5" s="3" t="str">
        <f>IFERROR(__xludf.DUMMYFUNCTION("""COMPUTED_VALUE"""),"S22 Rob (3/12): With the exception of Phillip's little twist where he decided to out Francesca, things went pretty much according to plan. It seems as if this group of players knows how to follow directions. Phillip did it to himself. He's an idiot.")</f>
        <v>S22 Rob (3/12): With the exception of Phillip's little twist where he decided to out Francesca, things went pretty much according to plan. It seems as if this group of players knows how to follow directions. Phillip did it to himself. He's an idiot.</v>
      </c>
      <c r="AN5" s="4"/>
      <c r="AO5" s="3" t="str">
        <f>IFERROR(__xludf.DUMMYFUNCTION("""COMPUTED_VALUE"""),"S21 Fabio (1/2): I was gonna ask her, “Hey, do you think that you accidentally took my socks?” But before I could say anything, she went crazy.")</f>
        <v>S21 Fabio (1/2): I was gonna ask her, “Hey, do you think that you accidentally took my socks?” But before I could say anything, she went crazy.</v>
      </c>
      <c r="AP5" s="4"/>
      <c r="AQ5" s="3"/>
      <c r="AR5" s="4"/>
      <c r="AS5" s="3"/>
      <c r="AT5" s="4"/>
      <c r="AU5" s="3"/>
      <c r="AV5" s="4"/>
      <c r="AW5" s="3"/>
      <c r="AX5" s="4"/>
      <c r="AY5" s="3"/>
      <c r="AZ5" s="4"/>
      <c r="BA5" s="3"/>
      <c r="BB5" s="4"/>
      <c r="BC5" s="3"/>
      <c r="BD5" s="4"/>
      <c r="BE5" s="3"/>
      <c r="BF5" s="4"/>
      <c r="BG5" s="3"/>
      <c r="BH5" s="4"/>
      <c r="BI5" s="3"/>
      <c r="BJ5" s="4"/>
      <c r="BK5" s="3" t="str">
        <f>IFERROR(__xludf.DUMMYFUNCTION("""COMPUTED_VALUE"""),"S10 Tom (1/5): It’s been raining a couple times a day. We have kind of a lame shelter, and we’re kind of limited to supplies here. We’re getting wet at night, and we need a better shelter.")</f>
        <v>S10 Tom (1/5): It’s been raining a couple times a day. We have kind of a lame shelter, and we’re kind of limited to supplies here. We’re getting wet at night, and we need a better shelter.</v>
      </c>
      <c r="BL5" s="4"/>
      <c r="BM5" s="3" t="str">
        <f>IFERROR(__xludf.DUMMYFUNCTION("""COMPUTED_VALUE"""),"S09 Chris (4/4): I prepared to come here, mentally, and I prepared to play the game. I'm not vulnerable at all. We've got a plan.")</f>
        <v>S09 Chris (4/4): I prepared to come here, mentally, and I prepared to play the game. I'm not vulnerable at all. We've got a plan.</v>
      </c>
      <c r="BN5" s="4"/>
      <c r="BO5" s="3" t="str">
        <f>IFERROR(__xludf.DUMMYFUNCTION("""COMPUTED_VALUE"""),"S08 Amber (1/1): Well, this morning we got some Tree Mail which involves building a raft. We got a bunch of bamboo, some rope and one paddle. The biggest part of the challenge is obviously building it.")</f>
        <v>S08 Amber (1/1): Well, this morning we got some Tree Mail which involves building a raft. We got a bunch of bamboo, some rope and one paddle. The biggest part of the challenge is obviously building it.</v>
      </c>
      <c r="BP5" s="4"/>
      <c r="BQ5" s="3" t="str">
        <f>IFERROR(__xludf.DUMMYFUNCTION("""COMPUTED_VALUE"""),"S07 Sandra (4/9): We went around the corner, and there was this lady having-- they were dancing. She was having a barbecue, and I says, ""You know, I'll give you this gold chain for everything you have here."" And she looked at my chain, she was like, ""Y"&amp;"eah."" I put the chain around her neck, and she was like, ""What do you want?"" I said, ""I want all your chicken. I want your aluminum foil. I want your ketchup, your hot sauce, the barbecue sauce."" She had a cutting board, a knife. Everything! The only"&amp;" thing we didn't take was the grill.")</f>
        <v>S07 Sandra (4/9): We went around the corner, and there was this lady having-- they were dancing. She was having a barbecue, and I says, "You know, I'll give you this gold chain for everything you have here." And she looked at my chain, she was like, "Yeah." I put the chain around her neck, and she was like, "What do you want?" I said, "I want all your chicken. I want your aluminum foil. I want your ketchup, your hot sauce, the barbecue sauce." She had a cutting board, a knife. Everything! The only thing we didn't take was the grill.</v>
      </c>
      <c r="BR5" s="4"/>
      <c r="BS5" s="3"/>
      <c r="BT5" s="4"/>
      <c r="BU5" s="3"/>
      <c r="BV5" s="4"/>
      <c r="BW5" s="3"/>
      <c r="BX5" s="4"/>
      <c r="BY5" s="3"/>
      <c r="BZ5" s="4"/>
      <c r="CA5" s="3"/>
      <c r="CB5" s="4"/>
      <c r="CC5" s="3"/>
      <c r="CD5" s="4"/>
    </row>
    <row r="6">
      <c r="A6" s="3"/>
      <c r="B6" s="4"/>
      <c r="C6" s="3" t="str">
        <f>IFERROR(__xludf.DUMMYFUNCTION("""COMPUTED_VALUE"""),"S40 Tony (5/6): Tyson is very powerful and he’s dangerous. Um, he’s a very funny guy. Uh, people love him.")</f>
        <v>S40 Tony (5/6): Tyson is very powerful and he’s dangerous. Um, he’s a very funny guy. Uh, people love him.</v>
      </c>
      <c r="D6" s="4"/>
      <c r="E6" s="3"/>
      <c r="F6" s="4"/>
      <c r="G6" s="3"/>
      <c r="H6" s="4"/>
      <c r="I6" s="3"/>
      <c r="J6" s="4"/>
      <c r="K6" s="3"/>
      <c r="L6" s="4"/>
      <c r="M6" s="3" t="str">
        <f>IFERROR(__xludf.DUMMYFUNCTION("""COMPUTED_VALUE"""),"S35 Ben (1/2): So 7 days into the Hero tribe, at this point, you could say that Chrissy and I are driving the train. But moving forward, Chrissy and I need to figure out who’s going to be the next target. Ashley is a good, hard worker and she’s fun, so th"&amp;"e better choices are JP or Alan. Alan and I were aligned from Day 1, but Alan is a hot head and a loose cannon, and JP, he’s walking around here like he don’t know what’s going on. But JP would be good to have around camp because he does fish and everythi"&amp;"ng. So, right now, Chrissy and I haven’t made any decisions.")</f>
        <v>S35 Ben (1/2): So 7 days into the Hero tribe, at this point, you could say that Chrissy and I are driving the train. But moving forward, Chrissy and I need to figure out who’s going to be the next target. Ashley is a good, hard worker and she’s fun, so the better choices are JP or Alan. Alan and I were aligned from Day 1, but Alan is a hot head and a loose cannon, and JP, he’s walking around here like he don’t know what’s going on. But JP would be good to have around camp because he does fish and everything. So, right now, Chrissy and I haven’t made any decisions.</v>
      </c>
      <c r="N6" s="4"/>
      <c r="O6" s="3" t="str">
        <f>IFERROR(__xludf.DUMMYFUNCTION("""COMPUTED_VALUE"""),"S34 Sarah (1/1): The reason Sandra has won twice is because she doesn’t come off as the most dangerous person in this game. I almost feel like the way Sandra talks to people is she’s grooming us. She doesn’t pressure you. Her voice never raises. It’s calm"&amp;". And she just starts to suck you in.")</f>
        <v>S34 Sarah (1/1): The reason Sandra has won twice is because she doesn’t come off as the most dangerous person in this game. I almost feel like the way Sandra talks to people is she’s grooming us. She doesn’t pressure you. Her voice never raises. It’s calm. And she just starts to suck you in.</v>
      </c>
      <c r="P6" s="4"/>
      <c r="Q6" s="3" t="str">
        <f>IFERROR(__xludf.DUMMYFUNCTION("""COMPUTED_VALUE"""),"S33 Adam (5/5): This is not all fun and games. This is the real deal. This is a real cyclone, and there are real people's lives at stake.")</f>
        <v>S33 Adam (5/5): This is not all fun and games. This is the real deal. This is a real cyclone, and there are real people's lives at stake.</v>
      </c>
      <c r="R6" s="4"/>
      <c r="S6" s="3" t="str">
        <f>IFERROR(__xludf.DUMMYFUNCTION("""COMPUTED_VALUE"""),"S32 Michele (1/3): What… the… heck?! The girls’ alliance got clean divided. To have the people that you trust the most out here go three different ways, it’s crushing.")</f>
        <v>S32 Michele (1/3): What… the… heck?! The girls’ alliance got clean divided. To have the people that you trust the most out here go three different ways, it’s crushing.</v>
      </c>
      <c r="T6" s="4"/>
      <c r="U6" s="3" t="str">
        <f>IFERROR(__xludf.DUMMYFUNCTION("""COMPUTED_VALUE"""),"S31 Jeremy (2/4): I’m so frustrated looking for that thing. It’s not here, you know what I mean? Is it on the ground? Is it in a tree? Is it high up? Is it in the water? Like, I don’t know nothing. It could be anywhere. But this is my second chance, and I"&amp;"-I feel like I have to work harder this time.")</f>
        <v>S31 Jeremy (2/4): I’m so frustrated looking for that thing. It’s not here, you know what I mean? Is it on the ground? Is it in a tree? Is it high up? Is it in the water? Like, I don’t know nothing. It could be anywhere. But this is my second chance, and I-I feel like I have to work harder this time.</v>
      </c>
      <c r="V6" s="4"/>
      <c r="W6" s="3" t="str">
        <f>IFERROR(__xludf.DUMMYFUNCTION("""COMPUTED_VALUE"""),"S30 Mike (1/2): Dan lost his underwear and made this makeshift shirt-pants where he's got his belt wrapped around his waist with a shirt folded in such a way where he doesn't show his rear or his junk.")</f>
        <v>S30 Mike (1/2): Dan lost his underwear and made this makeshift shirt-pants where he's got his belt wrapped around his waist with a shirt folded in such a way where he doesn't show his rear or his junk.</v>
      </c>
      <c r="X6" s="4"/>
      <c r="Y6" s="3" t="str">
        <f>IFERROR(__xludf.DUMMYFUNCTION("""COMPUTED_VALUE"""),"S29 Natalie (2/2): Well, I don’t feel sorry for Julie at all. Julie’s just covering his ass and trying to cover her’s. Knowing that Big John made some racist comments and homophobic comments, I just want the other tribe to just grow, you know, a pair of b"&amp;"alls and just stand up against him.")</f>
        <v>S29 Natalie (2/2): Well, I don’t feel sorry for Julie at all. Julie’s just covering his ass and trying to cover her’s. Knowing that Big John made some racist comments and homophobic comments, I just want the other tribe to just grow, you know, a pair of balls and just stand up against him.</v>
      </c>
      <c r="Z6" s="4"/>
      <c r="AA6" s="3" t="str">
        <f>IFERROR(__xludf.DUMMYFUNCTION("""COMPUTED_VALUE"""),"S28 Tony (2/7): I trust Trish. She’s a genuine person. So she’s out there, she’s busting her ass too, while everybody else is just full of drama.")</f>
        <v>S28 Tony (2/7): I trust Trish. She’s a genuine person. So she’s out there, she’s busting her ass too, while everybody else is just full of drama.</v>
      </c>
      <c r="AB6" s="4"/>
      <c r="AC6" s="3" t="str">
        <f>IFERROR(__xludf.DUMMYFUNCTION("""COMPUTED_VALUE"""),"S27 Tyson (3/3): When Hayden hit me I knew that I'd hurt myself. I really couldn't move it at all and I thought my whole game is screwed.")</f>
        <v>S27 Tyson (3/3): When Hayden hit me I knew that I'd hurt myself. I really couldn't move it at all and I thought my whole game is screwed.</v>
      </c>
      <c r="AD6" s="4"/>
      <c r="AE6" s="3" t="str">
        <f>IFERROR(__xludf.DUMMYFUNCTION("""COMPUTED_VALUE"""),"S26 Cochran (5/6): I’m willing to work with her. She’s honest to a fault unless she’s kind of reinvented herself over the past year and decided to play a much more cutthroat game, which actually she might be. The fact that she is willing to take out Frann"&amp;"ie, who she’s confessed to really liking and wanting to work with, indicates this is a new Dawn. A new Daw… (laughs) Sorry.")</f>
        <v>S26 Cochran (5/6): I’m willing to work with her. She’s honest to a fault unless she’s kind of reinvented herself over the past year and decided to play a much more cutthroat game, which actually she might be. The fact that she is willing to take out Frannie, who she’s confessed to really liking and wanting to work with, indicates this is a new Dawn. A new Daw… (laughs) Sorry.</v>
      </c>
      <c r="AF6" s="4"/>
      <c r="AG6" s="3" t="str">
        <f>IFERROR(__xludf.DUMMYFUNCTION("""COMPUTED_VALUE"""),"S25 Denise (2/3): Roxy, she's praying for, like, sunshine from God. If it works for her, fantastic. I'm respectful, but it's just not my gig. I don't pray for anything. Anything that's going to get me to the end of the game, it's going to be me. We have a"&amp;"nother challenge coming up, and not once does my mind go to, “God, help me win this challenge.” No. Dig in, dig deep and make it happen.")</f>
        <v>S25 Denise (2/3): Roxy, she's praying for, like, sunshine from God. If it works for her, fantastic. I'm respectful, but it's just not my gig. I don't pray for anything. Anything that's going to get me to the end of the game, it's going to be me. We have another challenge coming up, and not once does my mind go to, “God, help me win this challenge.” No. Dig in, dig deep and make it happen.</v>
      </c>
      <c r="AH6" s="4"/>
      <c r="AI6" s="3" t="str">
        <f>IFERROR(__xludf.DUMMYFUNCTION("""COMPUTED_VALUE"""),"S24 Kim (1/2): I think Jonas is a real rude dude. I mean, he made the offer with the net and then kept saying, “I mean, I don't care. I don't care. I don't care,” but obviously he cares a lot.")</f>
        <v>S24 Kim (1/2): I think Jonas is a real rude dude. I mean, he made the offer with the net and then kept saying, “I mean, I don't care. I don't care. I don't care,” but obviously he cares a lot.</v>
      </c>
      <c r="AJ6" s="4"/>
      <c r="AK6" s="3" t="str">
        <f>IFERROR(__xludf.DUMMYFUNCTION("""COMPUTED_VALUE"""),"S23 Sophie (1/1): I thought I had a five strong plus, you know, Edna alliance going. And it seems like we're going to have to do some reshuffling only because our alliance is based on trust, and just because you're in it doesn't mean we're, you know, we'r"&amp;"e always going to trust you. We'll trust you until you do something wrong and right now it looks more and more like Brandon is just a small, small, you know, Russell Hantz.")</f>
        <v>S23 Sophie (1/1): I thought I had a five strong plus, you know, Edna alliance going. And it seems like we're going to have to do some reshuffling only because our alliance is based on trust, and just because you're in it doesn't mean we're, you know, we're always going to trust you. We'll trust you until you do something wrong and right now it looks more and more like Brandon is just a small, small, you know, Russell Hantz.</v>
      </c>
      <c r="AL6" s="4"/>
      <c r="AM6" s="3" t="str">
        <f>IFERROR(__xludf.DUMMYFUNCTION("""COMPUTED_VALUE"""),"S22 Rob (4/12): Matt's trying to play the good guy, but Andrea knows what she wants, and if she can have her little puppy dog along for the ride, she's going to walk him. She's going to walk him all over this island. And for me, that's not good because I "&amp;"know how strong a pair can be in this game... like Amber and I. But now I'm thinking about who I'm going to sit next to at the end.")</f>
        <v>S22 Rob (4/12): Matt's trying to play the good guy, but Andrea knows what she wants, and if she can have her little puppy dog along for the ride, she's going to walk him. She's going to walk him all over this island. And for me, that's not good because I know how strong a pair can be in this game... like Amber and I. But now I'm thinking about who I'm going to sit next to at the end.</v>
      </c>
      <c r="AN6" s="4"/>
      <c r="AO6" s="3" t="str">
        <f>IFERROR(__xludf.DUMMYFUNCTION("""COMPUTED_VALUE"""),"S21 Fabio (2/2): We're still not sure about Chase, man, as weird as that sounds. And we're wondering if Chase is going to lie to Brenda and vote her out or tell the four of us one thing and then flip.")</f>
        <v>S21 Fabio (2/2): We're still not sure about Chase, man, as weird as that sounds. And we're wondering if Chase is going to lie to Brenda and vote her out or tell the four of us one thing and then flip.</v>
      </c>
      <c r="AP6" s="4"/>
      <c r="AQ6" s="3"/>
      <c r="AR6" s="4"/>
      <c r="AS6" s="3"/>
      <c r="AT6" s="4"/>
      <c r="AU6" s="3"/>
      <c r="AV6" s="4"/>
      <c r="AW6" s="3"/>
      <c r="AX6" s="4"/>
      <c r="AY6" s="3"/>
      <c r="AZ6" s="4"/>
      <c r="BA6" s="3"/>
      <c r="BB6" s="4"/>
      <c r="BC6" s="3"/>
      <c r="BD6" s="4"/>
      <c r="BE6" s="3"/>
      <c r="BF6" s="4"/>
      <c r="BG6" s="3"/>
      <c r="BH6" s="4"/>
      <c r="BI6" s="3"/>
      <c r="BJ6" s="4"/>
      <c r="BK6" s="3" t="str">
        <f>IFERROR(__xludf.DUMMYFUNCTION("""COMPUTED_VALUE"""),"S10 Tom (2/5): We all took a walk down the beach and, uh, spotted a couple of banded, uh, sea snakes. They are very venomous, one of the most venomous snakes there is. We’re hungry, and it was a big motivation. The plan was to just pin it down, hold it do"&amp;"wn and then lop off its head.")</f>
        <v>S10 Tom (2/5): We all took a walk down the beach and, uh, spotted a couple of banded, uh, sea snakes. They are very venomous, one of the most venomous snakes there is. We’re hungry, and it was a big motivation. The plan was to just pin it down, hold it down and then lop off its head.</v>
      </c>
      <c r="BL6" s="4"/>
      <c r="BM6" s="3" t="str">
        <f>IFERROR(__xludf.DUMMYFUNCTION("""COMPUTED_VALUE"""),"S09 Chris (1/1): It's been pretty tough, a lot tougher than I thought it would be. Nothing positive's really happened for us. We need something to boost our morale.")</f>
        <v>S09 Chris (1/1): It's been pretty tough, a lot tougher than I thought it would be. Nothing positive's really happened for us. We need something to boost our morale.</v>
      </c>
      <c r="BN6" s="4"/>
      <c r="BO6" s="3" t="str">
        <f>IFERROR(__xludf.DUMMYFUNCTION("""COMPUTED_VALUE"""),"S08 Amber (1/4): As the day went on, she had more and more time to think about it, and when you're out here playing this game, your mind does crazy things, and so I think that just made the situation worse. I think if we were in another situation, not eve"&amp;"n playing Survivor, and that would have happened, it might not have been as big as a deal maybe as it turned out to be.")</f>
        <v>S08 Amber (1/4): As the day went on, she had more and more time to think about it, and when you're out here playing this game, your mind does crazy things, and so I think that just made the situation worse. I think if we were in another situation, not even playing Survivor, and that would have happened, it might not have been as big as a deal maybe as it turned out to be.</v>
      </c>
      <c r="BP6" s="4"/>
      <c r="BQ6" s="3" t="str">
        <f>IFERROR(__xludf.DUMMYFUNCTION("""COMPUTED_VALUE"""),"S07 Sandra (5/9): We did very well in the village. You know, we-we managed to get a ton of stuff for the little bit of money we had.")</f>
        <v>S07 Sandra (5/9): We did very well in the village. You know, we-we managed to get a ton of stuff for the little bit of money we had.</v>
      </c>
      <c r="BR6" s="4"/>
      <c r="BS6" s="3"/>
      <c r="BT6" s="4"/>
      <c r="BU6" s="3"/>
      <c r="BV6" s="4"/>
      <c r="BW6" s="3"/>
      <c r="BX6" s="4"/>
      <c r="BY6" s="3"/>
      <c r="BZ6" s="4"/>
      <c r="CA6" s="3"/>
      <c r="CB6" s="4"/>
      <c r="CC6" s="3"/>
      <c r="CD6" s="4"/>
    </row>
    <row r="7">
      <c r="A7" s="3"/>
      <c r="B7" s="4"/>
      <c r="C7" s="3" t="str">
        <f>IFERROR(__xludf.DUMMYFUNCTION("""COMPUTED_VALUE"""),"S40 Tony (6/6): We gotta break up the poker alliance-- Tyson, Amber, Kim, and I want to get Tyson out of the game. Amber is not running around doing anything, plus you leave the biggest targets, husband and wife, in the game still as big shields. So Tyson"&amp;" goes home.")</f>
        <v>S40 Tony (6/6): We gotta break up the poker alliance-- Tyson, Amber, Kim, and I want to get Tyson out of the game. Amber is not running around doing anything, plus you leave the biggest targets, husband and wife, in the game still as big shields. So Tyson goes home.</v>
      </c>
      <c r="D7" s="4"/>
      <c r="E7" s="3"/>
      <c r="F7" s="4"/>
      <c r="G7" s="3"/>
      <c r="H7" s="4"/>
      <c r="I7" s="3"/>
      <c r="J7" s="4"/>
      <c r="K7" s="3"/>
      <c r="L7" s="4"/>
      <c r="M7" s="3" t="str">
        <f>IFERROR(__xludf.DUMMYFUNCTION("""COMPUTED_VALUE"""),"S35 Ben (2/2): Ashley is tossed into a power couple. Now whether or not that’s the truth, that’s the whole Alan thing, but I can’t fully trust Ashley at this point because she keeps pulling for JP to stay in the game, which makes me think JP and Ashley ar"&amp;"e actually still working together. And normally, as a power couple on Survivor, it don’t work out good.")</f>
        <v>S35 Ben (2/2): Ashley is tossed into a power couple. Now whether or not that’s the truth, that’s the whole Alan thing, but I can’t fully trust Ashley at this point because she keeps pulling for JP to stay in the game, which makes me think JP and Ashley are actually still working together. And normally, as a power couple on Survivor, it don’t work out good.</v>
      </c>
      <c r="N7" s="4"/>
      <c r="O7" s="3" t="str">
        <f>IFERROR(__xludf.DUMMYFUNCTION("""COMPUTED_VALUE"""),"S34 Sarah (1/3): Today, after the reward, Varner starts saying, “I really want to work with you guys.” And I think we can pull Varner and actually use him as a number. And I really, truly feel like we have made that connection.")</f>
        <v>S34 Sarah (1/3): Today, after the reward, Varner starts saying, “I really want to work with you guys.” And I think we can pull Varner and actually use him as a number. And I really, truly feel like we have made that connection.</v>
      </c>
      <c r="P7" s="4"/>
      <c r="Q7" s="3" t="str">
        <f>IFERROR(__xludf.DUMMYFUNCTION("""COMPUTED_VALUE"""),"S33 Adam (1/1): Literally, Figgy's put herself in the crosshairs. Basic laws of Survivor will tell you, ""Don't come blazing out of the gate. Don't get into a catfight."" And sure as hell, ""Don't get yourself into a showmance!""")</f>
        <v>S33 Adam (1/1): Literally, Figgy's put herself in the crosshairs. Basic laws of Survivor will tell you, "Don't come blazing out of the gate. Don't get into a catfight." And sure as hell, "Don't get yourself into a showmance!"</v>
      </c>
      <c r="R7" s="4"/>
      <c r="S7" s="3" t="str">
        <f>IFERROR(__xludf.DUMMYFUNCTION("""COMPUTED_VALUE"""),"S32 Michele (2/3): I don’t think anybody expected the switch today. I was… stunned. You know, on Beauty, the girls’ alliance was really, really tight, but we’re all divided right now, us three girls, and it’s nerve-racking.")</f>
        <v>S32 Michele (2/3): I don’t think anybody expected the switch today. I was… stunned. You know, on Beauty, the girls’ alliance was really, really tight, but we’re all divided right now, us three girls, and it’s nerve-racking.</v>
      </c>
      <c r="T7" s="4"/>
      <c r="U7" s="3" t="str">
        <f>IFERROR(__xludf.DUMMYFUNCTION("""COMPUTED_VALUE"""),"S31 Jeremy (3/4): It was a little tree full of leaves, and I started digging in it, and it just popped out like, whoop!… Ah! (laughs) I was so pumped.")</f>
        <v>S31 Jeremy (3/4): It was a little tree full of leaves, and I started digging in it, and it just popped out like, whoop!… Ah! (laughs) I was so pumped.</v>
      </c>
      <c r="V7" s="4"/>
      <c r="W7" s="3" t="str">
        <f>IFERROR(__xludf.DUMMYFUNCTION("""COMPUTED_VALUE"""),"S30 Mike (2/2): Coming from a background where I pretty much had to work hard for everything my whole life, it is in my nature to be a hard worker. So it is very frustrating to me being a true Blue Collar and then looking around and other people just aren"&amp;"'t. Yeah, I want to play basketball with everybody, but there are stuff to be done out here to where we have to survive. You shouldn't have to tell an adult “Hey, there's stuff to be done. Get it done.”")</f>
        <v>S30 Mike (2/2): Coming from a background where I pretty much had to work hard for everything my whole life, it is in my nature to be a hard worker. So it is very frustrating to me being a true Blue Collar and then looking around and other people just aren't. Yeah, I want to play basketball with everybody, but there are stuff to be done out here to where we have to survive. You shouldn't have to tell an adult “Hey, there's stuff to be done. Get it done.”</v>
      </c>
      <c r="X7" s="4"/>
      <c r="Y7" s="3" t="str">
        <f>IFERROR(__xludf.DUMMYFUNCTION("""COMPUTED_VALUE"""),"S29 Natalie (1/2): Drew, he's scared the girls are going to vote out guys which is stupid. We don't even have the numbers to do that but he's convinced of this girl-girl alliance. Luckily, the guys have kind of a mess, you know. They're not on the same pa"&amp;"ge, which is good.")</f>
        <v>S29 Natalie (1/2): Drew, he's scared the girls are going to vote out guys which is stupid. We don't even have the numbers to do that but he's convinced of this girl-girl alliance. Luckily, the guys have kind of a mess, you know. They're not on the same page, which is good.</v>
      </c>
      <c r="Z7" s="4"/>
      <c r="AA7" s="3" t="str">
        <f>IFERROR(__xludf.DUMMYFUNCTION("""COMPUTED_VALUE"""),"S28 Tony (3/7): Trish and I, we’re walking on eggshells with these people and that’s when I came up with the idea: I could try to spy on them. So as I’m building the shelter, I’m trying to act like I’m trying to protect ‘em from the rain and everything, b"&amp;"ut I’m building a spy shack. I’m trying to cover up a little cubby-hole in the corner and I’m gonna run around the beach and crawl up to here and I’m gonna be right here listening to what they gotta say and I’m gonna hear everything. So whatever Useless C"&amp;"liff tells Weasel Woo, I’m gonna know crucial information. That’s the key to this. It’s not just small talk, it’s gonna be big talk. That’s what I’m looking for. My main target is Cliff. The lion of the pride. So in order to take over the pride, the other"&amp;" lion has to come in and kill that one. And then he has to kill the cubs. I have more brain than brawn. Little do they know.")</f>
        <v>S28 Tony (3/7): Trish and I, we’re walking on eggshells with these people and that’s when I came up with the idea: I could try to spy on them. So as I’m building the shelter, I’m trying to act like I’m trying to protect ‘em from the rain and everything, but I’m building a spy shack. I’m trying to cover up a little cubby-hole in the corner and I’m gonna run around the beach and crawl up to here and I’m gonna be right here listening to what they gotta say and I’m gonna hear everything. So whatever Useless Cliff tells Weasel Woo, I’m gonna know crucial information. That’s the key to this. It’s not just small talk, it’s gonna be big talk. That’s what I’m looking for. My main target is Cliff. The lion of the pride. So in order to take over the pride, the other lion has to come in and kill that one. And then he has to kill the cubs. I have more brain than brawn. Little do they know.</v>
      </c>
      <c r="AB7" s="4"/>
      <c r="AC7" s="3" t="str">
        <f>IFERROR(__xludf.DUMMYFUNCTION("""COMPUTED_VALUE"""),"S27 Tyson (1/4): I hurt my shoulder at the Immunity Challenge. Every day it gets a little bit better but I do like to play it up a little bit 'cause then I have to do less work around camp. Hopefully, that also keeps them in sympathy with me.")</f>
        <v>S27 Tyson (1/4): I hurt my shoulder at the Immunity Challenge. Every day it gets a little bit better but I do like to play it up a little bit 'cause then I have to do less work around camp. Hopefully, that also keeps them in sympathy with me.</v>
      </c>
      <c r="AD7" s="4"/>
      <c r="AE7" s="3" t="str">
        <f>IFERROR(__xludf.DUMMYFUNCTION("""COMPUTED_VALUE"""),"S26 Cochran (6/6): You know, in-in-in weighing whether I want to vote off somebody like Francesca, there is kind of this emotional aspect. You can say you want to play the most strategic, cold-blooded game in the world, but emotions do enter the equation."&amp;" Uh, the fact that I like her, doesn’t help. So, there’s a part of me that’s like, “Maybe I shouldn’t vote her off just ‘cause that would be cruel.” It feels like-- I feel, like, it’s inhumane. Like, you don’t know. I mean, I have, like, morals… right? (c"&amp;"huckles) I have-- I have a sense of shame.")</f>
        <v>S26 Cochran (6/6): You know, in-in-in weighing whether I want to vote off somebody like Francesca, there is kind of this emotional aspect. You can say you want to play the most strategic, cold-blooded game in the world, but emotions do enter the equation. Uh, the fact that I like her, doesn’t help. So, there’s a part of me that’s like, “Maybe I shouldn’t vote her off just ‘cause that would be cruel.” It feels like-- I feel, like, it’s inhumane. Like, you don’t know. I mean, I have, like, morals… right? (chuckles) I have-- I have a sense of shame.</v>
      </c>
      <c r="AF7" s="4"/>
      <c r="AG7" s="3" t="str">
        <f>IFERROR(__xludf.DUMMYFUNCTION("""COMPUTED_VALUE"""),"S25 Denise (3/3): At this point, Roxy and Russell are definitely aligned, and I know Malcolm and Angie are aligned. And I'm caught in the middle of all it. I can't put my finger on it, but there is something just about Roxy that I just don't trust. But at"&amp;" the same time, even though I've got my alliance with Malcolm, I mean, if somebody's snuggling and I'm the odd one out, I'm on the bottom. I mean, and I don't want to be on the bottom. The problem is, there's pros and cons to keeping both, but I've got to"&amp;" do what's best for me. And so again, I feel pretty sure about what my vote's going to be, but it's a long way to Tribal Council, and I'll have to figure it out.")</f>
        <v>S25 Denise (3/3): At this point, Roxy and Russell are definitely aligned, and I know Malcolm and Angie are aligned. And I'm caught in the middle of all it. I can't put my finger on it, but there is something just about Roxy that I just don't trust. But at the same time, even though I've got my alliance with Malcolm, I mean, if somebody's snuggling and I'm the odd one out, I'm on the bottom. I mean, and I don't want to be on the bottom. The problem is, there's pros and cons to keeping both, but I've got to do what's best for me. And so again, I feel pretty sure about what my vote's going to be, but it's a long way to Tribal Council, and I'll have to figure it out.</v>
      </c>
      <c r="AH7" s="4"/>
      <c r="AI7" s="3" t="str">
        <f>IFERROR(__xludf.DUMMYFUNCTION("""COMPUTED_VALUE"""),"S24 Kim (2/2): For sure I thought Christina was the locked-in vote to go. So the mood is weird now. Sabrina is trying to shake things up and that makes me a little nervous. I don't know. It's gonna be an interesting afternoon.")</f>
        <v>S24 Kim (2/2): For sure I thought Christina was the locked-in vote to go. So the mood is weird now. Sabrina is trying to shake things up and that makes me a little nervous. I don't know. It's gonna be an interesting afternoon.</v>
      </c>
      <c r="AJ7" s="4"/>
      <c r="AK7" s="3" t="str">
        <f>IFERROR(__xludf.DUMMYFUNCTION("""COMPUTED_VALUE"""),"S23 Sophie (1/2): At the duel, Christine was really pissed off, so I think no matter what she said if she comes back into the game, she's never going to be with us. She has no allegiance to us. I think Christine would be the worst person to come back from"&amp;" Redemption Island.")</f>
        <v>S23 Sophie (1/2): At the duel, Christine was really pissed off, so I think no matter what she said if she comes back into the game, she's never going to be with us. She has no allegiance to us. I think Christine would be the worst person to come back from Redemption Island.</v>
      </c>
      <c r="AL7" s="4"/>
      <c r="AM7" s="3" t="str">
        <f>IFERROR(__xludf.DUMMYFUNCTION("""COMPUTED_VALUE"""),"S22 Rob (5/12): I think Natalie's a perfect partner at this point, but it's going to be hard, though. It's like, literally, picking the girl up, putting her on my back, and I'm going to drag your ass to the end, and hopefully they're going to give it to m"&amp;"e at the end.")</f>
        <v>S22 Rob (5/12): I think Natalie's a perfect partner at this point, but it's going to be hard, though. It's like, literally, picking the girl up, putting her on my back, and I'm going to drag your ass to the end, and hopefully they're going to give it to me at the end.</v>
      </c>
      <c r="AN7" s="4"/>
      <c r="AO7" s="3" t="str">
        <f>IFERROR(__xludf.DUMMYFUNCTION("""COMPUTED_VALUE"""),"S21 Fabio (1/1): My whole strategy, bro, is to be out in the open and kind of make people laugh and be all crazy. But it goes deeper than just, “Oh, ha, ha, keep him around because he's funny.” It's like… (looks at floor) hermit crab on my foot. (laughs) "&amp;"It's like, I want to be kept around for more than just ‘cause I'm funny. You know, I wanna be kept around for my mentality, my spirit, whatever you want to call it.")</f>
        <v>S21 Fabio (1/1): My whole strategy, bro, is to be out in the open and kind of make people laugh and be all crazy. But it goes deeper than just, “Oh, ha, ha, keep him around because he's funny.” It's like… (looks at floor) hermit crab on my foot. (laughs) It's like, I want to be kept around for more than just ‘cause I'm funny. You know, I wanna be kept around for my mentality, my spirit, whatever you want to call it.</v>
      </c>
      <c r="AP7" s="4"/>
      <c r="AQ7" s="3"/>
      <c r="AR7" s="4"/>
      <c r="AS7" s="3"/>
      <c r="AT7" s="4"/>
      <c r="AU7" s="3"/>
      <c r="AV7" s="4"/>
      <c r="AW7" s="3"/>
      <c r="AX7" s="4"/>
      <c r="AY7" s="3"/>
      <c r="AZ7" s="4"/>
      <c r="BA7" s="3"/>
      <c r="BB7" s="4"/>
      <c r="BC7" s="3"/>
      <c r="BD7" s="4"/>
      <c r="BE7" s="3"/>
      <c r="BF7" s="4"/>
      <c r="BG7" s="3"/>
      <c r="BH7" s="4"/>
      <c r="BI7" s="3"/>
      <c r="BJ7" s="4"/>
      <c r="BK7" s="3" t="str">
        <f>IFERROR(__xludf.DUMMYFUNCTION("""COMPUTED_VALUE"""),"S10 Tom (3/5): So it was, uh, maybe a little foolhardy, a little sense of adventure, but, um… obviously I’ve, uh, hooked up with, uh, two other knuckleheads who, uh, take fun in the excitement of-of things like this. We kind of let the carcasses of the sn"&amp;"akes hang out, but as soon as we hung them from the tree over the water, we also noticed that a young shark came swimming and kept making closer passes to it. We kind of got interested that maybe we could trade our snake with a shark. If I saw a shark at "&amp;"Jones Beach on Long Island, we would all be running out of the water. We see a shark fin go by here, everybody runs into the water with sticks in their hands. You know, the motivation is there; we have to get food in us.")</f>
        <v>S10 Tom (3/5): So it was, uh, maybe a little foolhardy, a little sense of adventure, but, um… obviously I’ve, uh, hooked up with, uh, two other knuckleheads who, uh, take fun in the excitement of-of things like this. We kind of let the carcasses of the snakes hang out, but as soon as we hung them from the tree over the water, we also noticed that a young shark came swimming and kept making closer passes to it. We kind of got interested that maybe we could trade our snake with a shark. If I saw a shark at Jones Beach on Long Island, we would all be running out of the water. We see a shark fin go by here, everybody runs into the water with sticks in their hands. You know, the motivation is there; we have to get food in us.</v>
      </c>
      <c r="BL7" s="4"/>
      <c r="BM7" s="3" t="str">
        <f>IFERROR(__xludf.DUMMYFUNCTION("""COMPUTED_VALUE"""),"S09 Chris (1/2): The challenge today for immunity, was pretty much pandemonium. It was a mess. We didn't even come close.")</f>
        <v>S09 Chris (1/2): The challenge today for immunity, was pretty much pandemonium. It was a mess. We didn't even come close.</v>
      </c>
      <c r="BN7" s="4"/>
      <c r="BO7" s="3" t="str">
        <f>IFERROR(__xludf.DUMMYFUNCTION("""COMPUTED_VALUE"""),"S08 Amber (2/4): Rob and I came up with the idea to approach Rupert and Jenna, tell them that, you know, we think we're on the outs, we think we're in trouble. We'll save you if you save us.")</f>
        <v>S08 Amber (2/4): Rob and I came up with the idea to approach Rupert and Jenna, tell them that, you know, we think we're on the outs, we think we're in trouble. We'll save you if you save us.</v>
      </c>
      <c r="BP7" s="4"/>
      <c r="BQ7" s="3" t="str">
        <f>IFERROR(__xludf.DUMMYFUNCTION("""COMPUTED_VALUE"""),"S07 Sandra (6/9): Burton opened up a coconut, and he shared the coconut milk with only Shawn and Michelle. I gave Christa the look and I said, ""Did they offer you any coconut milk?"" And she was like, ""No, and I wanted some.""")</f>
        <v>S07 Sandra (6/9): Burton opened up a coconut, and he shared the coconut milk with only Shawn and Michelle. I gave Christa the look and I said, "Did they offer you any coconut milk?" And she was like, "No, and I wanted some."</v>
      </c>
      <c r="BR7" s="4"/>
      <c r="BS7" s="3"/>
      <c r="BT7" s="4"/>
      <c r="BU7" s="3"/>
      <c r="BV7" s="4"/>
      <c r="BW7" s="3"/>
      <c r="BX7" s="4"/>
      <c r="BY7" s="3"/>
      <c r="BZ7" s="4"/>
      <c r="CA7" s="3"/>
      <c r="CB7" s="4"/>
      <c r="CC7" s="3"/>
      <c r="CD7" s="4"/>
    </row>
    <row r="8">
      <c r="A8" s="3"/>
      <c r="B8" s="4"/>
      <c r="C8" s="3" t="str">
        <f>IFERROR(__xludf.DUMMYFUNCTION("""COMPUTED_VALUE"""),"S40 Tony (1/2): Taking on projects is fun. It keeps my mind occupied. ‘Cause if I don't occupy my mind, I’m gonna start doing crazy things, like searching for idols in front of everybody and just get myself in trouble. So I say, “You know what? Let me jus"&amp;"t build a ladder.” We’ll climb up and simply pick the papayas off the tree, simply walk down the ladder, simply go to camp, chop it up and simply eat it. Simple as that.")</f>
        <v>S40 Tony (1/2): Taking on projects is fun. It keeps my mind occupied. ‘Cause if I don't occupy my mind, I’m gonna start doing crazy things, like searching for idols in front of everybody and just get myself in trouble. So I say, “You know what? Let me just build a ladder.” We’ll climb up and simply pick the papayas off the tree, simply walk down the ladder, simply go to camp, chop it up and simply eat it. Simple as that.</v>
      </c>
      <c r="D8" s="4"/>
      <c r="E8" s="3"/>
      <c r="F8" s="4"/>
      <c r="G8" s="3"/>
      <c r="H8" s="4"/>
      <c r="I8" s="3"/>
      <c r="J8" s="4"/>
      <c r="K8" s="3"/>
      <c r="L8" s="4"/>
      <c r="M8" s="3" t="str">
        <f>IFERROR(__xludf.DUMMYFUNCTION("""COMPUTED_VALUE"""),"S35 Ben (1/2): Being split up from Chrissy, that’s a shot in the foot right there. Things were well oiled and greased and we were moving. So I’m gonna have to put some work in, and I’m not just gonna roll over and die, but my odds at this point are real l"&amp;"ow to move forward. I’m scared.")</f>
        <v>S35 Ben (1/2): Being split up from Chrissy, that’s a shot in the foot right there. Things were well oiled and greased and we were moving. So I’m gonna have to put some work in, and I’m not just gonna roll over and die, but my odds at this point are real low to move forward. I’m scared.</v>
      </c>
      <c r="N8" s="4"/>
      <c r="O8" s="3" t="str">
        <f>IFERROR(__xludf.DUMMYFUNCTION("""COMPUTED_VALUE"""),"S34 Sarah (2/3): Then he says, “Could Ozzy potentially be the vote?” So that’s what I’m thinking of right now. I need to be careful because that’s a huge move, but I’m ready to prove why I am a Game Changer. We’re close to a merge, and we need to take out"&amp;" who is the biggest threat. It might be time to cut Ozzy’s throat.")</f>
        <v>S34 Sarah (2/3): Then he says, “Could Ozzy potentially be the vote?” So that’s what I’m thinking of right now. I need to be careful because that’s a huge move, but I’m ready to prove why I am a Game Changer. We’re close to a merge, and we need to take out who is the biggest threat. It might be time to cut Ozzy’s throat.</v>
      </c>
      <c r="P8" s="4"/>
      <c r="Q8" s="3" t="str">
        <f>IFERROR(__xludf.DUMMYFUNCTION("""COMPUTED_VALUE"""),"S33 Adam (1/2): It's been my dream since I was nine years old to play this game and have this experience, and I did not expect my first Tribal Council to be my first #Blindside. Now I'm gonna have to play from the bottom and it's going to take a lot of wo"&amp;"rk to, uh, get back into a position of power. But I wouldn't count me out. I think I can get back up to the top again.")</f>
        <v>S33 Adam (1/2): It's been my dream since I was nine years old to play this game and have this experience, and I did not expect my first Tribal Council to be my first #Blindside. Now I'm gonna have to play from the bottom and it's going to take a lot of work to, uh, get back into a position of power. But I wouldn't count me out. I think I can get back up to the top again.</v>
      </c>
      <c r="R8" s="4"/>
      <c r="S8" s="3" t="str">
        <f>IFERROR(__xludf.DUMMYFUNCTION("""COMPUTED_VALUE"""),"S32 Michele (3/3): On my tribe, I find myself with two Beauty, two Brain, two Brawn. So there’s a lot to think about, and it’s going to be a rough adjustment, but, you know, you gotta keep your head up and read people until it comes time where I’ve gotta "&amp;"make an alliance.")</f>
        <v>S32 Michele (3/3): On my tribe, I find myself with two Beauty, two Brain, two Brawn. So there’s a lot to think about, and it’s going to be a rough adjustment, but, you know, you gotta keep your head up and read people until it comes time where I’ve gotta make an alliance.</v>
      </c>
      <c r="T8" s="4"/>
      <c r="U8" s="3" t="str">
        <f>IFERROR(__xludf.DUMMYFUNCTION("""COMPUTED_VALUE"""),"S31 Jeremy (4/4): Finally, finally two season it takes me, and I finally find something, but is it an idol? No, it’s not an idol, it’s a clue to an idol that I have to-- that I have to grab when eighteen people are playing around me. I’m going to make it "&amp;"work. We’re gonna get this thing. I’ma bring this thing home.")</f>
        <v>S31 Jeremy (4/4): Finally, finally two season it takes me, and I finally find something, but is it an idol? No, it’s not an idol, it’s a clue to an idol that I have to-- that I have to grab when eighteen people are playing around me. I’m going to make it work. We’re gonna get this thing. I’ma bring this thing home.</v>
      </c>
      <c r="V8" s="4"/>
      <c r="W8" s="3" t="str">
        <f>IFERROR(__xludf.DUMMYFUNCTION("""COMPUTED_VALUE"""),"S30 Mike (1/2): The man that I call dad is the pastor of my church, and he taught me at a very early age that, you know, if you work hard, good things will come to you. So you don't have to tell me to do something because I see that something needs to be "&amp;"done and I just do it. But this Blue Collar tribe, which is supposed to have the best work ethic out of all three tribes, is failing in work ethic, and I feel like Rodney is the worst.")</f>
        <v>S30 Mike (1/2): The man that I call dad is the pastor of my church, and he taught me at a very early age that, you know, if you work hard, good things will come to you. So you don't have to tell me to do something because I see that something needs to be done and I just do it. But this Blue Collar tribe, which is supposed to have the best work ethic out of all three tribes, is failing in work ethic, and I feel like Rodney is the worst.</v>
      </c>
      <c r="X8" s="4"/>
      <c r="Y8" s="3" t="str">
        <f>IFERROR(__xludf.DUMMYFUNCTION("""COMPUTED_VALUE"""),"S29 Natalie (2/2): Getting rid of Drew... that would be so sweet if we can pull this off. He's so annoying but we have to do it now while the guys are all over the place.")</f>
        <v>S29 Natalie (2/2): Getting rid of Drew... that would be so sweet if we can pull this off. He's so annoying but we have to do it now while the guys are all over the place.</v>
      </c>
      <c r="Z8" s="4"/>
      <c r="AA8" s="3" t="str">
        <f>IFERROR(__xludf.DUMMYFUNCTION("""COMPUTED_VALUE"""),"S28 Tony (4/7): We prevailed. We won some fishing gear. We won the whole works. We have olive oil, we have sea salt, it’s just beautiful. It’s a beautiful thing. The first thing that popped in my mind: there has to be some kind of idol or a clue to an ido"&amp;"l in that basket.")</f>
        <v>S28 Tony (4/7): We prevailed. We won some fishing gear. We won the whole works. We have olive oil, we have sea salt, it’s just beautiful. It’s a beautiful thing. The first thing that popped in my mind: there has to be some kind of idol or a clue to an idol in that basket.</v>
      </c>
      <c r="AB8" s="4"/>
      <c r="AC8" s="3" t="str">
        <f>IFERROR(__xludf.DUMMYFUNCTION("""COMPUTED_VALUE"""),"S27 Tyson (2/4): Me and Gervase, we have a cool thing going now where we'll sneak off and drink a couple of coconuts. We've been opening them a different way so people wouldn't recognize that we've been chopping 'em. I would really like to keep eating tho"&amp;"se coconuts. I can't wait til they bring all those coconuts down and just examine each and every one of 'em.")</f>
        <v>S27 Tyson (2/4): Me and Gervase, we have a cool thing going now where we'll sneak off and drink a couple of coconuts. We've been opening them a different way so people wouldn't recognize that we've been chopping 'em. I would really like to keep eating those coconuts. I can't wait til they bring all those coconuts down and just examine each and every one of 'em.</v>
      </c>
      <c r="AD8" s="4"/>
      <c r="AE8" s="3" t="str">
        <f>IFERROR(__xludf.DUMMYFUNCTION("""COMPUTED_VALUE"""),"S26 Cochran (1/1): One of the most frightening things about Brandon's personality is that he has these moments of extreme rage and they're almost immediately followed by unbelievable pleasantness. The sort of behavior befitting of a murderer who is kind o"&amp;"f sociopathic. The only thing I can predict about Brandon is that he is going to be unpredictable. And that gives me very little solace in this game where predictability, really is everything.")</f>
        <v>S26 Cochran (1/1): One of the most frightening things about Brandon's personality is that he has these moments of extreme rage and they're almost immediately followed by unbelievable pleasantness. The sort of behavior befitting of a murderer who is kind of sociopathic. The only thing I can predict about Brandon is that he is going to be unpredictable. And that gives me very little solace in this game where predictability, really is everything.</v>
      </c>
      <c r="AF8" s="4"/>
      <c r="AG8" s="3" t="str">
        <f>IFERROR(__xludf.DUMMYFUNCTION("""COMPUTED_VALUE"""),"S25 Denise (1/2): There was such a focus on Malcolm and Angie, you know, as a-- as a couple at Tribal Council, but I'm still holding that trust that it’s Malcolm and I, and when the time comes, he’ll cut Ange. Because it's a numbers game, I feel much stro"&amp;"nger having Russell because we have to win a challenge.")</f>
        <v>S25 Denise (1/2): There was such a focus on Malcolm and Angie, you know, as a-- as a couple at Tribal Council, but I'm still holding that trust that it’s Malcolm and I, and when the time comes, he’ll cut Ange. Because it's a numbers game, I feel much stronger having Russell because we have to win a challenge.</v>
      </c>
      <c r="AH8" s="4"/>
      <c r="AI8" s="3" t="str">
        <f>IFERROR(__xludf.DUMMYFUNCTION("""COMPUTED_VALUE"""),"S24 Kim (1/4): This has been my thing all along. I'm trying to keep my options open so if sticking with the girls works best for me in the long run, I'll stick with the girls. And if we get to the merge and we don't have the numbers, Troy and Jay are my a"&amp;"lliance all the way. I can't get over how this could not have gone any better for me and how much fun I'm having doing this. I thought it was going to be really hard and it was going to be a grind, and I know it’ll have its moments, but this is not one of"&amp;" ‘em. This is a good time.")</f>
        <v>S24 Kim (1/4): This has been my thing all along. I'm trying to keep my options open so if sticking with the girls works best for me in the long run, I'll stick with the girls. And if we get to the merge and we don't have the numbers, Troy and Jay are my alliance all the way. I can't get over how this could not have gone any better for me and how much fun I'm having doing this. I thought it was going to be really hard and it was going to be a grind, and I know it’ll have its moments, but this is not one of ‘em. This is a good time.</v>
      </c>
      <c r="AJ8" s="4"/>
      <c r="AK8" s="3" t="str">
        <f>IFERROR(__xludf.DUMMYFUNCTION("""COMPUTED_VALUE"""),"S23 Sophie (2/2): Brandon actually wants Edna to leave. He likes Mikayla better now. He's changed his mind. She's no longer, like, you know, the whore of the tribe, whatever it was before, and now she's fantastic. But he's still going to vote her out. I d"&amp;"on't get it. He is nuts, absolutely nuts.")</f>
        <v>S23 Sophie (2/2): Brandon actually wants Edna to leave. He likes Mikayla better now. He's changed his mind. She's no longer, like, you know, the whore of the tribe, whatever it was before, and now she's fantastic. But he's still going to vote her out. I don't get it. He is nuts, absolutely nuts.</v>
      </c>
      <c r="AL8" s="4"/>
      <c r="AM8" s="3" t="str">
        <f>IFERROR(__xludf.DUMMYFUNCTION("""COMPUTED_VALUE"""),"S22 Rob (6/12): Matt's shaking the opposition's hand after we lost the challenge, it's despicable. But when we just got our asses kicked, not once, but twice, back to back, I'm not going over to the other team and giving them hugs and kisses.")</f>
        <v>S22 Rob (6/12): Matt's shaking the opposition's hand after we lost the challenge, it's despicable. But when we just got our asses kicked, not once, but twice, back to back, I'm not going over to the other team and giving them hugs and kisses.</v>
      </c>
      <c r="AN8" s="4"/>
      <c r="AO8" s="3" t="str">
        <f>IFERROR(__xludf.DUMMYFUNCTION("""COMPUTED_VALUE"""),"S21 Fabio (1/1): The old switcheroo. I was pretty stoked on how it worked out, actually. I was dreading the switch ‘cause I felt comfortable in the original La Flor tribe. But the way it worked out was pretty right on. We picked up Marty, Jill, and Jane. "&amp;"We're all super cool and numbers wise, La Flor tribe are five and three, it looks good.")</f>
        <v>S21 Fabio (1/1): The old switcheroo. I was pretty stoked on how it worked out, actually. I was dreading the switch ‘cause I felt comfortable in the original La Flor tribe. But the way it worked out was pretty right on. We picked up Marty, Jill, and Jane. We're all super cool and numbers wise, La Flor tribe are five and three, it looks good.</v>
      </c>
      <c r="AP8" s="4"/>
      <c r="AQ8" s="3"/>
      <c r="AR8" s="4"/>
      <c r="AS8" s="3"/>
      <c r="AT8" s="4"/>
      <c r="AU8" s="3"/>
      <c r="AV8" s="4"/>
      <c r="AW8" s="3"/>
      <c r="AX8" s="4"/>
      <c r="AY8" s="3"/>
      <c r="AZ8" s="4"/>
      <c r="BA8" s="3"/>
      <c r="BB8" s="4"/>
      <c r="BC8" s="3"/>
      <c r="BD8" s="4"/>
      <c r="BE8" s="3"/>
      <c r="BF8" s="4"/>
      <c r="BG8" s="3"/>
      <c r="BH8" s="4"/>
      <c r="BI8" s="3"/>
      <c r="BJ8" s="4"/>
      <c r="BK8" s="3" t="str">
        <f>IFERROR(__xludf.DUMMYFUNCTION("""COMPUTED_VALUE"""),"S10 Tom (4/5): It’s a game of survival as well as strategy, and the survival aspect of it is more real than I ever imagined, and also, the thought of having shark steaks on a frying pan is the motivation that takes you past the fear of a shark.")</f>
        <v>S10 Tom (4/5): It’s a game of survival as well as strategy, and the survival aspect of it is more real than I ever imagined, and also, the thought of having shark steaks on a frying pan is the motivation that takes you past the fear of a shark.</v>
      </c>
      <c r="BL8" s="4"/>
      <c r="BM8" s="3" t="str">
        <f>IFERROR(__xludf.DUMMYFUNCTION("""COMPUTED_VALUE"""),"S09 Chris (2/2): Within our alliance we-we do have some conflict. Sarge could, at the last second, make a change. Sarge does like to be in control.")</f>
        <v>S09 Chris (2/2): Within our alliance we-we do have some conflict. Sarge could, at the last second, make a change. Sarge does like to be in control.</v>
      </c>
      <c r="BN8" s="4"/>
      <c r="BO8" s="3" t="str">
        <f>IFERROR(__xludf.DUMMYFUNCTION("""COMPUTED_VALUE"""),"S08 Amber (3/4): It means a lot to lose a member of our tribe, especially the way that we had to lose Sue. But you can never count out Chapera for making a sad moment into a happy moment. We're the happy tribe, and somehow, we always find a way to laugh a"&amp;"bout it.")</f>
        <v>S08 Amber (3/4): It means a lot to lose a member of our tribe, especially the way that we had to lose Sue. But you can never count out Chapera for making a sad moment into a happy moment. We're the happy tribe, and somehow, we always find a way to laugh about it.</v>
      </c>
      <c r="BP8" s="4"/>
      <c r="BQ8" s="3" t="str">
        <f>IFERROR(__xludf.DUMMYFUNCTION("""COMPUTED_VALUE"""),"S07 Sandra (7/9): I really can't stand him. He talks too much crap-- all night long, cursing. He thinks it's cute, but it isn't. It gets old. It's already old.")</f>
        <v>S07 Sandra (7/9): I really can't stand him. He talks too much crap-- all night long, cursing. He thinks it's cute, but it isn't. It gets old. It's already old.</v>
      </c>
      <c r="BR8" s="4"/>
      <c r="BS8" s="3"/>
      <c r="BT8" s="4"/>
      <c r="BU8" s="3"/>
      <c r="BV8" s="4"/>
      <c r="BW8" s="3"/>
      <c r="BX8" s="4"/>
      <c r="BY8" s="3"/>
      <c r="BZ8" s="4"/>
      <c r="CA8" s="3"/>
      <c r="CB8" s="4"/>
      <c r="CC8" s="3"/>
      <c r="CD8" s="4"/>
    </row>
    <row r="9">
      <c r="A9" s="3"/>
      <c r="B9" s="4"/>
      <c r="C9" s="3" t="str">
        <f>IFERROR(__xludf.DUMMYFUNCTION("""COMPUTED_VALUE"""),"S40 Tony (2/2): The first time, in Cagayan, it didn’t work out so well for Sarah. It worked out great for me, the Cops-R-Us alliance, which just included me, because, um, Sarah was voted off. But this time around, I’m gonna make it up to her if she gives "&amp;"me that trust.")</f>
        <v>S40 Tony (2/2): The first time, in Cagayan, it didn’t work out so well for Sarah. It worked out great for me, the Cops-R-Us alliance, which just included me, because, um, Sarah was voted off. But this time around, I’m gonna make it up to her if she gives me that trust.</v>
      </c>
      <c r="D9" s="4"/>
      <c r="E9" s="3"/>
      <c r="F9" s="4"/>
      <c r="G9" s="3"/>
      <c r="H9" s="4"/>
      <c r="I9" s="3"/>
      <c r="J9" s="4"/>
      <c r="K9" s="3"/>
      <c r="L9" s="4"/>
      <c r="M9" s="3" t="str">
        <f>IFERROR(__xludf.DUMMYFUNCTION("""COMPUTED_VALUE"""),"S35 Ben (2/2): First initial impression of this tribe swap, there’s a little bit of comfort in our tribe knowing that we work well together and won that PB&amp;J. But three Healers, one Hustler, and a Hero, that’s a target pinned right on my tail. So I have t"&amp;"o earn respect around here and gain trust to keep my butt in the game.")</f>
        <v>S35 Ben (2/2): First initial impression of this tribe swap, there’s a little bit of comfort in our tribe knowing that we work well together and won that PB&amp;J. But three Healers, one Hustler, and a Hero, that’s a target pinned right on my tail. So I have to earn respect around here and gain trust to keep my butt in the game.</v>
      </c>
      <c r="N9" s="4"/>
      <c r="O9" s="3" t="str">
        <f>IFERROR(__xludf.DUMMYFUNCTION("""COMPUTED_VALUE"""),"S34 Sarah (3/3): Zeke sat him down and said, “The girls are gonna lie to you just to make you feel good.” And I’m like, “What?! Why would you throw us under the bus so you could save face?” Things are starting to look weird now. Zeke doesn’t really want t"&amp;"o get rid of Ozzy and Zeke threw Andrea and I under the bus. I’m like, “This kind of is starting to stink. Do Zeke and Ozzy have something more going on that I don’t know about?” And that really scares me. This could be a huge mistake, but maybe we need t"&amp;"o get rid of Ozzy and keep Varner.")</f>
        <v>S34 Sarah (3/3): Zeke sat him down and said, “The girls are gonna lie to you just to make you feel good.” And I’m like, “What?! Why would you throw us under the bus so you could save face?” Things are starting to look weird now. Zeke doesn’t really want to get rid of Ozzy and Zeke threw Andrea and I under the bus. I’m like, “This kind of is starting to stink. Do Zeke and Ozzy have something more going on that I don’t know about?” And that really scares me. This could be a huge mistake, but maybe we need to get rid of Ozzy and keep Varner.</v>
      </c>
      <c r="P9" s="4"/>
      <c r="Q9" s="3" t="str">
        <f>IFERROR(__xludf.DUMMYFUNCTION("""COMPUTED_VALUE"""),"S33 Adam (2/2): The status quo of the tribe is-is not a good position for me. I'm still flabbergasted by that vote because Figgy sucks at Survivor. You can't make an obvious pair that is strong, good-looking, talented in the challenges and not be a threat"&amp;" in this game. And so, if Figgy goes home, there would be a shift, and that's what I need to happen in order to have some semblance of power here.")</f>
        <v>S33 Adam (2/2): The status quo of the tribe is-is not a good position for me. I'm still flabbergasted by that vote because Figgy sucks at Survivor. You can't make an obvious pair that is strong, good-looking, talented in the challenges and not be a threat in this game. And so, if Figgy goes home, there would be a shift, and that's what I need to happen in order to have some semblance of power here.</v>
      </c>
      <c r="R9" s="4"/>
      <c r="S9" s="3" t="str">
        <f>IFERROR(__xludf.DUMMYFUNCTION("""COMPUTED_VALUE"""),"S32 Michele (1/6): I screwed up the Reward Challenge. I failed our team, you know, and it’s nerve-racking for me. But I just gotta go back to camp and keep fighting and hopefully I can turn things around.")</f>
        <v>S32 Michele (1/6): I screwed up the Reward Challenge. I failed our team, you know, and it’s nerve-racking for me. But I just gotta go back to camp and keep fighting and hopefully I can turn things around.</v>
      </c>
      <c r="T9" s="4"/>
      <c r="U9" s="3" t="str">
        <f>IFERROR(__xludf.DUMMYFUNCTION("""COMPUTED_VALUE"""),"S31 Jeremy (1/2): In that last Immunity Challenge, I found the Hidden Immunity Idol but I couldn’t even celebrate. Like, I got it, and I’m like… (ecstatic) Ah! I’m so happy. Finally, it took two years to get this thing, but I finally got my idol. It’s a t"&amp;"hing of beauty, (chuckles) it’s a thing of beauty. (kisses idol) I love it, I love it!")</f>
        <v>S31 Jeremy (1/2): In that last Immunity Challenge, I found the Hidden Immunity Idol but I couldn’t even celebrate. Like, I got it, and I’m like… (ecstatic) Ah! I’m so happy. Finally, it took two years to get this thing, but I finally got my idol. It’s a thing of beauty, (chuckles) it’s a thing of beauty. (kisses idol) I love it, I love it!</v>
      </c>
      <c r="V9" s="4"/>
      <c r="W9" s="3" t="str">
        <f>IFERROR(__xludf.DUMMYFUNCTION("""COMPUTED_VALUE"""),"S30 Mike (2/2): I'm not sitting here saying that I'm the best Christian in the world, but I do have a relationship with God. That was very offensive to me. And I mean, honestly, hurt my feelings on a personal level.")</f>
        <v>S30 Mike (2/2): I'm not sitting here saying that I'm the best Christian in the world, but I do have a relationship with God. That was very offensive to me. And I mean, honestly, hurt my feelings on a personal level.</v>
      </c>
      <c r="X9" s="4"/>
      <c r="Y9" s="3" t="str">
        <f>IFERROR(__xludf.DUMMYFUNCTION("""COMPUTED_VALUE"""),"S29 Natalie (1/3): Me making this move to volunteer to go to Exile, I hope it plays in my favor. Once I merge I'll just prove to Missy and Baylor like, “Listen, we need to take care of Natalie if she's not taken care of.”")</f>
        <v>S29 Natalie (1/3): Me making this move to volunteer to go to Exile, I hope it plays in my favor. Once I merge I'll just prove to Missy and Baylor like, “Listen, we need to take care of Natalie if she's not taken care of.”</v>
      </c>
      <c r="Z9" s="4"/>
      <c r="AA9" s="3" t="str">
        <f>IFERROR(__xludf.DUMMYFUNCTION("""COMPUTED_VALUE"""),"S28 Tony (5/7): I opened up the little wooden tackle box and I see the piece of... little piece of paper in there. So when I went back into the basket, I took it out and I put it in my pocket. This is what it looks like. This is what it looks like! (unfol"&amp;"ds clue) This is what it looks like! “The ocean offers fish, your well offers drink, another body of water offers protection...” – and protection’s what I need right now – “Tied to something solid is the idol you want to get. Very hidden but not too deep "&amp;"and requires that you get wet.” I love it! And I know exactly where this thing is! It’s in the pond that we have behind camp and there’s a big, big monster log and that’s solid. (kisses the clue) I love you! Love it!")</f>
        <v>S28 Tony (5/7): I opened up the little wooden tackle box and I see the piece of... little piece of paper in there. So when I went back into the basket, I took it out and I put it in my pocket. This is what it looks like. This is what it looks like! (unfolds clue) This is what it looks like! “The ocean offers fish, your well offers drink, another body of water offers protection...” – and protection’s what I need right now – “Tied to something solid is the idol you want to get. Very hidden but not too deep and requires that you get wet.” I love it! And I know exactly where this thing is! It’s in the pond that we have behind camp and there’s a big, big monster log and that’s solid. (kisses the clue) I love you! Love it!</v>
      </c>
      <c r="AB9" s="4"/>
      <c r="AC9" s="3" t="str">
        <f>IFERROR(__xludf.DUMMYFUNCTION("""COMPUTED_VALUE"""),"S27 Tyson (3/4): I'm definitely with Gervase right now. If that lasts through to the finals, so be it. It would definitely be in Gervase's best interest to stick with me as well because we both lost our loved one in the game, Aras still has his and if Vyt"&amp;"as makes it to the merge, he would work with Vytas. They're obviously the strongest cumulatively, so to have them both, I think it's a huge danger.")</f>
        <v>S27 Tyson (3/4): I'm definitely with Gervase right now. If that lasts through to the finals, so be it. It would definitely be in Gervase's best interest to stick with me as well because we both lost our loved one in the game, Aras still has his and if Vytas makes it to the merge, he would work with Vytas. They're obviously the strongest cumulatively, so to have them both, I think it's a huge danger.</v>
      </c>
      <c r="AD9" s="4"/>
      <c r="AE9" s="3" t="str">
        <f>IFERROR(__xludf.DUMMYFUNCTION("""COMPUTED_VALUE"""),"S26 Cochran (1/1): You know, back at home, I'm waiting the whole week long for wednesday night at eight to arrive so I can turn on CBS and see what's in store. But when you're playing this game every single day is like wednesday night at eight. It's wild "&amp;"and that’s what I love. I-I get to watch Survivor while I'm playing Survivor. And for a Survivor nut like I am, this is a dream come true. The-the weird thing is that it's not normal for me to be surrounded by all these beautiful women who are half the ti"&amp;"me just wearing their underwear. I mean, that-that's some sort of freudian picnic, I think, uh, but it's real here.")</f>
        <v>S26 Cochran (1/1): You know, back at home, I'm waiting the whole week long for wednesday night at eight to arrive so I can turn on CBS and see what's in store. But when you're playing this game every single day is like wednesday night at eight. It's wild and that’s what I love. I-I get to watch Survivor while I'm playing Survivor. And for a Survivor nut like I am, this is a dream come true. The-the weird thing is that it's not normal for me to be surrounded by all these beautiful women who are half the time just wearing their underwear. I mean, that-that's some sort of freudian picnic, I think, uh, but it's real here.</v>
      </c>
      <c r="AF9" s="4"/>
      <c r="AG9" s="3" t="str">
        <f>IFERROR(__xludf.DUMMYFUNCTION("""COMPUTED_VALUE"""),"S25 Denise (2/2): I think it would be a ridiculous choice to keep Angie at this point, but I don't know that I could get Malcolm to vote Angie. And then Russell, Russell couldn't climb a ladder. Maybe he needs to go home.")</f>
        <v>S25 Denise (2/2): I think it would be a ridiculous choice to keep Angie at this point, but I don't know that I could get Malcolm to vote Angie. And then Russell, Russell couldn't climb a ladder. Maybe he needs to go home.</v>
      </c>
      <c r="AH9" s="4"/>
      <c r="AI9" s="3" t="str">
        <f>IFERROR(__xludf.DUMMYFUNCTION("""COMPUTED_VALUE"""),"S24 Kim (2/4): Sabrina finds the Immunity Idol but it's not for our tribe. It’s-- she gets to play it for one of the guys. Nobody really had the girls' idol and something snapped for me and I thought, “I'm literally gonna get up and go find this right now"&amp;". It's out here somewhere.” I walked all around the guy's side, looked at every tree, nothing, nothing, nothing. I was getting really discouraged and said, “Lord, please!” (chuckles)")</f>
        <v>S24 Kim (2/4): Sabrina finds the Immunity Idol but it's not for our tribe. It’s-- she gets to play it for one of the guys. Nobody really had the girls' idol and something snapped for me and I thought, “I'm literally gonna get up and go find this right now. It's out here somewhere.” I walked all around the guy's side, looked at every tree, nothing, nothing, nothing. I was getting really discouraged and said, “Lord, please!” (chuckles)</v>
      </c>
      <c r="AJ9" s="4"/>
      <c r="AK9" s="3" t="str">
        <f>IFERROR(__xludf.DUMMYFUNCTION("""COMPUTED_VALUE"""),"S23 Sophie (1/1): You know, this whole prayer thing, for me, it doesn't weigh as heavily on my mind because I'm not the one speaking the prayer. I find Coach to be a little more questionable when he actually is the one saying, you know, ""Dear God, help u"&amp;"s find the idol,"" when he knows he has the idol in his pocket. I-- it gives me a little bit of an icky feeling.")</f>
        <v>S23 Sophie (1/1): You know, this whole prayer thing, for me, it doesn't weigh as heavily on my mind because I'm not the one speaking the prayer. I find Coach to be a little more questionable when he actually is the one saying, you know, "Dear God, help us find the idol," when he knows he has the idol in his pocket. I-- it gives me a little bit of an icky feeling.</v>
      </c>
      <c r="AL9" s="4"/>
      <c r="AM9" s="3" t="str">
        <f>IFERROR(__xludf.DUMMYFUNCTION("""COMPUTED_VALUE"""),"S22 Rob (7/12): So we get back from the challenge, and once again, we have to endure the pre- Tribal Council before Tribal Council.")</f>
        <v>S22 Rob (7/12): So we get back from the challenge, and once again, we have to endure the pre- Tribal Council before Tribal Council.</v>
      </c>
      <c r="AN9" s="4"/>
      <c r="AO9" s="3" t="str">
        <f>IFERROR(__xludf.DUMMYFUNCTION("""COMPUTED_VALUE"""),"S21 Fabio (1/2): When Marty says, “I am a grandmaster in chess,” I'm just thinking, “D'uh, like it makes sen-- it does make sense, man.” He's always talking about it's a numbers game and you can see him doing all these numbers in his head and I'm, like, “"&amp;"Sign me up.” It sounds like a good deal, you know?")</f>
        <v>S21 Fabio (1/2): When Marty says, “I am a grandmaster in chess,” I'm just thinking, “D'uh, like it makes sen-- it does make sense, man.” He's always talking about it's a numbers game and you can see him doing all these numbers in his head and I'm, like, “Sign me up.” It sounds like a good deal, you know?</v>
      </c>
      <c r="AP9" s="4"/>
      <c r="AQ9" s="3"/>
      <c r="AR9" s="4"/>
      <c r="AS9" s="3"/>
      <c r="AT9" s="4"/>
      <c r="AU9" s="3"/>
      <c r="AV9" s="4"/>
      <c r="AW9" s="3"/>
      <c r="AX9" s="4"/>
      <c r="AY9" s="3"/>
      <c r="AZ9" s="4"/>
      <c r="BA9" s="3"/>
      <c r="BB9" s="4"/>
      <c r="BC9" s="3"/>
      <c r="BD9" s="4"/>
      <c r="BE9" s="3"/>
      <c r="BF9" s="4"/>
      <c r="BG9" s="3"/>
      <c r="BH9" s="4"/>
      <c r="BI9" s="3"/>
      <c r="BJ9" s="4"/>
      <c r="BK9" s="3" t="str">
        <f>IFERROR(__xludf.DUMMYFUNCTION("""COMPUTED_VALUE"""),"S10 Tom (5/5): They would get to, uh, just out of reach of us. I-I took a lunge at one and missed, but they knew we were there, and would-would just probe so far, but no closer. Um, we had sharpened sticks, which I-I don’t think would really go through sh"&amp;"ark skin. We’re going to back off the, uh, the snakes and redouble our effort on the sharks, I think is our plan right now. We’re going to get a shark.")</f>
        <v>S10 Tom (5/5): They would get to, uh, just out of reach of us. I-I took a lunge at one and missed, but they knew we were there, and would-would just probe so far, but no closer. Um, we had sharpened sticks, which I-I don’t think would really go through shark skin. We’re going to back off the, uh, the snakes and redouble our effort on the sharks, I think is our plan right now. We’re going to get a shark.</v>
      </c>
      <c r="BL9" s="4"/>
      <c r="BM9" s="3" t="str">
        <f>IFERROR(__xludf.DUMMYFUNCTION("""COMPUTED_VALUE"""),"S09 Chris (1/1): It's interesting having a pretty girl playing the game ‘cause somebody like that can fly underneath the radar and sweet talk their way into the final five and then, you know, boom, next thing you know, they're sitting there waiting to win"&amp;" the money.")</f>
        <v>S09 Chris (1/1): It's interesting having a pretty girl playing the game ‘cause somebody like that can fly underneath the radar and sweet talk their way into the final five and then, you know, boom, next thing you know, they're sitting there waiting to win the money.</v>
      </c>
      <c r="BN9" s="4"/>
      <c r="BO9" s="3" t="str">
        <f>IFERROR(__xludf.DUMMYFUNCTION("""COMPUTED_VALUE"""),"S08 Amber (4/4): It definitely disappoints me that Sue couldn't keep it together. I mean, I can't help but wish that she was still here. We were up a member. But Survivor's true test is, if you're able to keep it together and keep each other happy, then y"&amp;"ou're good to go. Yeah, we've had bad days, we have our lows, but we have so many more highs. And that's what we concentrate on in this tribe. We don't even think about our lows for very long. We always think about the highs.")</f>
        <v>S08 Amber (4/4): It definitely disappoints me that Sue couldn't keep it together. I mean, I can't help but wish that she was still here. We were up a member. But Survivor's true test is, if you're able to keep it together and keep each other happy, then you're good to go. Yeah, we've had bad days, we have our lows, but we have so many more highs. And that's what we concentrate on in this tribe. We don't even think about our lows for very long. We always think about the highs.</v>
      </c>
      <c r="BP9" s="4"/>
      <c r="BQ9" s="3" t="str">
        <f>IFERROR(__xludf.DUMMYFUNCTION("""COMPUTED_VALUE"""),"S07 Sandra (8/9): Out of all the things that could happen, I never thought that this would be one of them, to just have whatever you had on and that was it.")</f>
        <v>S07 Sandra (8/9): Out of all the things that could happen, I never thought that this would be one of them, to just have whatever you had on and that was it.</v>
      </c>
      <c r="BR9" s="4"/>
      <c r="BS9" s="3"/>
      <c r="BT9" s="4"/>
      <c r="BU9" s="3"/>
      <c r="BV9" s="4"/>
      <c r="BW9" s="3"/>
      <c r="BX9" s="4"/>
      <c r="BY9" s="3"/>
      <c r="BZ9" s="4"/>
      <c r="CA9" s="3"/>
      <c r="CB9" s="4"/>
      <c r="CC9" s="3"/>
      <c r="CD9" s="4"/>
    </row>
    <row r="10">
      <c r="A10" s="3"/>
      <c r="B10" s="4"/>
      <c r="C10" s="3" t="str">
        <f>IFERROR(__xludf.DUMMYFUNCTION("""COMPUTED_VALUE"""),"S40 Tony (1/3): I said, “Oh, hey, let me jump in. Let me be the hero. Let me grab the shark.” So I grab the shark, just pick it up. As soon as I picked it up, it went… (shouts)")</f>
        <v>S40 Tony (1/3): I said, “Oh, hey, let me jump in. Let me be the hero. Let me grab the shark.” So I grab the shark, just pick it up. As soon as I picked it up, it went… (shouts)</v>
      </c>
      <c r="D10" s="4"/>
      <c r="E10" s="3"/>
      <c r="F10" s="4"/>
      <c r="G10" s="3"/>
      <c r="H10" s="4"/>
      <c r="I10" s="3"/>
      <c r="J10" s="4"/>
      <c r="K10" s="3"/>
      <c r="L10" s="4"/>
      <c r="M10" s="3" t="str">
        <f>IFERROR(__xludf.DUMMYFUNCTION("""COMPUTED_VALUE"""),"S35 Ben (1/1): There was a bamboo explosion in the fire, and I don’t like loud noises like that, like when they’re unexpected. It kind of put me in a bad spot. I was in the Marines for three and half years. When you go through combat and you come back, th"&amp;"ere is no way to adjust fully. There’s things upstairs that are there forever. Coming back with that stuff, it’s hard, and you feel lonely, and you feel that nobody understands. Other people, civilians or whatever, have no idea what it’s like to, uh, to b"&amp;"e shot or mortar-- have-have people try to kill you. You can’t comprehend that without being there and going through it. And so those reactions are 100% real for men and women that have fought for our country. And it’s hard to be around other people that "&amp;"don’t understand that. Before I met my wife, that was a monkey on my back. My wife and kids have definitely saved me from my demons, my nightmares, and the past. I used to live in the past. That’s not a good thing for anyone. You have to look forward to t"&amp;"he future, because the past will eat you alive, but the future will save you. (tearfully) You know, winning the million for my family is-is my goal, but there’s a bigger picture, and it’s bigger than me, my family, the game of Survivor. It’s about just be"&amp;"ing able to show vets who have have gone through battle and war and depression and PTSD, there’s a way to life outside of all that hell… (nods head) and that’s what I’m doing.")</f>
        <v>S35 Ben (1/1): There was a bamboo explosion in the fire, and I don’t like loud noises like that, like when they’re unexpected. It kind of put me in a bad spot. I was in the Marines for three and half years. When you go through combat and you come back, there is no way to adjust fully. There’s things upstairs that are there forever. Coming back with that stuff, it’s hard, and you feel lonely, and you feel that nobody understands. Other people, civilians or whatever, have no idea what it’s like to, uh, to be shot or mortar-- have-have people try to kill you. You can’t comprehend that without being there and going through it. And so those reactions are 100% real for men and women that have fought for our country. And it’s hard to be around other people that don’t understand that. Before I met my wife, that was a monkey on my back. My wife and kids have definitely saved me from my demons, my nightmares, and the past. I used to live in the past. That’s not a good thing for anyone. You have to look forward to the future, because the past will eat you alive, but the future will save you. (tearfully) You know, winning the million for my family is-is my goal, but there’s a bigger picture, and it’s bigger than me, my family, the game of Survivor. It’s about just being able to show vets who have have gone through battle and war and depression and PTSD, there’s a way to life outside of all that hell… (nods head) and that’s what I’m doing.</v>
      </c>
      <c r="N10" s="4"/>
      <c r="O10" s="3" t="str">
        <f>IFERROR(__xludf.DUMMYFUNCTION("""COMPUTED_VALUE"""),"S34 Sarah (1/1): You know, I come from a very conservative background. I don’t know any transgender people until now, and the fact that I’ve been with Zeke and gotten to know him as a person from Day 1… I love that guy, and it doesn’t change who he is to "&amp;"me. If anything, it makes us stronger, I feel. So I woke up this morning, and Zeke is Zeke.")</f>
        <v>S34 Sarah (1/1): You know, I come from a very conservative background. I don’t know any transgender people until now, and the fact that I’ve been with Zeke and gotten to know him as a person from Day 1… I love that guy, and it doesn’t change who he is to me. If anything, it makes us stronger, I feel. So I woke up this morning, and Zeke is Zeke.</v>
      </c>
      <c r="P10" s="4"/>
      <c r="Q10" s="3" t="str">
        <f>IFERROR(__xludf.DUMMYFUNCTION("""COMPUTED_VALUE"""),"S33 Adam (1/4): Hidden Immunity Idol searching has really died down at this camp, but I have a feeling that it might still be out there, and so I do feel like I need to rededicate myself to that search because after Mari was voted out, my head is definite"&amp;"ly on the chopping block. And if I can somehow get my hands on an idol, I could save myself.")</f>
        <v>S33 Adam (1/4): Hidden Immunity Idol searching has really died down at this camp, but I have a feeling that it might still be out there, and so I do feel like I need to rededicate myself to that search because after Mari was voted out, my head is definitely on the chopping block. And if I can somehow get my hands on an idol, I could save myself.</v>
      </c>
      <c r="R10" s="4"/>
      <c r="S10" s="3" t="str">
        <f>IFERROR(__xludf.DUMMYFUNCTION("""COMPUTED_VALUE"""),"S32 Michele (2/6): Today was not the best day for my Survivor game. A girl who is in my top two alliance got voted out. Besides that, I just put my head on the chopping block by blowing that challenge and it freakin’ sucks.")</f>
        <v>S32 Michele (2/6): Today was not the best day for my Survivor game. A girl who is in my top two alliance got voted out. Besides that, I just put my head on the chopping block by blowing that challenge and it freakin’ sucks.</v>
      </c>
      <c r="T10" s="4"/>
      <c r="U10" s="3" t="str">
        <f>IFERROR(__xludf.DUMMYFUNCTION("""COMPUTED_VALUE"""),"S31 Jeremy (2/2): This is my idol. I’m not telling anybody. So I told Stephen that we gotta really look for this thing because I don’t need him to think that I have it. I want Stephen to think that I’m still looking for it and it’s for us. I wanna keep pu"&amp;"lling him close. I know they’re gonna come after me at some point, and I want him to be the one to say, “Listen, they’re coming after you,” and then I got my (holds idol up to camera) get out of jail free card. I would love to be Steve’s J.T. We could be "&amp;"friends for life after this. I’ll give you second place, if you’re happy with that. I’m not happy with second place.")</f>
        <v>S31 Jeremy (2/2): This is my idol. I’m not telling anybody. So I told Stephen that we gotta really look for this thing because I don’t need him to think that I have it. I want Stephen to think that I’m still looking for it and it’s for us. I wanna keep pulling him close. I know they’re gonna come after me at some point, and I want him to be the one to say, “Listen, they’re coming after you,” and then I got my (holds idol up to camera) get out of jail free card. I would love to be Steve’s J.T. We could be friends for life after this. I’ll give you second place, if you’re happy with that. I’m not happy with second place.</v>
      </c>
      <c r="V10" s="4"/>
      <c r="W10" s="3" t="str">
        <f>IFERROR(__xludf.DUMMYFUNCTION("""COMPUTED_VALUE"""),"S30 Mike (1/3): We’re still unable to get a fish, which is, uh, breaking my heart a little bit. And we’re not getting chickens, obviously. But, uh, we’ve been seeing a couple of snakes throughout camp, and we have got a snake. Any opportunity to get food,"&amp;" you know your boy from Texas is going to eat it. I don’t care what it is, you know what I mean? Whether it be a scorpion or a snake, it don’t matter.")</f>
        <v>S30 Mike (1/3): We’re still unable to get a fish, which is, uh, breaking my heart a little bit. And we’re not getting chickens, obviously. But, uh, we’ve been seeing a couple of snakes throughout camp, and we have got a snake. Any opportunity to get food, you know your boy from Texas is going to eat it. I don’t care what it is, you know what I mean? Whether it be a scorpion or a snake, it don’t matter.</v>
      </c>
      <c r="X10" s="4"/>
      <c r="Y10" s="3" t="str">
        <f>IFERROR(__xludf.DUMMYFUNCTION("""COMPUTED_VALUE"""),"S29 Natalie (2/3): Baylor has the Immunity Idol clue. She straight up showed it to me. I didn't ask her, she just showed it to me. Getting information from Baylor, I feel like long term is way more important to me right now than some food reward.")</f>
        <v>S29 Natalie (2/3): Baylor has the Immunity Idol clue. She straight up showed it to me. I didn't ask her, she just showed it to me. Getting information from Baylor, I feel like long term is way more important to me right now than some food reward.</v>
      </c>
      <c r="Z10" s="4"/>
      <c r="AA10" s="3" t="str">
        <f>IFERROR(__xludf.DUMMYFUNCTION("""COMPUTED_VALUE"""),"S28 Tony (6/7): I went right into the lake and finally I felt a lump and sure enough, it was an idol right there and I found it!")</f>
        <v>S28 Tony (6/7): I went right into the lake and finally I felt a lump and sure enough, it was an idol right there and I found it!</v>
      </c>
      <c r="AB10" s="4"/>
      <c r="AC10" s="3" t="str">
        <f>IFERROR(__xludf.DUMMYFUNCTION("""COMPUTED_VALUE"""),"S27 Tyson (4/4): My shoulder does still hurt but it is getting better every day. So the thing is, I'm better than most everybody on my tribe with one arm, so... I wanna win.")</f>
        <v>S27 Tyson (4/4): My shoulder does still hurt but it is getting better every day. So the thing is, I'm better than most everybody on my tribe with one arm, so... I wanna win.</v>
      </c>
      <c r="AD10" s="4"/>
      <c r="AE10" s="3" t="str">
        <f>IFERROR(__xludf.DUMMYFUNCTION("""COMPUTED_VALUE"""),"S26 Cochran (1/3): So the Favorites won the Reward Challenge and we got to have a local bushman come to camp and introduce us to ways of improving our camp and actually physically improving it for us, as well as cooking a great feast for us.")</f>
        <v>S26 Cochran (1/3): So the Favorites won the Reward Challenge and we got to have a local bushman come to camp and introduce us to ways of improving our camp and actually physically improving it for us, as well as cooking a great feast for us.</v>
      </c>
      <c r="AF10" s="4"/>
      <c r="AG10" s="3" t="str">
        <f>IFERROR(__xludf.DUMMYFUNCTION("""COMPUTED_VALUE"""),"S25 Denise (1/4): Oh, it’s-- you know, having three people in a tribe, you know, at Day 9? This is not what I envisioned at all. Sitting in our shelter this morning, you know, the rain's coming down and the three of us are in there and, you know, we-we jo"&amp;"ke and we're making jokes and having conversations, but then you'll get that silence and my thoughts aren't on like, “Oh, missing home yet.” My thoughts are on, “How do I stay here? Who's going home?” And, you know, in college I did have roommates and we "&amp;"had three, and with three there's always one that's out. You know, the minute I don't take all my stuff to Tribal Council will be the night I'm probably going home.")</f>
        <v>S25 Denise (1/4): Oh, it’s-- you know, having three people in a tribe, you know, at Day 9? This is not what I envisioned at all. Sitting in our shelter this morning, you know, the rain's coming down and the three of us are in there and, you know, we-we joke and we're making jokes and having conversations, but then you'll get that silence and my thoughts aren't on like, “Oh, missing home yet.” My thoughts are on, “How do I stay here? Who's going home?” And, you know, in college I did have roommates and we had three, and with three there's always one that's out. You know, the minute I don't take all my stuff to Tribal Council will be the night I'm probably going home.</v>
      </c>
      <c r="AH10" s="4"/>
      <c r="AI10" s="3" t="str">
        <f>IFERROR(__xludf.DUMMYFUNCTION("""COMPUTED_VALUE"""),"S24 Kim (3/4): I just found the Immunity Idol. It's really, really good. It feels amazing. It was honestly shocking ‘cause I've looked so hard. So I had to literally reach in there and feel it. Maybe one of the best feelings I’ve had since I got here.")</f>
        <v>S24 Kim (3/4): I just found the Immunity Idol. It's really, really good. It feels amazing. It was honestly shocking ‘cause I've looked so hard. So I had to literally reach in there and feel it. Maybe one of the best feelings I’ve had since I got here.</v>
      </c>
      <c r="AJ10" s="4"/>
      <c r="AK10" s="3" t="str">
        <f>IFERROR(__xludf.DUMMYFUNCTION("""COMPUTED_VALUE"""),"S23 Sophie (1/1): You can never count on someone flipping over. Um, you can never know for sure. That said, I think I feel as confident about Cochran flipping over, because Cochran thinks that if he switches and comes back to camp he's gonna get beat up, "&amp;"which is a legitimate thing for a dodgeball target to be afraid of.")</f>
        <v>S23 Sophie (1/1): You can never count on someone flipping over. Um, you can never know for sure. That said, I think I feel as confident about Cochran flipping over, because Cochran thinks that if he switches and comes back to camp he's gonna get beat up, which is a legitimate thing for a dodgeball target to be afraid of.</v>
      </c>
      <c r="AL10" s="4"/>
      <c r="AM10" s="3" t="str">
        <f>IFERROR(__xludf.DUMMYFUNCTION("""COMPUTED_VALUE"""),"S22 Rob (8/12): Phillip blew the challenge, plain and simple. But look here, when we just got our asses kicked twice, and Matt goes to congratulate the other team, Matt's trying to play the good Christian game and the social game and the end game on Day f"&amp;"riggin' 5. Wake up, brother.")</f>
        <v>S22 Rob (8/12): Phillip blew the challenge, plain and simple. But look here, when we just got our asses kicked twice, and Matt goes to congratulate the other team, Matt's trying to play the good Christian game and the social game and the end game on Day friggin' 5. Wake up, brother.</v>
      </c>
      <c r="AN10" s="4"/>
      <c r="AO10" s="3" t="str">
        <f>IFERROR(__xludf.DUMMYFUNCTION("""COMPUTED_VALUE"""),"S21 Fabio (2/2): Sash wants me to vote for Marty. But I want Marty to stick around. He's a smart guy, he's filled-- he’s let me in on some of his secrets, you know? So I feel like I'm kind of in good with him.")</f>
        <v>S21 Fabio (2/2): Sash wants me to vote for Marty. But I want Marty to stick around. He's a smart guy, he's filled-- he’s let me in on some of his secrets, you know? So I feel like I'm kind of in good with him.</v>
      </c>
      <c r="AP10" s="4"/>
      <c r="AQ10" s="3"/>
      <c r="AR10" s="4"/>
      <c r="AS10" s="3"/>
      <c r="AT10" s="4"/>
      <c r="AU10" s="3"/>
      <c r="AV10" s="4"/>
      <c r="AW10" s="3"/>
      <c r="AX10" s="4"/>
      <c r="AY10" s="3"/>
      <c r="AZ10" s="4"/>
      <c r="BA10" s="3"/>
      <c r="BB10" s="4"/>
      <c r="BC10" s="3"/>
      <c r="BD10" s="4"/>
      <c r="BE10" s="3"/>
      <c r="BF10" s="4"/>
      <c r="BG10" s="3"/>
      <c r="BH10" s="4"/>
      <c r="BI10" s="3"/>
      <c r="BJ10" s="4"/>
      <c r="BK10" s="3" t="str">
        <f>IFERROR(__xludf.DUMMYFUNCTION("""COMPUTED_VALUE"""),"S10 Tom (1/2): The barge boat came around the corner again. We could see The Home Depot, uh, sign on it, and there was a lot of, lot of joy in camp.")</f>
        <v>S10 Tom (1/2): The barge boat came around the corner again. We could see The Home Depot, uh, sign on it, and there was a lot of, lot of joy in camp.</v>
      </c>
      <c r="BL10" s="4"/>
      <c r="BM10" s="3" t="str">
        <f>IFERROR(__xludf.DUMMYFUNCTION("""COMPUTED_VALUE"""),"S09 Chris (1/1): John has been a target to send home ever since the game started. I mean, he was on the other side with the guys, but Chad's concerned that maybe keeping John around a little bit longer might be the best thing. He doesn't have a whole lot "&amp;"of trust in Julie.")</f>
        <v>S09 Chris (1/1): John has been a target to send home ever since the game started. I mean, he was on the other side with the guys, but Chad's concerned that maybe keeping John around a little bit longer might be the best thing. He doesn't have a whole lot of trust in Julie.</v>
      </c>
      <c r="BN10" s="4"/>
      <c r="BO10" s="3" t="str">
        <f>IFERROR(__xludf.DUMMYFUNCTION("""COMPUTED_VALUE"""),"S08 Amber (1/3): Some people grabbed plates. I didn't even grab a plate. I just started picking up the food left and right. Cheese and pickles and bread and... It was so great. We needed that.")</f>
        <v>S08 Amber (1/3): Some people grabbed plates. I didn't even grab a plate. I just started picking up the food left and right. Cheese and pickles and bread and... It was so great. We needed that.</v>
      </c>
      <c r="BP10" s="4"/>
      <c r="BQ10" s="3" t="str">
        <f>IFERROR(__xludf.DUMMYFUNCTION("""COMPUTED_VALUE"""),"S07 Sandra (9/9): I wasn't impressed. I don't know what was going on with them. I wish their ding-a-lings got stuck on a vine or I don't know. That was just stupid.")</f>
        <v>S07 Sandra (9/9): I wasn't impressed. I don't know what was going on with them. I wish their ding-a-lings got stuck on a vine or I don't know. That was just stupid.</v>
      </c>
      <c r="BR10" s="4"/>
      <c r="BS10" s="3"/>
      <c r="BT10" s="4"/>
      <c r="BU10" s="3"/>
      <c r="BV10" s="4"/>
      <c r="BW10" s="3"/>
      <c r="BX10" s="4"/>
      <c r="BY10" s="3"/>
      <c r="BZ10" s="4"/>
      <c r="CA10" s="3"/>
      <c r="CB10" s="4"/>
      <c r="CC10" s="3"/>
      <c r="CD10" s="4"/>
    </row>
    <row r="11">
      <c r="A11" s="3"/>
      <c r="B11" s="4"/>
      <c r="C11" s="3" t="str">
        <f>IFERROR(__xludf.DUMMYFUNCTION("""COMPUTED_VALUE"""),"S40 Tony (2/3): So many thoughts went through my mind in, like, a millisecond. The first reaction was to let it go. So it would’ve fell back in the water and it would escape. There-- I-I would’ve-- I would’ve just said, “Guys, let me just swim to the Edge"&amp;", because you don’t need to vote me off tonight. I know who’s going.” Oh, man, what a cluster that was.")</f>
        <v>S40 Tony (2/3): So many thoughts went through my mind in, like, a millisecond. The first reaction was to let it go. So it would’ve fell back in the water and it would escape. There-- I-I would’ve-- I would’ve just said, “Guys, let me just swim to the Edge, because you don’t need to vote me off tonight. I know who’s going.” Oh, man, what a cluster that was.</v>
      </c>
      <c r="D11" s="4"/>
      <c r="E11" s="3"/>
      <c r="F11" s="4"/>
      <c r="G11" s="3"/>
      <c r="H11" s="4"/>
      <c r="I11" s="3"/>
      <c r="J11" s="4"/>
      <c r="K11" s="3"/>
      <c r="L11" s="4"/>
      <c r="M11" s="3" t="str">
        <f>IFERROR(__xludf.DUMMYFUNCTION("""COMPUTED_VALUE"""),"S35 Ben (1/2): Oh, Mikey… (laughs) that poor guy, he-he was determined, though. That man never gave up. Through hell or high water, Mike was cooking that fish, and eating it. I’m proud of him. He’s out of his element, and he’s doing good. You know, Mike c"&amp;"aught a small fish and he shared that. Cole’s caught a decent-sized fish, and he ate it for himself-- a couple of times. I mean, that shows right there who you should work with in this game. Someone who is going to share and then think about others or som"&amp;"eone who’s just going to think about himself. Cole’s showing his true colors… (nods) and they ain’t good.")</f>
        <v>S35 Ben (1/2): Oh, Mikey… (laughs) that poor guy, he-he was determined, though. That man never gave up. Through hell or high water, Mike was cooking that fish, and eating it. I’m proud of him. He’s out of his element, and he’s doing good. You know, Mike caught a small fish and he shared that. Cole’s caught a decent-sized fish, and he ate it for himself-- a couple of times. I mean, that shows right there who you should work with in this game. Someone who is going to share and then think about others or someone who’s just going to think about himself. Cole’s showing his true colors… (nods) and they ain’t good.</v>
      </c>
      <c r="N11" s="4"/>
      <c r="O11" s="3" t="str">
        <f>IFERROR(__xludf.DUMMYFUNCTION("""COMPUTED_VALUE"""),"S34 Sarah (1/2): We lost the Marshalls spa day, and it’s a huge letdown, but I’m finding myself in the middle. I have options. And it’s just going to be which group wants to vote out the person that I want to vote out. That’s where I’m going to go.")</f>
        <v>S34 Sarah (1/2): We lost the Marshalls spa day, and it’s a huge letdown, but I’m finding myself in the middle. I have options. And it’s just going to be which group wants to vote out the person that I want to vote out. That’s where I’m going to go.</v>
      </c>
      <c r="P11" s="4"/>
      <c r="Q11" s="3" t="str">
        <f>IFERROR(__xludf.DUMMYFUNCTION("""COMPUTED_VALUE"""),"S33 Adam (2/4): This is incredible. For a Survivor super-duper fan like me, like, this is what dreams are made of. I found the clue, and now I've just got to figure this thing out. I don't know how much time I can spare looking for it. So I gotta go back "&amp;"to camp and look another time.")</f>
        <v>S33 Adam (2/4): This is incredible. For a Survivor super-duper fan like me, like, this is what dreams are made of. I found the clue, and now I've just got to figure this thing out. I don't know how much time I can spare looking for it. So I gotta go back to camp and look another time.</v>
      </c>
      <c r="R11" s="4"/>
      <c r="S11" s="3" t="str">
        <f>IFERROR(__xludf.DUMMYFUNCTION("""COMPUTED_VALUE"""),"S32 Michele (3/6): Everything that’s been up to this point, you know, it feels like it’s teetering, but I’m not one to give up. It does seem like I have to start over, so I’m just going to try and use my social skills to build me back up.")</f>
        <v>S32 Michele (3/6): Everything that’s been up to this point, you know, it feels like it’s teetering, but I’m not one to give up. It does seem like I have to start over, so I’m just going to try and use my social skills to build me back up.</v>
      </c>
      <c r="T11" s="4"/>
      <c r="U11" s="3" t="str">
        <f>IFERROR(__xludf.DUMMYFUNCTION("""COMPUTED_VALUE"""),"S31 Jeremy (1/2): There’s four original Bayon and then it’s Wigles and Spencer that are on the outs. So all I’m thinking is, who do I trust more, going into this game? Like, do I trust Spencer to go with me or could I trust Wiglesworth?")</f>
        <v>S31 Jeremy (1/2): There’s four original Bayon and then it’s Wigles and Spencer that are on the outs. So all I’m thinking is, who do I trust more, going into this game? Like, do I trust Spencer to go with me or could I trust Wiglesworth?</v>
      </c>
      <c r="V11" s="4"/>
      <c r="W11" s="3" t="str">
        <f>IFERROR(__xludf.DUMMYFUNCTION("""COMPUTED_VALUE"""),"S30 Mike (2/3): The girl, Kel Kel, got knocked in the head today. She ended up getting six stitches. This is one of the toughest girls I’ve seen in a long time, so fitting the stereotype of the blue collar. I have mad respect for that and I feel like we c"&amp;"ould go really, really far in this game... together.")</f>
        <v>S30 Mike (2/3): The girl, Kel Kel, got knocked in the head today. She ended up getting six stitches. This is one of the toughest girls I’ve seen in a long time, so fitting the stereotype of the blue collar. I have mad respect for that and I feel like we could go really, really far in this game... together.</v>
      </c>
      <c r="X11" s="4"/>
      <c r="Y11" s="3" t="str">
        <f>IFERROR(__xludf.DUMMYFUNCTION("""COMPUTED_VALUE"""),"S29 Natalie (3/3): Me, Jeremy, and Julie, we're on the chopping block now. Long term, whatever Baylor says, I'm listening to because Missy I trust, and so if I can trust Missy, I can trust Baylor.")</f>
        <v>S29 Natalie (3/3): Me, Jeremy, and Julie, we're on the chopping block now. Long term, whatever Baylor says, I'm listening to because Missy I trust, and so if I can trust Missy, I can trust Baylor.</v>
      </c>
      <c r="Z11" s="4"/>
      <c r="AA11" s="3" t="str">
        <f>IFERROR(__xludf.DUMMYFUNCTION("""COMPUTED_VALUE"""),"S28 Tony (7/7): I don’t need to tell anybody about the idol, it’s not gonna benefit me in any way to tell anybody about the idol because that’s just gonna give them leverage for them to try to sneak attack me and I don’t want that. I’d rather try to sneak"&amp;" attack them. So that idol? Nobody will know about it.")</f>
        <v>S28 Tony (7/7): I don’t need to tell anybody about the idol, it’s not gonna benefit me in any way to tell anybody about the idol because that’s just gonna give them leverage for them to try to sneak attack me and I don’t want that. I’d rather try to sneak attack them. So that idol? Nobody will know about it.</v>
      </c>
      <c r="AB11" s="4"/>
      <c r="AC11" s="3" t="str">
        <f>IFERROR(__xludf.DUMMYFUNCTION("""COMPUTED_VALUE"""),"S27 Tyson (1/1): We have the core alliance of me, Aras, Gervase, Tina and Monica. We’re a solid five. Kat also feels like she’s in that alliance of five. And Laura Morett has no clue what alliance is going on. But right now, the plan is to vote out someon"&amp;"e that everybody is super annoyed with and that’s Laura B.")</f>
        <v>S27 Tyson (1/1): We have the core alliance of me, Aras, Gervase, Tina and Monica. We’re a solid five. Kat also feels like she’s in that alliance of five. And Laura Morett has no clue what alliance is going on. But right now, the plan is to vote out someone that everybody is super annoyed with and that’s Laura B.</v>
      </c>
      <c r="AD11" s="4"/>
      <c r="AE11" s="3" t="str">
        <f>IFERROR(__xludf.DUMMYFUNCTION("""COMPUTED_VALUE"""),"S26 Cochran (2/3): As we got to form as much of a rapport as you can form with someone like Tata the bushman, we got a sense of how he functions, and the way he functions is basically saying enigmatic little things that nobody understands. But to his cred"&amp;"it, he created an unbelievable feast for us. I mean, we've been eating rice but he prepared this rice flawlessly, like you would get in a great restaurant, and he made chicken, potatoes, and onions created in, like, a way that ostensibly we could do once "&amp;"he's gone. I have no idea what the hell he was doing, but it was great to watch. It was kind of, you know, dinner and a show. And, you know, actual home improvement came along with it.")</f>
        <v>S26 Cochran (2/3): As we got to form as much of a rapport as you can form with someone like Tata the bushman, we got a sense of how he functions, and the way he functions is basically saying enigmatic little things that nobody understands. But to his credit, he created an unbelievable feast for us. I mean, we've been eating rice but he prepared this rice flawlessly, like you would get in a great restaurant, and he made chicken, potatoes, and onions created in, like, a way that ostensibly we could do once he's gone. I have no idea what the hell he was doing, but it was great to watch. It was kind of, you know, dinner and a show. And, you know, actual home improvement came along with it.</v>
      </c>
      <c r="AF11" s="4"/>
      <c r="AG11" s="3" t="str">
        <f>IFERROR(__xludf.DUMMYFUNCTION("""COMPUTED_VALUE"""),"S25 Denise (2/4): Went up the beach when we had a momentary break in the rain, gathered some wood and I came around the corner and I don't know why, but just… it just seemed a little shady. Russell was at the very corner of the… of our shelter and he was "&amp;"putting a banana leaf there and he kind of said like… I don't know, but it-it definitely kind of planted a little seed of ""What are you doing?""")</f>
        <v>S25 Denise (2/4): Went up the beach when we had a momentary break in the rain, gathered some wood and I came around the corner and I don't know why, but just… it just seemed a little shady. Russell was at the very corner of the… of our shelter and he was putting a banana leaf there and he kind of said like… I don't know, but it-it definitely kind of planted a little seed of "What are you doing?"</v>
      </c>
      <c r="AH11" s="4"/>
      <c r="AI11" s="3" t="str">
        <f>IFERROR(__xludf.DUMMYFUNCTION("""COMPUTED_VALUE"""),"S24 Kim (4/4): As soon as I found the idol, I've kind of been thinking all along I might just keep it to myself, but as I was trying to grab it and get it I thought, you know, “There's no one I trust in this game more than Chelsea. If I'm gonna do this wi"&amp;"th anyone, it’s gonna be with her,” so I decided to let her in on it.")</f>
        <v>S24 Kim (4/4): As soon as I found the idol, I've kind of been thinking all along I might just keep it to myself, but as I was trying to grab it and get it I thought, you know, “There's no one I trust in this game more than Chelsea. If I'm gonna do this with anyone, it’s gonna be with her,” so I decided to let her in on it.</v>
      </c>
      <c r="AJ11" s="4"/>
      <c r="AK11" s="3" t="str">
        <f>IFERROR(__xludf.DUMMYFUNCTION("""COMPUTED_VALUE"""),"S23 Sophie (1/1): Albert, he's getting nervous. He's thinking a lot right now about switching up the game and I think those are important things to think about, um, in general Survivor strategy, but I'd like to stay pretty rigid with the plan. So I'd rath"&amp;"er get rid of Jim.")</f>
        <v>S23 Sophie (1/1): Albert, he's getting nervous. He's thinking a lot right now about switching up the game and I think those are important things to think about, um, in general Survivor strategy, but I'd like to stay pretty rigid with the plan. So I'd rather get rid of Jim.</v>
      </c>
      <c r="AL11" s="4"/>
      <c r="AM11" s="3" t="str">
        <f>IFERROR(__xludf.DUMMYFUNCTION("""COMPUTED_VALUE"""),"S22 Rob (9/12): The first game plan was to vote out Phillip or Andrea. Well, Matt's getting four votes. I didn't want to play Survivor like this. I really didn't. I wanted to keep my team strong. I mean, I get it, Matt's playing Survivor. He's playing tex"&amp;"tbook. But he's playing with me.")</f>
        <v>S22 Rob (9/12): The first game plan was to vote out Phillip or Andrea. Well, Matt's getting four votes. I didn't want to play Survivor like this. I really didn't. I wanted to keep my team strong. I mean, I get it, Matt's playing Survivor. He's playing textbook. But he's playing with me.</v>
      </c>
      <c r="AN11" s="4"/>
      <c r="AO11" s="3" t="str">
        <f>IFERROR(__xludf.DUMMYFUNCTION("""COMPUTED_VALUE"""),"S21 Fabio (1/1): Right now, the game plan is put three of our votes on Marty and two on Jill and tell Marty, like, “Bro, you gotta play the idol now.” So he does and then it will be a tie between Jill and whoever Marty and Jill vote. And then on the revot"&amp;"e, Jill would end up going home.")</f>
        <v>S21 Fabio (1/1): Right now, the game plan is put three of our votes on Marty and two on Jill and tell Marty, like, “Bro, you gotta play the idol now.” So he does and then it will be a tie between Jill and whoever Marty and Jill vote. And then on the revote, Jill would end up going home.</v>
      </c>
      <c r="AP11" s="4"/>
      <c r="AQ11" s="3"/>
      <c r="AR11" s="4"/>
      <c r="AS11" s="3"/>
      <c r="AT11" s="4"/>
      <c r="AU11" s="3"/>
      <c r="AV11" s="4"/>
      <c r="AW11" s="3"/>
      <c r="AX11" s="4"/>
      <c r="AY11" s="3"/>
      <c r="AZ11" s="4"/>
      <c r="BA11" s="3"/>
      <c r="BB11" s="4"/>
      <c r="BC11" s="3"/>
      <c r="BD11" s="4"/>
      <c r="BE11" s="3"/>
      <c r="BF11" s="4"/>
      <c r="BG11" s="3"/>
      <c r="BH11" s="4"/>
      <c r="BI11" s="3"/>
      <c r="BJ11" s="4"/>
      <c r="BK11" s="3" t="str">
        <f>IFERROR(__xludf.DUMMYFUNCTION("""COMPUTED_VALUE"""),"S10 Tom (2/2): As if the shelter wasn’t enough, these wonderful people turned around and gave us a housewarming gift, and it was a, uh, crate with, uh, two bottles of iced-cold champagne in it. We don’t even know if it was the alcohol, but it was the most"&amp;" delicious thing you ever tasted and it felt great.")</f>
        <v>S10 Tom (2/2): As if the shelter wasn’t enough, these wonderful people turned around and gave us a housewarming gift, and it was a, uh, crate with, uh, two bottles of iced-cold champagne in it. We don’t even know if it was the alcohol, but it was the most delicious thing you ever tasted and it felt great.</v>
      </c>
      <c r="BL11" s="4"/>
      <c r="BM11" s="3" t="str">
        <f>IFERROR(__xludf.DUMMYFUNCTION("""COMPUTED_VALUE"""),"S09 Chris (1/6): I just glanced over there, and Sarge has his ass hanging out. Probably is an image that will never leave my memory.")</f>
        <v>S09 Chris (1/6): I just glanced over there, and Sarge has his ass hanging out. Probably is an image that will never leave my memory.</v>
      </c>
      <c r="BN11" s="4"/>
      <c r="BO11" s="3" t="str">
        <f>IFERROR(__xludf.DUMMYFUNCTION("""COMPUTED_VALUE"""),"S08 Amber (2/3): The gorgeous waterfall right below us. It's just so crazy to think places that beautiful exist in the world and... that the fact that we're getting a chance to see them.")</f>
        <v>S08 Amber (2/3): The gorgeous waterfall right below us. It's just so crazy to think places that beautiful exist in the world and... that the fact that we're getting a chance to see them.</v>
      </c>
      <c r="BP11" s="4"/>
      <c r="BQ11" s="3" t="str">
        <f>IFERROR(__xludf.DUMMYFUNCTION("""COMPUTED_VALUE"""),"S07 Sandra (1/3): When I arrived at-at the Morgan tribe, I could not believe that they-they just didn't have anything. It's unbelievable. I don't know how they're getting through.")</f>
        <v>S07 Sandra (1/3): When I arrived at-at the Morgan tribe, I could not believe that they-they just didn't have anything. It's unbelievable. I don't know how they're getting through.</v>
      </c>
      <c r="BR11" s="4"/>
      <c r="BS11" s="3"/>
      <c r="BT11" s="4"/>
      <c r="BU11" s="3"/>
      <c r="BV11" s="4"/>
      <c r="BW11" s="3"/>
      <c r="BX11" s="4"/>
      <c r="BY11" s="3"/>
      <c r="BZ11" s="4"/>
      <c r="CA11" s="3"/>
      <c r="CB11" s="4"/>
      <c r="CC11" s="3"/>
      <c r="CD11" s="4"/>
    </row>
    <row r="12">
      <c r="A12" s="3"/>
      <c r="B12" s="4"/>
      <c r="C12" s="3" t="str">
        <f>IFERROR(__xludf.DUMMYFUNCTION("""COMPUTED_VALUE"""),"S40 Tony (3/3): Officer Sarah comes up to me and says, “Tony, I need you to be a good partner today, and I need backup.” And we went into stealth mode at that point. I told her I was gonna get a coconut, fill it up with ashes, so, before she goes on her m"&amp;"ission, I’m gonna cover her skin so she can be camouflaged. So, as I put this charcoal on her forehead, it’s, like, dusty and it’s not really sticking. So she tells me, “Spit on it.” So I’m like spitting in the charcoal, making it nice and wet. And then s"&amp;"he had to spit in it too ‘cause it wasn’t enough. So, at the end of the day, we did it.")</f>
        <v>S40 Tony (3/3): Officer Sarah comes up to me and says, “Tony, I need you to be a good partner today, and I need backup.” And we went into stealth mode at that point. I told her I was gonna get a coconut, fill it up with ashes, so, before she goes on her mission, I’m gonna cover her skin so she can be camouflaged. So, as I put this charcoal on her forehead, it’s, like, dusty and it’s not really sticking. So she tells me, “Spit on it.” So I’m like spitting in the charcoal, making it nice and wet. And then she had to spit in it too ‘cause it wasn’t enough. So, at the end of the day, we did it.</v>
      </c>
      <c r="D12" s="4"/>
      <c r="E12" s="3"/>
      <c r="F12" s="4"/>
      <c r="G12" s="3"/>
      <c r="H12" s="4"/>
      <c r="I12" s="3"/>
      <c r="J12" s="4"/>
      <c r="K12" s="3"/>
      <c r="L12" s="4"/>
      <c r="M12" s="3" t="str">
        <f>IFERROR(__xludf.DUMMYFUNCTION("""COMPUTED_VALUE"""),"S35 Ben (2/2): It’s funny how things work in this game. When Cole fell over, he sealed his fate. I feel bad saying that, but it’s true. I think Lauren and Doc have the same agenda as I do, so if we do lose an Immunity Challenge, Jess’ boyfriend is gone.")</f>
        <v>S35 Ben (2/2): It’s funny how things work in this game. When Cole fell over, he sealed his fate. I feel bad saying that, but it’s true. I think Lauren and Doc have the same agenda as I do, so if we do lose an Immunity Challenge, Jess’ boyfriend is gone.</v>
      </c>
      <c r="N12" s="4"/>
      <c r="O12" s="3" t="str">
        <f>IFERROR(__xludf.DUMMYFUNCTION("""COMPUTED_VALUE"""),"S34 Sarah (2/2): At this point, I am sitting in the middle of two groups that are starting to surface. The one group, Brad, Sierra, Troyzan, Tai, Debbie, they want to vote out Ozzy, and then there’s another group of Cirie, Andrea, Michaela, Aubry, and Ozz"&amp;"y, and they want to see Zeke go. I’m weighing out all my options, and to vote Ozzy out, that means taking out a big social and challenge threat right now. That’s the move to make early on in a merge. But then, a lot of people want Zeke out, because he’s a"&amp;" smart guy and he’s willing to make moves, and when you trust somebody like that, you will end up getting blindsided. So it’s a real tough position to be in, but a line will be drawn in the sand this vote.")</f>
        <v>S34 Sarah (2/2): At this point, I am sitting in the middle of two groups that are starting to surface. The one group, Brad, Sierra, Troyzan, Tai, Debbie, they want to vote out Ozzy, and then there’s another group of Cirie, Andrea, Michaela, Aubry, and Ozzy, and they want to see Zeke go. I’m weighing out all my options, and to vote Ozzy out, that means taking out a big social and challenge threat right now. That’s the move to make early on in a merge. But then, a lot of people want Zeke out, because he’s a smart guy and he’s willing to make moves, and when you trust somebody like that, you will end up getting blindsided. So it’s a real tough position to be in, but a line will be drawn in the sand this vote.</v>
      </c>
      <c r="P12" s="4"/>
      <c r="Q12" s="3" t="str">
        <f>IFERROR(__xludf.DUMMYFUNCTION("""COMPUTED_VALUE"""),"S33 Adam (3/4): I wish I could have performed better but that was never going to be my challenge. I'm not super comfortable with totally physical competitions. I just feel like I need to find this idol more than ever, but I don't have a whole lot of time "&amp;"left because I need to make sure I find it before we either go back to Tribal Council or we swap. The clue says you have to look for the tribe motif, somewhere in this designated area and look for a shell. And if you break open the shell, you'll find the "&amp;"Hidden Immunity Idol. I'm looking everywhere, and I just don't see it. It's not there. So I just walk along the beach and hope that something hits me, that I find something.")</f>
        <v>S33 Adam (3/4): I wish I could have performed better but that was never going to be my challenge. I'm not super comfortable with totally physical competitions. I just feel like I need to find this idol more than ever, but I don't have a whole lot of time left because I need to make sure I find it before we either go back to Tribal Council or we swap. The clue says you have to look for the tribe motif, somewhere in this designated area and look for a shell. And if you break open the shell, you'll find the Hidden Immunity Idol. I'm looking everywhere, and I just don't see it. It's not there. So I just walk along the beach and hope that something hits me, that I find something.</v>
      </c>
      <c r="R12" s="4"/>
      <c r="S12" s="3" t="str">
        <f>IFERROR(__xludf.DUMMYFUNCTION("""COMPUTED_VALUE"""),"S32 Michele (4/6): I like Debbie a lot. She’s really quirky, and I think she’s pretty honest and upfront about what she thinks and what she respects. So maybe Debbie is my best option.")</f>
        <v>S32 Michele (4/6): I like Debbie a lot. She’s really quirky, and I think she’s pretty honest and upfront about what she thinks and what she respects. So maybe Debbie is my best option.</v>
      </c>
      <c r="T12" s="4"/>
      <c r="U12" s="3" t="str">
        <f>IFERROR(__xludf.DUMMYFUNCTION("""COMPUTED_VALUE"""),"S31 Jeremy (2/2): Monica’s just-- I don’t know what Monica’s doing. Like, why would you go and tell Kimmi we need to keep the girl’s numbers? Like, why would you do that? So it would be could to see Monica go home off of that.")</f>
        <v>S31 Jeremy (2/2): Monica’s just-- I don’t know what Monica’s doing. Like, why would you go and tell Kimmi we need to keep the girl’s numbers? Like, why would you do that? So it would be could to see Monica go home off of that.</v>
      </c>
      <c r="V12" s="4"/>
      <c r="W12" s="3" t="str">
        <f>IFERROR(__xludf.DUMMYFUNCTION("""COMPUTED_VALUE"""),"S30 Mike (3/3): This loss could be exactly what the Blue tribe needed. You do not know who your true alliance is until Jeff is reading those names.")</f>
        <v>S30 Mike (3/3): This loss could be exactly what the Blue tribe needed. You do not know who your true alliance is until Jeff is reading those names.</v>
      </c>
      <c r="X12" s="4"/>
      <c r="Y12" s="3" t="str">
        <f>IFERROR(__xludf.DUMMYFUNCTION("""COMPUTED_VALUE"""),"S29 Natalie (1/1): There's no real alliance between anybody here. It's kinda like Jeremy and me on one side and Reed, Keith and Wes on the other side. You know, we had Missy or we had Jon over here, we would be strategizing the entire time.")</f>
        <v>S29 Natalie (1/1): There's no real alliance between anybody here. It's kinda like Jeremy and me on one side and Reed, Keith and Wes on the other side. You know, we had Missy or we had Jon over here, we would be strategizing the entire time.</v>
      </c>
      <c r="Z12" s="4"/>
      <c r="AA12" s="3" t="str">
        <f>IFERROR(__xludf.DUMMYFUNCTION("""COMPUTED_VALUE"""),"S28 Tony (1/5): I don’t trust nobody here! They’re against me and I’m by myself. Me, myself, my idol and I. (chuckles) Now there’s four of us. But, uh, I was sitting by the fire all by my lonesome and Sarah comes over and I said to myself – let me just gi"&amp;"ve her something and see what happens. So I say, “Y’know what Sarah?” I said, “Listen. I’m also a police officer. You were right when you… when you told me.”")</f>
        <v>S28 Tony (1/5): I don’t trust nobody here! They’re against me and I’m by myself. Me, myself, my idol and I. (chuckles) Now there’s four of us. But, uh, I was sitting by the fire all by my lonesome and Sarah comes over and I said to myself – let me just give her something and see what happens. So I say, “Y’know what Sarah?” I said, “Listen. I’m also a police officer. You were right when you… when you told me.”</v>
      </c>
      <c r="AB12" s="4"/>
      <c r="AC12" s="3" t="str">
        <f>IFERROR(__xludf.DUMMYFUNCTION("""COMPUTED_VALUE"""),"S27 Tyson (1/5): I really do like Aras. He’s a great guy, he’s funny. He’s a little out-there on his, uh, zen-type beliefs because I just have zero beliefs, except for magic. I believe in magic, it’s awesome. But people like Aras, they do. That’s the tric"&amp;"ky part, when to dethrone King Aras?")</f>
        <v>S27 Tyson (1/5): I really do like Aras. He’s a great guy, he’s funny. He’s a little out-there on his, uh, zen-type beliefs because I just have zero beliefs, except for magic. I believe in magic, it’s awesome. But people like Aras, they do. That’s the tricky part, when to dethrone King Aras?</v>
      </c>
      <c r="AD12" s="4"/>
      <c r="AE12" s="3" t="str">
        <f>IFERROR(__xludf.DUMMYFUNCTION("""COMPUTED_VALUE"""),"S26 Cochran (3/3): Tata is a married man but that didn't seem to impede him from really trying to get his bump and grind on with the girls in the Favorites tribe. Since he's kind of this bizarre little woodland creature, he gets away with it. If I tried t"&amp;"hat I’d seem like I was some creepy predator, but the girls found it delightful. They even were all kissing him on the cheek, which I'm sure will provide him with fodder for years to come in his mind and heart.")</f>
        <v>S26 Cochran (3/3): Tata is a married man but that didn't seem to impede him from really trying to get his bump and grind on with the girls in the Favorites tribe. Since he's kind of this bizarre little woodland creature, he gets away with it. If I tried that I’d seem like I was some creepy predator, but the girls found it delightful. They even were all kissing him on the cheek, which I'm sure will provide him with fodder for years to come in his mind and heart.</v>
      </c>
      <c r="AF12" s="4"/>
      <c r="AG12" s="3" t="str">
        <f>IFERROR(__xludf.DUMMYFUNCTION("""COMPUTED_VALUE"""),"S25 Denise (3/4): I've got my alliance that's with Malcolm and I hope it's strong. For me it's strong. But if Russell has the Immunity Idol, it's not good. And, you know, I don't want to have to draw rocks, I don't want to have to revote. I mean, I don't "&amp;"want to have to go there. So right now, we're trying to get Russell to think that he's the swing or to think that he's comfortable so that if he does have an Immunity Idol, he doesn't play it.")</f>
        <v>S25 Denise (3/4): I've got my alliance that's with Malcolm and I hope it's strong. For me it's strong. But if Russell has the Immunity Idol, it's not good. And, you know, I don't want to have to draw rocks, I don't want to have to revote. I mean, I don't want to have to go there. So right now, we're trying to get Russell to think that he's the swing or to think that he's comfortable so that if he does have an Immunity Idol, he doesn't play it.</v>
      </c>
      <c r="AH12" s="4"/>
      <c r="AI12" s="3" t="str">
        <f>IFERROR(__xludf.DUMMYFUNCTION("""COMPUTED_VALUE"""),"S24 Kim (1/2): So we come walking up the beach, we see the ice cream parlor, and honestly, I just… (chuckles) it’s unbelie-- it feels so surreal. Like, it’s so exciting to eat something besides rice and coconut. It's awesome.")</f>
        <v>S24 Kim (1/2): So we come walking up the beach, we see the ice cream parlor, and honestly, I just… (chuckles) it’s unbelie-- it feels so surreal. Like, it’s so exciting to eat something besides rice and coconut. It's awesome.</v>
      </c>
      <c r="AJ12" s="4"/>
      <c r="AK12" s="3" t="str">
        <f>IFERROR(__xludf.DUMMYFUNCTION("""COMPUTED_VALUE"""),"S23 Sophie (1/2): Albert is showing his true colors more and more, which maybe are similar to my true colors that I'm strategic and I wanna win the game. And this is our one shot to make the big move because you have two, three votes hanging around.")</f>
        <v>S23 Sophie (1/2): Albert is showing his true colors more and more, which maybe are similar to my true colors that I'm strategic and I wanna win the game. And this is our one shot to make the big move because you have two, three votes hanging around.</v>
      </c>
      <c r="AL12" s="4"/>
      <c r="AM12" s="3" t="str">
        <f>IFERROR(__xludf.DUMMYFUNCTION("""COMPUTED_VALUE"""),"S22 Rob (10/12): As far as Matt and Andrea are concerned we're going to split votes 3-3. The girls are all voting for Kristine. The guys are all voting for Phillip. But in all actuality, none of that is happening. Myself, Ashley, Natalie, and Grant, we're"&amp;" all voting for Matt. And Kristine with this idol, she better play that thing. If she plays the idol then we can break up Andrea and Matt, it's a home run.")</f>
        <v>S22 Rob (10/12): As far as Matt and Andrea are concerned we're going to split votes 3-3. The girls are all voting for Kristine. The guys are all voting for Phillip. But in all actuality, none of that is happening. Myself, Ashley, Natalie, and Grant, we're all voting for Matt. And Kristine with this idol, she better play that thing. If she plays the idol then we can break up Andrea and Matt, it's a home run.</v>
      </c>
      <c r="AN12" s="4"/>
      <c r="AO12" s="3" t="str">
        <f>IFERROR(__xludf.DUMMYFUNCTION("""COMPUTED_VALUE"""),"S21 Fabio (1/1): We made it to the merge! And we're gonna feast! You know, we're merging! Ah!")</f>
        <v>S21 Fabio (1/1): We made it to the merge! And we're gonna feast! You know, we're merging! Ah!</v>
      </c>
      <c r="AP12" s="4"/>
      <c r="AQ12" s="3"/>
      <c r="AR12" s="4"/>
      <c r="AS12" s="3"/>
      <c r="AT12" s="4"/>
      <c r="AU12" s="3"/>
      <c r="AV12" s="4"/>
      <c r="AW12" s="3"/>
      <c r="AX12" s="4"/>
      <c r="AY12" s="3"/>
      <c r="AZ12" s="4"/>
      <c r="BA12" s="3"/>
      <c r="BB12" s="4"/>
      <c r="BC12" s="3"/>
      <c r="BD12" s="4"/>
      <c r="BE12" s="3"/>
      <c r="BF12" s="4"/>
      <c r="BG12" s="3"/>
      <c r="BH12" s="4"/>
      <c r="BI12" s="3"/>
      <c r="BJ12" s="4"/>
      <c r="BK12" s="3" t="str">
        <f>IFERROR(__xludf.DUMMYFUNCTION("""COMPUTED_VALUE"""),"S10 Tom (1/1): All last night was a tough night. I was a little grumpy this morning. You know, it comes from lack of sleep and you being the guy up tending the fire all night. To-to make matters worse, I had to climb over Willard sleeping in the hammock, "&amp;"uh, each time I had to get up and tend the fire. We made so many hints to Willard about, you know, we all have to help with the fire. Either he’s playing a game where he’s wearing me down by making me stay up all night, or, um, he’s just got the kind of a"&amp;"ttitude where, “Why should I do it if somebody else is gonna do it for me?”")</f>
        <v>S10 Tom (1/1): All last night was a tough night. I was a little grumpy this morning. You know, it comes from lack of sleep and you being the guy up tending the fire all night. To-to make matters worse, I had to climb over Willard sleeping in the hammock, uh, each time I had to get up and tend the fire. We made so many hints to Willard about, you know, we all have to help with the fire. Either he’s playing a game where he’s wearing me down by making me stay up all night, or, um, he’s just got the kind of attitude where, “Why should I do it if somebody else is gonna do it for me?”</v>
      </c>
      <c r="BL12" s="4"/>
      <c r="BM12" s="3" t="str">
        <f>IFERROR(__xludf.DUMMYFUNCTION("""COMPUTED_VALUE"""),"S09 Chris (2/6): I’m pretty much covering all my bases. Covering all my bases means I’ll be good any way it goes. Hey, I threw my hand out. It’s-it’s just me reassuring my position in the game, because, um, basically I have the same agreement with Sarge, "&amp;"and I’ve pretty much made the same agreement with Julie.")</f>
        <v>S09 Chris (2/6): I’m pretty much covering all my bases. Covering all my bases means I’ll be good any way it goes. Hey, I threw my hand out. It’s-it’s just me reassuring my position in the game, because, um, basically I have the same agreement with Sarge, and I’ve pretty much made the same agreement with Julie.</v>
      </c>
      <c r="BN12" s="4"/>
      <c r="BO12" s="3" t="str">
        <f>IFERROR(__xludf.DUMMYFUNCTION("""COMPUTED_VALUE"""),"S08 Amber (3/3): We had come to the end of a perfect day. So we went out onto the bow, and they brought us out champagne. And the sun was going down. It was just a perfect, perfect moment.")</f>
        <v>S08 Amber (3/3): We had come to the end of a perfect day. So we went out onto the bow, and they brought us out champagne. And the sun was going down. It was just a perfect, perfect moment.</v>
      </c>
      <c r="BP12" s="4"/>
      <c r="BQ12" s="3" t="str">
        <f>IFERROR(__xludf.DUMMYFUNCTION("""COMPUTED_VALUE"""),"S07 Sandra (2/3): And so I looked around and I went looking for the water jug. Well, they had no water jug. So I said, ""Wait a minute.""")</f>
        <v>S07 Sandra (2/3): And so I looked around and I went looking for the water jug. Well, they had no water jug. So I said, "Wait a minute."</v>
      </c>
      <c r="BR12" s="4"/>
      <c r="BS12" s="3"/>
      <c r="BT12" s="4"/>
      <c r="BU12" s="3"/>
      <c r="BV12" s="4"/>
      <c r="BW12" s="3"/>
      <c r="BX12" s="4"/>
      <c r="BY12" s="3"/>
      <c r="BZ12" s="4"/>
      <c r="CA12" s="3"/>
      <c r="CB12" s="4"/>
      <c r="CC12" s="3"/>
      <c r="CD12" s="4"/>
    </row>
    <row r="13">
      <c r="A13" s="3"/>
      <c r="B13" s="4"/>
      <c r="C13" s="3" t="str">
        <f>IFERROR(__xludf.DUMMYFUNCTION("""COMPUTED_VALUE"""),"S40 Tony (1/1): So far, it’s been real smooth for me, and that’s why I’m in a tricky situation right now. If it was up to me, I would rather get rid of Nick, ‘cause Nick is really not a threat. He’s my number, but he’s not a shield. Tyson is a shield, and"&amp;" he can be a number. Tyson is more of a target than I am. I’m just hiding behind him. And-and I don’t want to lose him. I don’t want to lose him.")</f>
        <v>S40 Tony (1/1): So far, it’s been real smooth for me, and that’s why I’m in a tricky situation right now. If it was up to me, I would rather get rid of Nick, ‘cause Nick is really not a threat. He’s my number, but he’s not a shield. Tyson is a shield, and he can be a number. Tyson is more of a target than I am. I’m just hiding behind him. And-and I don’t want to lose him. I don’t want to lose him.</v>
      </c>
      <c r="D13" s="4"/>
      <c r="E13" s="3"/>
      <c r="F13" s="4"/>
      <c r="G13" s="3"/>
      <c r="H13" s="4"/>
      <c r="I13" s="3"/>
      <c r="J13" s="4"/>
      <c r="K13" s="3"/>
      <c r="L13" s="4"/>
      <c r="M13" s="3" t="str">
        <f>IFERROR(__xludf.DUMMYFUNCTION("""COMPUTED_VALUE"""),"S35 Ben (1/7): If we go into a merge, guns-ablazing, five strong, we’ll do alright, but my biggest concern right now is Cole. Cole and Jess sit down there and play patty-cake all night long, and it’s just hard to trust that.")</f>
        <v>S35 Ben (1/7): If we go into a merge, guns-ablazing, five strong, we’ll do alright, but my biggest concern right now is Cole. Cole and Jess sit down there and play patty-cake all night long, and it’s just hard to trust that.</v>
      </c>
      <c r="N13" s="4"/>
      <c r="O13" s="3" t="str">
        <f>IFERROR(__xludf.DUMMYFUNCTION("""COMPUTED_VALUE"""),"S34 Sarah (1/11): At Tribal Council, I had to pick a side, but I still want to work with Zeke. Having Zeke opens up options for me.")</f>
        <v>S34 Sarah (1/11): At Tribal Council, I had to pick a side, but I still want to work with Zeke. Having Zeke opens up options for me.</v>
      </c>
      <c r="P13" s="4"/>
      <c r="Q13" s="3" t="str">
        <f>IFERROR(__xludf.DUMMYFUNCTION("""COMPUTED_VALUE"""),"S33 Adam (4/4): I just found the Hidden Immunity Idol. This is, like, beyond my wildest dreams. I finally went for it today, and I got it. It was really tough to make the decision to come out here. My mom was diagnosed about seven months ago with stage fo"&amp;"ur lung cancer. (tearfully) It's such a devastating disease. (cries) It's been such a nightmare. It's been the worst thing you can possibly imagine. (crying continues) And so to have, like, my biggest dreams coming true at the same time that my worst nigh"&amp;"tmare is happening, it's-- it's-- it's so-- it's just not-- it doesn't feel real. My mom is a huge super fan. She's the ultimate reason for being here. I want to give my mom something to look forward to. (tearfully) Being able to watch me find this, that'"&amp;"s what I came out here to do-- is bring some joy back to my family.")</f>
        <v>S33 Adam (4/4): I just found the Hidden Immunity Idol. This is, like, beyond my wildest dreams. I finally went for it today, and I got it. It was really tough to make the decision to come out here. My mom was diagnosed about seven months ago with stage four lung cancer. (tearfully) It's such a devastating disease. (cries) It's been such a nightmare. It's been the worst thing you can possibly imagine. (crying continues) And so to have, like, my biggest dreams coming true at the same time that my worst nightmare is happening, it's-- it's-- it's so-- it's just not-- it doesn't feel real. My mom is a huge super fan. She's the ultimate reason for being here. I want to give my mom something to look forward to. (tearfully) Being able to watch me find this, that's what I came out here to do-- is bring some joy back to my family.</v>
      </c>
      <c r="R13" s="4"/>
      <c r="S13" s="3" t="str">
        <f>IFERROR(__xludf.DUMMYFUNCTION("""COMPUTED_VALUE"""),"S32 Michele (5/6): The way that Nick speaks to me is not in a way that I would ever tolerate a man speaking to me in my regular life, and I just want to be like, “Bro, I know!” but that’s his ego.")</f>
        <v>S32 Michele (5/6): The way that Nick speaks to me is not in a way that I would ever tolerate a man speaking to me in my regular life, and I just want to be like, “Bro, I know!” but that’s his ego.</v>
      </c>
      <c r="T13" s="4"/>
      <c r="U13" s="3" t="str">
        <f>IFERROR(__xludf.DUMMYFUNCTION("""COMPUTED_VALUE"""),"S31 Jeremy (1/1): Steve is definitely digging his heels in and he wants Joe out. But I need a shield. I need Joe around as long as possible. I do not want to be the biggest guy out here.")</f>
        <v>S31 Jeremy (1/1): Steve is definitely digging his heels in and he wants Joe out. But I need a shield. I need Joe around as long as possible. I do not want to be the biggest guy out here.</v>
      </c>
      <c r="V13" s="4"/>
      <c r="W13" s="3" t="str">
        <f>IFERROR(__xludf.DUMMYFUNCTION("""COMPUTED_VALUE"""),"S30 Mike (1/5): Tribal went exactly as our alliance planned. I’m 100% happy with the decision that we made tonight. I’m not happy about Sierra being cut off and alienated from the tribe.")</f>
        <v>S30 Mike (1/5): Tribal went exactly as our alliance planned. I’m 100% happy with the decision that we made tonight. I’m not happy about Sierra being cut off and alienated from the tribe.</v>
      </c>
      <c r="X13" s="4"/>
      <c r="Y13" s="3" t="str">
        <f>IFERROR(__xludf.DUMMYFUNCTION("""COMPUTED_VALUE"""),"S29 Natalie (1/1): We ended up getting the W but I decided that I would give up my spot to Jon. I just wanted to do this so that he knew that I appreciated him siding with us last night at Tribal but also just to make sure that moving forward I could alwa"&amp;"ys count on Jaclyn and Jon to trust me and Jeremy. and, you know, this is going to be leverage for me down the road.")</f>
        <v>S29 Natalie (1/1): We ended up getting the W but I decided that I would give up my spot to Jon. I just wanted to do this so that he knew that I appreciated him siding with us last night at Tribal but also just to make sure that moving forward I could always count on Jaclyn and Jon to trust me and Jeremy. and, you know, this is going to be leverage for me down the road.</v>
      </c>
      <c r="Z13" s="4"/>
      <c r="AA13" s="3" t="str">
        <f>IFERROR(__xludf.DUMMYFUNCTION("""COMPUTED_VALUE"""),"S28 Tony (2/5): I told Sarah of one conversation that took place between Cliff and Lindsey, but that was a lie. That was a total lie. I just told her I heard stuff, just so I could try to get her on my side. To me, it means nothing. Y’know, you could swea"&amp;"r on your kids and your family and your dead grandmother. It doesn’t matter to me. It’s just words.")</f>
        <v>S28 Tony (2/5): I told Sarah of one conversation that took place between Cliff and Lindsey, but that was a lie. That was a total lie. I just told her I heard stuff, just so I could try to get her on my side. To me, it means nothing. Y’know, you could swear on your kids and your family and your dead grandmother. It doesn’t matter to me. It’s just words.</v>
      </c>
      <c r="AB13" s="4"/>
      <c r="AC13" s="3" t="str">
        <f>IFERROR(__xludf.DUMMYFUNCTION("""COMPUTED_VALUE"""),"S27 Tyson (2/5): Hayden and Caleb gave the clue to the Hidden Immunity Idol to me. Is it just ‘cause they’re new guys here or they haven’t played the game before? I don’t know. Stupid will be stupid.")</f>
        <v>S27 Tyson (2/5): Hayden and Caleb gave the clue to the Hidden Immunity Idol to me. Is it just ‘cause they’re new guys here or they haven’t played the game before? I don’t know. Stupid will be stupid.</v>
      </c>
      <c r="AD13" s="4"/>
      <c r="AE13" s="3" t="str">
        <f>IFERROR(__xludf.DUMMYFUNCTION("""COMPUTED_VALUE"""),"S26 Cochran (1/3): When Brandon was here it was actually a certified asylum. It's comforting to know that Brandon was able to successfully fly over the cuckoo's nest and now we're just left with Phillip.")</f>
        <v>S26 Cochran (1/3): When Brandon was here it was actually a certified asylum. It's comforting to know that Brandon was able to successfully fly over the cuckoo's nest and now we're just left with Phillip.</v>
      </c>
      <c r="AF13" s="4"/>
      <c r="AG13" s="3" t="str">
        <f>IFERROR(__xludf.DUMMYFUNCTION("""COMPUTED_VALUE"""),"S25 Denise (4/4): Yes, I'm a midwesterner. Yes, I have faith in human beings. I have to, that's what I hang on to. And if I get bamboozled tonight, you know, it's not going to shake my faith that these are two good guys. It’ll tell me that, you know, I sc"&amp;"rewed up and they played the game better than me.")</f>
        <v>S25 Denise (4/4): Yes, I'm a midwesterner. Yes, I have faith in human beings. I have to, that's what I hang on to. And if I get bamboozled tonight, you know, it's not going to shake my faith that these are two good guys. It’ll tell me that, you know, I screwed up and they played the game better than me.</v>
      </c>
      <c r="AH13" s="4"/>
      <c r="AI13" s="3" t="str">
        <f>IFERROR(__xludf.DUMMYFUNCTION("""COMPUTED_VALUE"""),"S24 Kim (2/2): There's a lot of speculation. Our tribe likes to run on and and, like, develop these fantasy themes about what all's going to happen. I have no idea. And I guess I’m just gonna go and take my idol in my back pocket just in case.")</f>
        <v>S24 Kim (2/2): There's a lot of speculation. Our tribe likes to run on and and, like, develop these fantasy themes about what all's going to happen. I have no idea. And I guess I’m just gonna go and take my idol in my back pocket just in case.</v>
      </c>
      <c r="AJ13" s="4"/>
      <c r="AK13" s="3" t="str">
        <f>IFERROR(__xludf.DUMMYFUNCTION("""COMPUTED_VALUE"""),"S23 Sophie (2/2): Albert is trying to take control of this game and I'm the swing vote. So now I'm debating whether to stick with Coach or go with Albert's crazy plan. In the end of the day, it's a question of what will take me to the end.")</f>
        <v>S23 Sophie (2/2): Albert is trying to take control of this game and I'm the swing vote. So now I'm debating whether to stick with Coach or go with Albert's crazy plan. In the end of the day, it's a question of what will take me to the end.</v>
      </c>
      <c r="AL13" s="4"/>
      <c r="AM13" s="3" t="str">
        <f>IFERROR(__xludf.DUMMYFUNCTION("""COMPUTED_VALUE"""),"S22 Rob (11/12): Phillip's a tough cookie. I literally have to wait until one minute before we go to Tribal Council. I may actually even have to tell him at Tribal Council who to vote for because Phillip likes to talk a lot. He's liable to run around and "&amp;"tell everybody in the group everything we're doing.")</f>
        <v>S22 Rob (11/12): Phillip's a tough cookie. I literally have to wait until one minute before we go to Tribal Council. I may actually even have to tell him at Tribal Council who to vote for because Phillip likes to talk a lot. He's liable to run around and tell everybody in the group everything we're doing.</v>
      </c>
      <c r="AN13" s="4"/>
      <c r="AO13" s="3" t="str">
        <f>IFERROR(__xludf.DUMMYFUNCTION("""COMPUTED_VALUE"""),"S21 Fabio (1/1): That's the greatest thing about this plan. I don't really have to do a whole lot, and that's a big part of this game, is laying low. You know, I call it being cool. Whatever. Just not ticking people off and, you know, it's a good strategy"&amp;" as far as I'm concerned, you know?")</f>
        <v>S21 Fabio (1/1): That's the greatest thing about this plan. I don't really have to do a whole lot, and that's a big part of this game, is laying low. You know, I call it being cool. Whatever. Just not ticking people off and, you know, it's a good strategy as far as I'm concerned, you know?</v>
      </c>
      <c r="AP13" s="4"/>
      <c r="AQ13" s="3"/>
      <c r="AR13" s="4"/>
      <c r="AS13" s="3"/>
      <c r="AT13" s="4"/>
      <c r="AU13" s="3"/>
      <c r="AV13" s="4"/>
      <c r="AW13" s="3"/>
      <c r="AX13" s="4"/>
      <c r="AY13" s="3"/>
      <c r="AZ13" s="4"/>
      <c r="BA13" s="3"/>
      <c r="BB13" s="4"/>
      <c r="BC13" s="3"/>
      <c r="BD13" s="4"/>
      <c r="BE13" s="3"/>
      <c r="BF13" s="4"/>
      <c r="BG13" s="3"/>
      <c r="BH13" s="4"/>
      <c r="BI13" s="3"/>
      <c r="BJ13" s="4"/>
      <c r="BK13" s="3" t="str">
        <f>IFERROR(__xludf.DUMMYFUNCTION("""COMPUTED_VALUE"""),"S10 Tom (1/2): You know what? It’s a different day. Eh, you know, we all got fed, everyone’s got a little energy, and everyone’s doing a project. Today is a day just to kind of do something to save ourselves some work down the road.")</f>
        <v>S10 Tom (1/2): You know what? It’s a different day. Eh, you know, we all got fed, everyone’s got a little energy, and everyone’s doing a project. Today is a day just to kind of do something to save ourselves some work down the road.</v>
      </c>
      <c r="BL13" s="4"/>
      <c r="BM13" s="3" t="str">
        <f>IFERROR(__xludf.DUMMYFUNCTION("""COMPUTED_VALUE"""),"S09 Chris (3/6): Maybe I’m going places I shouldn’t be going but, if we merge, Julie could go, Sarge could go, Chad could go. I’m always gonna have two others I can rely on to watch my back.")</f>
        <v>S09 Chris (3/6): Maybe I’m going places I shouldn’t be going but, if we merge, Julie could go, Sarge could go, Chad could go. I’m always gonna have two others I can rely on to watch my back.</v>
      </c>
      <c r="BN13" s="4"/>
      <c r="BO13" s="3" t="str">
        <f>IFERROR(__xludf.DUMMYFUNCTION("""COMPUTED_VALUE"""),"S08 Amber (1/6): Every single one of us was scared to death. Not one of us wanted to go. We were so afraid that that person might have to stay over there. So we decided to pull straws, and Jenna ended up picking the smallest straw.")</f>
        <v>S08 Amber (1/6): Every single one of us was scared to death. Not one of us wanted to go. We were so afraid that that person might have to stay over there. So we decided to pull straws, and Jenna ended up picking the smallest straw.</v>
      </c>
      <c r="BP13" s="4"/>
      <c r="BQ13" s="3" t="str">
        <f>IFERROR(__xludf.DUMMYFUNCTION("""COMPUTED_VALUE"""),"S07 Sandra (3/3): In order for me to get the tarp, I had to destroy their whole shelter, which I started feeling bad until they started running their mouths. I go to a grab a knife and the black girl's like, ""No, no, no, no, no. You're not going to use o"&amp;"ur knife and you better not cut our rope."" So I was like, ""Okay. Regardless, I'm taking the tarp down.""")</f>
        <v>S07 Sandra (3/3): In order for me to get the tarp, I had to destroy their whole shelter, which I started feeling bad until they started running their mouths. I go to a grab a knife and the black girl's like, "No, no, no, no, no. You're not going to use our knife and you better not cut our rope." So I was like, "Okay. Regardless, I'm taking the tarp down."</v>
      </c>
      <c r="BR13" s="4"/>
      <c r="BS13" s="3"/>
      <c r="BT13" s="4"/>
      <c r="BU13" s="3"/>
      <c r="BV13" s="4"/>
      <c r="BW13" s="3"/>
      <c r="BX13" s="4"/>
      <c r="BY13" s="3"/>
      <c r="BZ13" s="4"/>
      <c r="CA13" s="3"/>
      <c r="CB13" s="4"/>
      <c r="CC13" s="3"/>
      <c r="CD13" s="4"/>
    </row>
    <row r="14">
      <c r="A14" s="3"/>
      <c r="B14" s="4"/>
      <c r="C14" s="3" t="str">
        <f>IFERROR(__xludf.DUMMYFUNCTION("""COMPUTED_VALUE"""),"S40 Tony (1/1): The biggest fear of a swap is exactly what happened to Denise and Jeremy. They’re on the bottom of the numbers. But we have to be very careful, because there’s gonna be hyenas in this game, there’s gonna be the lions in this game. If the l"&amp;"ions go against one another, the hyenas are gonna come in and just clean up shop, and I don’t want to get eaten by a hyena. And when there’s five people, there’s always one in the middle, and right now, in this tribe, I believe it’s Kim in the middle. I’m"&amp;" gonna try my best to try to convince her-- in order for our game to move forward, we have to stick together.")</f>
        <v>S40 Tony (1/1): The biggest fear of a swap is exactly what happened to Denise and Jeremy. They’re on the bottom of the numbers. But we have to be very careful, because there’s gonna be hyenas in this game, there’s gonna be the lions in this game. If the lions go against one another, the hyenas are gonna come in and just clean up shop, and I don’t want to get eaten by a hyena. And when there’s five people, there’s always one in the middle, and right now, in this tribe, I believe it’s Kim in the middle. I’m gonna try my best to try to convince her-- in order for our game to move forward, we have to stick together.</v>
      </c>
      <c r="D14" s="4"/>
      <c r="E14" s="3"/>
      <c r="F14" s="4"/>
      <c r="G14" s="3"/>
      <c r="H14" s="4"/>
      <c r="I14" s="3"/>
      <c r="J14" s="4"/>
      <c r="K14" s="3"/>
      <c r="L14" s="4"/>
      <c r="M14" s="3" t="str">
        <f>IFERROR(__xludf.DUMMYFUNCTION("""COMPUTED_VALUE"""),"S35 Ben (2/7): This is the greatest feeling ever, because you want to make it to the merge because then Survivor starts. That’s when you start finding your true alliance, but you gotta be on your game. And the merge is the first step in getting to that mi"&amp;"llion dollars.")</f>
        <v>S35 Ben (2/7): This is the greatest feeling ever, because you want to make it to the merge because then Survivor starts. That’s when you start finding your true alliance, but you gotta be on your game. And the merge is the first step in getting to that million dollars.</v>
      </c>
      <c r="N14" s="4"/>
      <c r="O14" s="3" t="str">
        <f>IFERROR(__xludf.DUMMYFUNCTION("""COMPUTED_VALUE"""),"S34 Sarah (2/11): As much as people want to think that the line is drawn in the sand, well, I hate to break it to people, but the tide comes up pretty quickly, and that line gets washed away.")</f>
        <v>S34 Sarah (2/11): As much as people want to think that the line is drawn in the sand, well, I hate to break it to people, but the tide comes up pretty quickly, and that line gets washed away.</v>
      </c>
      <c r="P14" s="4"/>
      <c r="Q14" s="3" t="str">
        <f>IFERROR(__xludf.DUMMYFUNCTION("""COMPUTED_VALUE"""),"S33 Adam (1/2): Getting swapped into a tribe with only Taylor and Figgy from my original Millennial tribe is my worst nightmare. Figgy is very controlling. She lies constantly, and she's going to go through this charade as long as she can about how they a"&amp;"re not a couple. I don't know how long that will last, because Taylor is ready to start canoodling again. To me, that's a worthless partnership.")</f>
        <v>S33 Adam (1/2): Getting swapped into a tribe with only Taylor and Figgy from my original Millennial tribe is my worst nightmare. Figgy is very controlling. She lies constantly, and she's going to go through this charade as long as she can about how they are not a couple. I don't know how long that will last, because Taylor is ready to start canoodling again. To me, that's a worthless partnership.</v>
      </c>
      <c r="R14" s="4"/>
      <c r="S14" s="3" t="str">
        <f>IFERROR(__xludf.DUMMYFUNCTION("""COMPUTED_VALUE"""),"S32 Michele (6/6): Right now, what I’m gonna do is just let Nick baby me and make him believe that I need all the help that he can offer, like the innocent little girl, like I’m stupid, but actually, I’m a strong, independent woman, and when it comes time"&amp;" to make a move, then I will. I don’t need to be carried, bro.")</f>
        <v>S32 Michele (6/6): Right now, what I’m gonna do is just let Nick baby me and make him believe that I need all the help that he can offer, like the innocent little girl, like I’m stupid, but actually, I’m a strong, independent woman, and when it comes time to make a move, then I will. I don’t need to be carried, bro.</v>
      </c>
      <c r="T14" s="4"/>
      <c r="U14" s="3" t="str">
        <f>IFERROR(__xludf.DUMMYFUNCTION("""COMPUTED_VALUE"""),"S31 Jeremy (1/1): It looks like everybody is voting Kass. But Kass could have an idol, you know what I mean? Like, it’s-it’s always good to split votes.")</f>
        <v>S31 Jeremy (1/1): It looks like everybody is voting Kass. But Kass could have an idol, you know what I mean? Like, it’s-it’s always good to split votes.</v>
      </c>
      <c r="V14" s="4"/>
      <c r="W14" s="3" t="str">
        <f>IFERROR(__xludf.DUMMYFUNCTION("""COMPUTED_VALUE"""),"S30 Mike (2/5): What I would really like nothing more than to pull Sierra back in. But I don’t think that she’ll ever trust us.")</f>
        <v>S30 Mike (2/5): What I would really like nothing more than to pull Sierra back in. But I don’t think that she’ll ever trust us.</v>
      </c>
      <c r="X14" s="4"/>
      <c r="Y14" s="3" t="str">
        <f>IFERROR(__xludf.DUMMYFUNCTION("""COMPUTED_VALUE"""),"S29 Natalie (1/6): Oh my God! Talk about a blindside. It sucks because I had Jeremy as my partner. It was really hard for me but I just had to put on like a good face and just try and figure out what to do next.")</f>
        <v>S29 Natalie (1/6): Oh my God! Talk about a blindside. It sucks because I had Jeremy as my partner. It was really hard for me but I just had to put on like a good face and just try and figure out what to do next.</v>
      </c>
      <c r="Z14" s="4"/>
      <c r="AA14" s="3" t="str">
        <f>IFERROR(__xludf.DUMMYFUNCTION("""COMPUTED_VALUE"""),"S28 Tony (3/5): I-I haven’t been dry for more than a couple hours on this Island. Non-stop rain. It’s just really bad for morale, we’re all miserable. I mean, this is, this is what I envisioned hell to be like.")</f>
        <v>S28 Tony (3/5): I-I haven’t been dry for more than a couple hours on this Island. Non-stop rain. It’s just really bad for morale, we’re all miserable. I mean, this is, this is what I envisioned hell to be like.</v>
      </c>
      <c r="AB14" s="4"/>
      <c r="AC14" s="3" t="str">
        <f>IFERROR(__xludf.DUMMYFUNCTION("""COMPUTED_VALUE"""),"S27 Tyson (3/5): There are social faux pas to the game of Survivor and one of them is eating more food than everybody else. But if you just come in and pretend like, yeah, everyone just cracks open a coconut whenever they want, everybody just eats a banan"&amp;"a whenever they want. It doesn’t have to be fair. It’s definitely a goal to eat and steal as much food as I can from this tribe and, uh, I’m gonna keep eating that food ‘til it’s gone. You do have to do a certain amount of work or appear to be working so "&amp;"that people just don’t paint you as the lazy guy. I don’t think I’m painted as the lazy guy yet, ‘cause after I crack a coconut and drink half of it, I pass the rest around to the other five people to share. So, that’s kind of generous of me to do.")</f>
        <v>S27 Tyson (3/5): There are social faux pas to the game of Survivor and one of them is eating more food than everybody else. But if you just come in and pretend like, yeah, everyone just cracks open a coconut whenever they want, everybody just eats a banana whenever they want. It doesn’t have to be fair. It’s definitely a goal to eat and steal as much food as I can from this tribe and, uh, I’m gonna keep eating that food ‘til it’s gone. You do have to do a certain amount of work or appear to be working so that people just don’t paint you as the lazy guy. I don’t think I’m painted as the lazy guy yet, ‘cause after I crack a coconut and drink half of it, I pass the rest around to the other five people to share. So, that’s kind of generous of me to do.</v>
      </c>
      <c r="AD14" s="4"/>
      <c r="AE14" s="3" t="str">
        <f>IFERROR(__xludf.DUMMYFUNCTION("""COMPUTED_VALUE"""),"S26 Cochran (2/3): It seems relatively clear to me that one of the Fans is going to go home tonight. I kind of like the idea of voting off Julia. But a possible downside is that Matt and Michael are openly very close to each other, so leaving an outspoken"&amp;" duo, a power couple in this game, doesn't seem to make that much strategic sense.")</f>
        <v>S26 Cochran (2/3): It seems relatively clear to me that one of the Fans is going to go home tonight. I kind of like the idea of voting off Julia. But a possible downside is that Matt and Michael are openly very close to each other, so leaving an outspoken duo, a power couple in this game, doesn't seem to make that much strategic sense.</v>
      </c>
      <c r="AF14" s="4"/>
      <c r="AG14" s="3" t="str">
        <f>IFERROR(__xludf.DUMMYFUNCTION("""COMPUTED_VALUE"""),"S25 Denise (1/4): We don't know what's going to happen now that we're down to two. Maybe it's going to be, like, a reshuffling of the deck. But the Immunity Idol is still here, and so we started looking all over. If it's in our camp, where would it be?")</f>
        <v>S25 Denise (1/4): We don't know what's going to happen now that we're down to two. Maybe it's going to be, like, a reshuffling of the deck. But the Immunity Idol is still here, and so we started looking all over. If it's in our camp, where would it be?</v>
      </c>
      <c r="AH14" s="4"/>
      <c r="AI14" s="3" t="str">
        <f>IFERROR(__xludf.DUMMYFUNCTION("""COMPUTED_VALUE"""),"S24 Kim (1/1): For tonight's vote we want to vote Jonas out since he's the biggest threat and we want to keep Christina and Alicia around just in case we wind up needing a girl's alliance. To get a guy out and particularly one of the new Manono tribe memb"&amp;"ers, it leaves the girls in the majority, it leaves my old Salani tribe in the majority, and gives me two really great options moving forward.")</f>
        <v>S24 Kim (1/1): For tonight's vote we want to vote Jonas out since he's the biggest threat and we want to keep Christina and Alicia around just in case we wind up needing a girl's alliance. To get a guy out and particularly one of the new Manono tribe members, it leaves the girls in the majority, it leaves my old Salani tribe in the majority, and gives me two really great options moving forward.</v>
      </c>
      <c r="AJ14" s="4"/>
      <c r="AK14" s="3" t="str">
        <f>IFERROR(__xludf.DUMMYFUNCTION("""COMPUTED_VALUE"""),"S23 Sophie (1/2): I always felt his personality, is something Cochran has going for him out here. I mean, when I first came here, I felt kind of bad for Cochran. It seemed like people bullied him but I can see now why people got annoyed with him. You know"&amp;", I get frustrated by the kind of air he puts on. I think he's really proud of the move he made and I think he still thinks that somebody will take him to the end. I don't like it.")</f>
        <v>S23 Sophie (1/2): I always felt his personality, is something Cochran has going for him out here. I mean, when I first came here, I felt kind of bad for Cochran. It seemed like people bullied him but I can see now why people got annoyed with him. You know, I get frustrated by the kind of air he puts on. I think he's really proud of the move he made and I think he still thinks that somebody will take him to the end. I don't like it.</v>
      </c>
      <c r="AL14" s="4"/>
      <c r="AM14" s="3" t="str">
        <f>IFERROR(__xludf.DUMMYFUNCTION("""COMPUTED_VALUE"""),"S22 Rob (12/12): This will be a good test to see if Phillip does what he says he's going to do. And if he does, he can start to earn his way back into the rotation. If I get there tonight, and Phillip starts telling everybody what I told him, Phillip will"&amp;" be sent packing.")</f>
        <v>S22 Rob (12/12): This will be a good test to see if Phillip does what he says he's going to do. And if he does, he can start to earn his way back into the rotation. If I get there tonight, and Phillip starts telling everybody what I told him, Phillip will be sent packing.</v>
      </c>
      <c r="AN14" s="4"/>
      <c r="AO14" s="3" t="str">
        <f>IFERROR(__xludf.DUMMYFUNCTION("""COMPUTED_VALUE"""),"S21 Fabio (1/4): This rain is bad, man. The elements out here can really get you. This morning, we woke up, and it looked like it was gonna rain. We all know that it's important that the fire at least stays going. So we moved, like, all of the chests arou"&amp;"nd the fire to protect it from the rain. That's important.")</f>
        <v>S21 Fabio (1/4): This rain is bad, man. The elements out here can really get you. This morning, we woke up, and it looked like it was gonna rain. We all know that it's important that the fire at least stays going. So we moved, like, all of the chests around the fire to protect it from the rain. That's important.</v>
      </c>
      <c r="AP14" s="4"/>
      <c r="AQ14" s="3"/>
      <c r="AR14" s="4"/>
      <c r="AS14" s="3"/>
      <c r="AT14" s="4"/>
      <c r="AU14" s="3"/>
      <c r="AV14" s="4"/>
      <c r="AW14" s="3"/>
      <c r="AX14" s="4"/>
      <c r="AY14" s="3"/>
      <c r="AZ14" s="4"/>
      <c r="BA14" s="3"/>
      <c r="BB14" s="4"/>
      <c r="BC14" s="3"/>
      <c r="BD14" s="4"/>
      <c r="BE14" s="3"/>
      <c r="BF14" s="4"/>
      <c r="BG14" s="3"/>
      <c r="BH14" s="4"/>
      <c r="BI14" s="3"/>
      <c r="BJ14" s="4"/>
      <c r="BK14" s="3" t="str">
        <f>IFERROR(__xludf.DUMMYFUNCTION("""COMPUTED_VALUE"""),"S10 Tom (2/2): We had a, uh, a rainstorm that kicked in, but now the wind has picked up to a point. I mean, this-this feels like about a 40-mile-an-hour wind right now. It’s really gusting hard.")</f>
        <v>S10 Tom (2/2): We had a, uh, a rainstorm that kicked in, but now the wind has picked up to a point. I mean, this-this feels like about a 40-mile-an-hour wind right now. It’s really gusting hard.</v>
      </c>
      <c r="BL14" s="4"/>
      <c r="BM14" s="3" t="str">
        <f>IFERROR(__xludf.DUMMYFUNCTION("""COMPUTED_VALUE"""),"S09 Chris (4/6): Lopevi and Yasur, we merged today. We picked the Lopevi camp, kind of mutually, and for the first time since Day 1, I’m putting the game behind me, and I’m gonna just have some fun with these people that I’ve never met.")</f>
        <v>S09 Chris (4/6): Lopevi and Yasur, we merged today. We picked the Lopevi camp, kind of mutually, and for the first time since Day 1, I’m putting the game behind me, and I’m gonna just have some fun with these people that I’ve never met.</v>
      </c>
      <c r="BN14" s="4"/>
      <c r="BO14" s="3" t="str">
        <f>IFERROR(__xludf.DUMMYFUNCTION("""COMPUTED_VALUE"""),"S08 Amber (2/6): Kathy was chosen to come visit our tribe. What she had to do was make a list of three things... to take from our tribe.")</f>
        <v>S08 Amber (2/6): Kathy was chosen to come visit our tribe. What she had to do was make a list of three things... to take from our tribe.</v>
      </c>
      <c r="BP14" s="4"/>
      <c r="BQ14" s="3" t="str">
        <f>IFERROR(__xludf.DUMMYFUNCTION("""COMPUTED_VALUE"""),"S07 Sandra (1/2): I said, ""When we jumped off the boat the very first day, I had already landed on shore. He was still out there doggy paddling.” So, he's weaker than l am. But he gets mad. He doesn't want to seem like he's the weakest one out here, whic"&amp;"h he is.")</f>
        <v>S07 Sandra (1/2): I said, "When we jumped off the boat the very first day, I had already landed on shore. He was still out there doggy paddling.” So, he's weaker than l am. But he gets mad. He doesn't want to seem like he's the weakest one out here, which he is.</v>
      </c>
      <c r="BR14" s="4"/>
      <c r="BS14" s="3"/>
      <c r="BT14" s="4"/>
      <c r="BU14" s="3"/>
      <c r="BV14" s="4"/>
      <c r="BW14" s="3"/>
      <c r="BX14" s="4"/>
      <c r="BY14" s="3"/>
      <c r="BZ14" s="4"/>
      <c r="CA14" s="3"/>
      <c r="CB14" s="4"/>
      <c r="CC14" s="3"/>
      <c r="CD14" s="4"/>
    </row>
    <row r="15">
      <c r="A15" s="3"/>
      <c r="B15" s="4"/>
      <c r="C15" s="3" t="str">
        <f>IFERROR(__xludf.DUMMYFUNCTION("""COMPUTED_VALUE"""),"S40 Tony (1/2): Our tribe only has five people right now. I’m in the majority of the numbers, but the worry right now for me is that I don’t know if Sandra’s gonna flip on me. I don’t know if Kim might flip on me. Jeremy and Denise might have an idol. Who"&amp;" are they gonna use it on? I need that information, and there’s only one way to get that information; that’s a spy bunker.")</f>
        <v>S40 Tony (1/2): Our tribe only has five people right now. I’m in the majority of the numbers, but the worry right now for me is that I don’t know if Sandra’s gonna flip on me. I don’t know if Kim might flip on me. Jeremy and Denise might have an idol. Who are they gonna use it on? I need that information, and there’s only one way to get that information; that’s a spy bunker.</v>
      </c>
      <c r="D15" s="4"/>
      <c r="E15" s="3"/>
      <c r="F15" s="4"/>
      <c r="G15" s="3"/>
      <c r="H15" s="4"/>
      <c r="I15" s="3"/>
      <c r="J15" s="4"/>
      <c r="K15" s="3"/>
      <c r="L15" s="4"/>
      <c r="M15" s="3" t="str">
        <f>IFERROR(__xludf.DUMMYFUNCTION("""COMPUTED_VALUE"""),"S35 Ben (3/7): Before the tribe swap, Chrissy and I were pretty tight, but no one knows we were working together. And she’s wanting to talk in front of everyone, and that’s kind of concerning, because I don’t want us two to be considered a tight alliance."&amp;" Now that we hit the merge, everybody’s starting from scratch. You gotta anticipate. There’s no teams now. It’s about me and my family, so moving forward, there’s not gonna be all this camaraderie. It’s gonna be blindsides, lies, and I’m sure someone is g"&amp;"oing to cry.")</f>
        <v>S35 Ben (3/7): Before the tribe swap, Chrissy and I were pretty tight, but no one knows we were working together. And she’s wanting to talk in front of everyone, and that’s kind of concerning, because I don’t want us two to be considered a tight alliance. Now that we hit the merge, everybody’s starting from scratch. You gotta anticipate. There’s no teams now. It’s about me and my family, so moving forward, there’s not gonna be all this camaraderie. It’s gonna be blindsides, lies, and I’m sure someone is going to cry.</v>
      </c>
      <c r="N15" s="4"/>
      <c r="O15" s="3" t="str">
        <f>IFERROR(__xludf.DUMMYFUNCTION("""COMPUTED_VALUE"""),"S34 Sarah (3/11): I’m looking over at Michaela, and I see a rolled up piece of paper that says “Secret Advantage,” and I can’t believe Michaela didn’t see that. With Survivor, to be a Game Changer, you gotta be looking constantly for idols and clues, and "&amp;"now I have a secret advantage. So this is a huge win for me.")</f>
        <v>S34 Sarah (3/11): I’m looking over at Michaela, and I see a rolled up piece of paper that says “Secret Advantage,” and I can’t believe Michaela didn’t see that. With Survivor, to be a Game Changer, you gotta be looking constantly for idols and clues, and now I have a secret advantage. So this is a huge win for me.</v>
      </c>
      <c r="P15" s="4"/>
      <c r="Q15" s="3" t="str">
        <f>IFERROR(__xludf.DUMMYFUNCTION("""COMPUTED_VALUE"""),"S33 Adam (2/2): Ken and Jessica, they seem to have a tight bond, and I know that Figgy and Taylor won't turn on each other, so I have pairs on both sides of me. I'm the guy they need to come to. I'm the guy they need to work with. I get to decide which si"&amp;"de moves forward.")</f>
        <v>S33 Adam (2/2): Ken and Jessica, they seem to have a tight bond, and I know that Figgy and Taylor won't turn on each other, so I have pairs on both sides of me. I'm the guy they need to come to. I'm the guy they need to work with. I get to decide which side moves forward.</v>
      </c>
      <c r="R15" s="4"/>
      <c r="S15" s="3" t="str">
        <f>IFERROR(__xludf.DUMMYFUNCTION("""COMPUTED_VALUE"""),"S32 Michele (1/3): I made the Survivor merge. That’s crazy! It’s, like, my dream as a kid. But, you know, unfortunately, I was in a good position at Chan Loh, now everything shifted. I don’t know what’s going on on the other side and, uh, that’s a scary t"&amp;"hought.")</f>
        <v>S32 Michele (1/3): I made the Survivor merge. That’s crazy! It’s, like, my dream as a kid. But, you know, unfortunately, I was in a good position at Chan Loh, now everything shifted. I don’t know what’s going on on the other side and, uh, that’s a scary thought.</v>
      </c>
      <c r="T15" s="4"/>
      <c r="U15" s="3" t="str">
        <f>IFERROR(__xludf.DUMMYFUNCTION("""COMPUTED_VALUE"""),"S31 Jeremy (1/2): Since Day 1, Stephen has been trying to get Joe out and I was reluctant because I lose out on Joe as a shield. But every time Joe wins, it just keeps getting that bullseye bigger and bigger on his back. So the first time Joe loses, he co"&amp;"uld be going home.")</f>
        <v>S31 Jeremy (1/2): Since Day 1, Stephen has been trying to get Joe out and I was reluctant because I lose out on Joe as a shield. But every time Joe wins, it just keeps getting that bullseye bigger and bigger on his back. So the first time Joe loses, he could be going home.</v>
      </c>
      <c r="V15" s="4"/>
      <c r="W15" s="3" t="str">
        <f>IFERROR(__xludf.DUMMYFUNCTION("""COMPUTED_VALUE"""),"S30 Mike (3/5): The new Escameca is basically four Blue Collar, two White Collar, and one No Collar. We got the majority. So the numbers couldn’t have worked out better in our favor. But with Dan and Rodney cutting into Sierra last night, it definitely ha"&amp;"s a little bit cause of concern. These three guys could woo Sierra over. I’m gonna have to make sure she doesn’t get too close to somebody and her mind get mixed up and then swayed over to the other side.")</f>
        <v>S30 Mike (3/5): The new Escameca is basically four Blue Collar, two White Collar, and one No Collar. We got the majority. So the numbers couldn’t have worked out better in our favor. But with Dan and Rodney cutting into Sierra last night, it definitely has a little bit cause of concern. These three guys could woo Sierra over. I’m gonna have to make sure she doesn’t get too close to somebody and her mind get mixed up and then swayed over to the other side.</v>
      </c>
      <c r="X15" s="4"/>
      <c r="Y15" s="3" t="str">
        <f>IFERROR(__xludf.DUMMYFUNCTION("""COMPUTED_VALUE"""),"S29 Natalie (2/6): It was definitely Jon in charge of the whole blindside and, you know, I want to give Jon a little bit taste of his own medicine. I want to do it for Jeremy. It's just figuring out the right plan and the right moment. Baylor showed me he"&amp;"r Immunity Idol clue when we were at Exile. I think it said 10 something from the flag. So, To Do List: find the idol. If I could pull it off that would be amazing 'cause I would love to get rid of Jon.")</f>
        <v>S29 Natalie (2/6): It was definitely Jon in charge of the whole blindside and, you know, I want to give Jon a little bit taste of his own medicine. I want to do it for Jeremy. It's just figuring out the right plan and the right moment. Baylor showed me her Immunity Idol clue when we were at Exile. I think it said 10 something from the flag. So, To Do List: find the idol. If I could pull it off that would be amazing 'cause I would love to get rid of Jon.</v>
      </c>
      <c r="Z15" s="4"/>
      <c r="AA15" s="3" t="str">
        <f>IFERROR(__xludf.DUMMYFUNCTION("""COMPUTED_VALUE"""),"S28 Tony (4/5): No matter what you tell anybody, you can’t trust them. I don’t trust nobody here! Nobody here! None of them! And I’m sure they don’t trust me.")</f>
        <v>S28 Tony (4/5): No matter what you tell anybody, you can’t trust them. I don’t trust nobody here! Nobody here! None of them! And I’m sure they don’t trust me.</v>
      </c>
      <c r="AB15" s="4"/>
      <c r="AC15" s="3" t="str">
        <f>IFERROR(__xludf.DUMMYFUNCTION("""COMPUTED_VALUE"""),"S27 Tyson (4/5): Before the tribe swap, Gervase and I had decided that getting rid of Aras might be a wise move. So now, I just make it look like he’s bossing everybody around, taking charge and doing whatever he wants. You know, I’ll apologize for him co"&amp;"nstantly. I’m always like, “Oh, sorry about Aras. He's... kinda doesn’t know he’s socially unaware,” and make sure people know that between him and I, he’s the one in charge.")</f>
        <v>S27 Tyson (4/5): Before the tribe swap, Gervase and I had decided that getting rid of Aras might be a wise move. So now, I just make it look like he’s bossing everybody around, taking charge and doing whatever he wants. You know, I’ll apologize for him constantly. I’m always like, “Oh, sorry about Aras. He's... kinda doesn’t know he’s socially unaware,” and make sure people know that between him and I, he’s the one in charge.</v>
      </c>
      <c r="AD15" s="4"/>
      <c r="AE15" s="3" t="str">
        <f>IFERROR(__xludf.DUMMYFUNCTION("""COMPUTED_VALUE"""),"S26 Cochran (3/3): Matt, I'm pretty sure he doesn't have the idol because he reeks of desperation right now. But, for now, it seems like it’s between Matt and Julia with-- who knows? If an idol is played, maybe it's me, maybe it's Corinne, maybe it's Phil"&amp;"lip.")</f>
        <v>S26 Cochran (3/3): Matt, I'm pretty sure he doesn't have the idol because he reeks of desperation right now. But, for now, it seems like it’s between Matt and Julia with-- who knows? If an idol is played, maybe it's me, maybe it's Corinne, maybe it's Phillip.</v>
      </c>
      <c r="AF15" s="4"/>
      <c r="AG15" s="3" t="str">
        <f>IFERROR(__xludf.DUMMYFUNCTION("""COMPUTED_VALUE"""),"S25 Denise (2/4): We did just find Hidden Immunity Idol. But, you know, it was frustrating ‘cause if we're absorbed into the same tribe, great. We can figure out a way to use it to our advantage. If we're split, Malcolm's got the idol in his possession, a"&amp;"nd I haven't found my own.")</f>
        <v>S25 Denise (2/4): We did just find Hidden Immunity Idol. But, you know, it was frustrating ‘cause if we're absorbed into the same tribe, great. We can figure out a way to use it to our advantage. If we're split, Malcolm's got the idol in his possession, and I haven't found my own.</v>
      </c>
      <c r="AH15" s="4"/>
      <c r="AI15" s="3" t="str">
        <f>IFERROR(__xludf.DUMMYFUNCTION("""COMPUTED_VALUE"""),"S24 Kim (1/6): The food is huge. I mean, I never dreamt I would feel so weak, so just to be able to think through my options and sit up and, like, have my mind work, feels awesome.")</f>
        <v>S24 Kim (1/6): The food is huge. I mean, I never dreamt I would feel so weak, so just to be able to think through my options and sit up and, like, have my mind work, feels awesome.</v>
      </c>
      <c r="AJ15" s="4"/>
      <c r="AK15" s="3" t="str">
        <f>IFERROR(__xludf.DUMMYFUNCTION("""COMPUTED_VALUE"""),"S23 Sophie (2/2): Cochran said, ""I know a lot of you feel indebted to me."" I don't feel indebted to you, you know, screw you. He made an awful move. He should have stuck with his tribe.")</f>
        <v>S23 Sophie (2/2): Cochran said, "I know a lot of you feel indebted to me." I don't feel indebted to you, you know, screw you. He made an awful move. He should have stuck with his tribe.</v>
      </c>
      <c r="AL15" s="4"/>
      <c r="AM15" s="3" t="str">
        <f>IFERROR(__xludf.DUMMYFUNCTION("""COMPUTED_VALUE"""),"S22 Rob (1/8): Tonight could not have gone any better. Not only do we blindside Matt. We were able to have Kristina get rid of her Immunity Idol, and Phillip was a loyal soldier.")</f>
        <v>S22 Rob (1/8): Tonight could not have gone any better. Not only do we blindside Matt. We were able to have Kristina get rid of her Immunity Idol, and Phillip was a loyal soldier.</v>
      </c>
      <c r="AN15" s="4"/>
      <c r="AO15" s="3" t="str">
        <f>IFERROR(__xludf.DUMMYFUNCTION("""COMPUTED_VALUE"""),"S21 Fabio (2/4): Flying up to the volcano, it was so awesome. I don't think any of us really expected it to be that beautiful.")</f>
        <v>S21 Fabio (2/4): Flying up to the volcano, it was so awesome. I don't think any of us really expected it to be that beautiful.</v>
      </c>
      <c r="AP15" s="4"/>
      <c r="AQ15" s="3"/>
      <c r="AR15" s="4"/>
      <c r="AS15" s="3"/>
      <c r="AT15" s="4"/>
      <c r="AU15" s="3"/>
      <c r="AV15" s="4"/>
      <c r="AW15" s="3"/>
      <c r="AX15" s="4"/>
      <c r="AY15" s="3"/>
      <c r="AZ15" s="4"/>
      <c r="BA15" s="3"/>
      <c r="BB15" s="4"/>
      <c r="BC15" s="3"/>
      <c r="BD15" s="4"/>
      <c r="BE15" s="3"/>
      <c r="BF15" s="4"/>
      <c r="BG15" s="3"/>
      <c r="BH15" s="4"/>
      <c r="BI15" s="3"/>
      <c r="BJ15" s="4"/>
      <c r="BK15" s="3" t="str">
        <f>IFERROR(__xludf.DUMMYFUNCTION("""COMPUTED_VALUE"""),"S10 Tom (1/3): The cat’s out of the bag that I’m, uh, a strong player and I’m fit and I’m-- I’m not the old guy on the tribe. You can’t go back and, and now pretend that you’re less than you are or that you’re-- you know, don’t have capabilities. It’s kin"&amp;"d of done.")</f>
        <v>S10 Tom (1/3): The cat’s out of the bag that I’m, uh, a strong player and I’m fit and I’m-- I’m not the old guy on the tribe. You can’t go back and, and now pretend that you’re less than you are or that you’re-- you know, don’t have capabilities. It’s kind of done.</v>
      </c>
      <c r="BL15" s="4"/>
      <c r="BM15" s="3" t="str">
        <f>IFERROR(__xludf.DUMMYFUNCTION("""COMPUTED_VALUE"""),"S09 Chris (5/6): Twila is just insecure. She’s scared, and you pretty much have to strategize for Twila.")</f>
        <v>S09 Chris (5/6): Twila is just insecure. She’s scared, and you pretty much have to strategize for Twila.</v>
      </c>
      <c r="BN15" s="4"/>
      <c r="BO15" s="3" t="str">
        <f>IFERROR(__xludf.DUMMYFUNCTION("""COMPUTED_VALUE"""),"S08 Amber (3/6): Today is definitely one of the best days for me, and the fact that we're getting more rice, eating more, helped out great in the challenge, and it's just ended up being a really good day.")</f>
        <v>S08 Amber (3/6): Today is definitely one of the best days for me, and the fact that we're getting more rice, eating more, helped out great in the challenge, and it's just ended up being a really good day.</v>
      </c>
      <c r="BP15" s="4"/>
      <c r="BQ15" s="3" t="str">
        <f>IFERROR(__xludf.DUMMYFUNCTION("""COMPUTED_VALUE"""),"S07 Sandra (2/2): Screw Jon, 'cause he's an ass. Everything that comes out of his mouth is just ridiculous.")</f>
        <v>S07 Sandra (2/2): Screw Jon, 'cause he's an ass. Everything that comes out of his mouth is just ridiculous.</v>
      </c>
      <c r="BR15" s="4"/>
      <c r="BS15" s="3"/>
      <c r="BT15" s="4"/>
      <c r="BU15" s="3"/>
      <c r="BV15" s="4"/>
      <c r="BW15" s="3"/>
      <c r="BX15" s="4"/>
      <c r="BY15" s="3"/>
      <c r="BZ15" s="4"/>
      <c r="CA15" s="3"/>
      <c r="CB15" s="4"/>
      <c r="CC15" s="3"/>
      <c r="CD15" s="4"/>
    </row>
    <row r="16">
      <c r="A16" s="3"/>
      <c r="B16" s="4"/>
      <c r="C16" s="3" t="str">
        <f>IFERROR(__xludf.DUMMYFUNCTION("""COMPUTED_VALUE"""),"S40 Tony (2/2): I decide to pop out of my bunker. Sure enough, my timing couldn’t be more off.")</f>
        <v>S40 Tony (2/2): I decide to pop out of my bunker. Sure enough, my timing couldn’t be more off.</v>
      </c>
      <c r="D16" s="4"/>
      <c r="E16" s="3"/>
      <c r="F16" s="4"/>
      <c r="G16" s="3"/>
      <c r="H16" s="4"/>
      <c r="I16" s="3"/>
      <c r="J16" s="4"/>
      <c r="K16" s="3"/>
      <c r="L16" s="4"/>
      <c r="M16" s="3" t="str">
        <f>IFERROR(__xludf.DUMMYFUNCTION("""COMPUTED_VALUE"""),"S35 Ben (4/7): So right now, I’m listening to everyone, and I could go one way with the old Heroes and old Hustlers… or I can see if we could get that Yawa five working. The question is, can I trust Cole?")</f>
        <v>S35 Ben (4/7): So right now, I’m listening to everyone, and I could go one way with the old Heroes and old Hustlers… or I can see if we could get that Yawa five working. The question is, can I trust Cole?</v>
      </c>
      <c r="N16" s="4"/>
      <c r="O16" s="3" t="str">
        <f>IFERROR(__xludf.DUMMYFUNCTION("""COMPUTED_VALUE"""),"S34 Sarah (4/11): When we were leaving the challenge, I looked over at Michaela, and I see a secret advantage right at her feet. That’s called attention to detail. I’m a police officer, but the normal person that drives down the road would not know if the"&amp;" car in front of them’s registration tags are expired or not… (raises hand) I would.")</f>
        <v>S34 Sarah (4/11): When we were leaving the challenge, I looked over at Michaela, and I see a secret advantage right at her feet. That’s called attention to detail. I’m a police officer, but the normal person that drives down the road would not know if the car in front of them’s registration tags are expired or not… (raises hand) I would.</v>
      </c>
      <c r="P16" s="4"/>
      <c r="Q16" s="3" t="str">
        <f>IFERROR(__xludf.DUMMYFUNCTION("""COMPUTED_VALUE"""),"S33 Adam (1/2): Losing puts me in a real bind, because this whole time that I've been out here, I've been playing double agent, and it certainly feels like if I wanted to side with Jessica and Ken, that I could do that. And if I wanted to side with Figgy "&amp;"and Taylor, that I could do that, but no matter how I vote tonight, somebody is coming back unhappy, and I'm in a really, really tough position.")</f>
        <v>S33 Adam (1/2): Losing puts me in a real bind, because this whole time that I've been out here, I've been playing double agent, and it certainly feels like if I wanted to side with Jessica and Ken, that I could do that. And if I wanted to side with Figgy and Taylor, that I could do that, but no matter how I vote tonight, somebody is coming back unhappy, and I'm in a really, really tough position.</v>
      </c>
      <c r="R16" s="4"/>
      <c r="S16" s="3" t="str">
        <f>IFERROR(__xludf.DUMMYFUNCTION("""COMPUTED_VALUE"""),"S32 Michele (2/3): I think Jason probably thinks that he’s on top. He’s the one who’s constantly going, “Hey, this is what’s going on. This is what this person said. This is the way that we’re going.” So it looks like Brawn and Beauty are kind of together"&amp;". But Brawn is way too controlling and I never counted out working with Brain.")</f>
        <v>S32 Michele (2/3): I think Jason probably thinks that he’s on top. He’s the one who’s constantly going, “Hey, this is what’s going on. This is what this person said. This is the way that we’re going.” So it looks like Brawn and Beauty are kind of together. But Brawn is way too controlling and I never counted out working with Brain.</v>
      </c>
      <c r="T16" s="4"/>
      <c r="U16" s="3" t="str">
        <f>IFERROR(__xludf.DUMMYFUNCTION("""COMPUTED_VALUE"""),"S31 Jeremy (2/2): Savage, now he wants to take out Stephen because he’s been trying to get rid of Joe. But I just feel like that would be a bad move for me because Stephen’s been with me for twenty days and I’ve been building trust with him. So I want Ste"&amp;"phen to come with me far into this game, because once the big guys start going at each other, I wanna have all the bullets.")</f>
        <v>S31 Jeremy (2/2): Savage, now he wants to take out Stephen because he’s been trying to get rid of Joe. But I just feel like that would be a bad move for me because Stephen’s been with me for twenty days and I’ve been building trust with him. So I want Stephen to come with me far into this game, because once the big guys start going at each other, I wanna have all the bullets.</v>
      </c>
      <c r="V16" s="4"/>
      <c r="W16" s="3" t="str">
        <f>IFERROR(__xludf.DUMMYFUNCTION("""COMPUTED_VALUE"""),"S30 Mike (4/5): I see Sierra talking with the three guys, which makes me a little bit nervous because if Joe, Joaquin and Tyler can flip Sierra, then it's me and Dan and Rodney on the outskirts. We need her as a number. 'Cause in this game of Survivor, if"&amp;" you do not have the numbers, you go home.")</f>
        <v>S30 Mike (4/5): I see Sierra talking with the three guys, which makes me a little bit nervous because if Joe, Joaquin and Tyler can flip Sierra, then it's me and Dan and Rodney on the outskirts. We need her as a number. 'Cause in this game of Survivor, if you do not have the numbers, you go home.</v>
      </c>
      <c r="X16" s="4"/>
      <c r="Y16" s="3" t="str">
        <f>IFERROR(__xludf.DUMMYFUNCTION("""COMPUTED_VALUE"""),"S29 Natalie (3/6): I went back to the flag and I took larger steps this time, pass the campfire and right in the middle of camp. It's like literally the heart of our camp by the fire.")</f>
        <v>S29 Natalie (3/6): I went back to the flag and I took larger steps this time, pass the campfire and right in the middle of camp. It's like literally the heart of our camp by the fire.</v>
      </c>
      <c r="Z16" s="4"/>
      <c r="AA16" s="3" t="str">
        <f>IFERROR(__xludf.DUMMYFUNCTION("""COMPUTED_VALUE"""),"S28 Tony (5/5): When we brought back the comfort items from the Reward/Immunity Challenge, I said to myself: “There might be a potential clue in there or potential advantage of some sort.” My-my brain is ticking while theirs is not, I guess. I don’t know "&amp;"what’s going on with the rest of my tribemates, but the first thing I’m saying is, “I gotta get my hands on everything.” So I took the hammock off to the side, just in case something fell off and I open it and a little piece of paper that looked like a cl"&amp;"ue fell out and dropped on the floor. I immediately put my foot right on top of it. I looked around – nobody’s there. I bend down, pick it up, put it in my pocket. It didn’t pertain to anything I needed. I already have the idol, but I wanted to make sure "&amp;"that if there was anything in there, if there was a clue in there or if there was anything in there, an advantage of some sort – I wanted to get my hands on it. I didn’t want nobody else to see it. And that’s what I did.")</f>
        <v>S28 Tony (5/5): When we brought back the comfort items from the Reward/Immunity Challenge, I said to myself: “There might be a potential clue in there or potential advantage of some sort.” My-my brain is ticking while theirs is not, I guess. I don’t know what’s going on with the rest of my tribemates, but the first thing I’m saying is, “I gotta get my hands on everything.” So I took the hammock off to the side, just in case something fell off and I open it and a little piece of paper that looked like a clue fell out and dropped on the floor. I immediately put my foot right on top of it. I looked around – nobody’s there. I bend down, pick it up, put it in my pocket. It didn’t pertain to anything I needed. I already have the idol, but I wanted to make sure that if there was anything in there, if there was a clue in there or if there was anything in there, an advantage of some sort – I wanted to get my hands on it. I didn’t want nobody else to see it. And that’s what I did.</v>
      </c>
      <c r="AB16" s="4"/>
      <c r="AC16" s="3" t="str">
        <f>IFERROR(__xludf.DUMMYFUNCTION("""COMPUTED_VALUE"""),"S27 Tyson (5/5): I’m out here to play, and I have to use my brain. So, hopefully the target will be a little bit smaller on me and maybe a little bit larger on Aras. I have to do everything I can to get to Day 39.")</f>
        <v>S27 Tyson (5/5): I’m out here to play, and I have to use my brain. So, hopefully the target will be a little bit smaller on me and maybe a little bit larger on Aras. I have to do everything I can to get to Day 39.</v>
      </c>
      <c r="AD16" s="4"/>
      <c r="AE16" s="3" t="str">
        <f>IFERROR(__xludf.DUMMYFUNCTION("""COMPUTED_VALUE"""),"S26 Cochran (1/7): The Tree Mail did say, “The strong will carry the weak.” We have plenty of that latter category so if the success of this challenge depends on the existence of weak people, we got it.")</f>
        <v>S26 Cochran (1/7): The Tree Mail did say, “The strong will carry the weak.” We have plenty of that latter category so if the success of this challenge depends on the existence of weak people, we got it.</v>
      </c>
      <c r="AF16" s="4"/>
      <c r="AG16" s="3" t="str">
        <f>IFERROR(__xludf.DUMMYFUNCTION("""COMPUTED_VALUE"""),"S25 Denise (3/4): Just to be in a new family and in a new tribe is great. And trying to kind of blend in with my new family here, kind of figure out what my role can kind of be. Whatever I can do to prove that I have value, even if it's keeping me around "&amp;"for one more Tribal, then I can regroup. One more, you know, every-every step is-is an opportunity to-to regroup and turn things around.")</f>
        <v>S25 Denise (3/4): Just to be in a new family and in a new tribe is great. And trying to kind of blend in with my new family here, kind of figure out what my role can kind of be. Whatever I can do to prove that I have value, even if it's keeping me around for one more Tribal, then I can regroup. One more, you know, every-every step is-is an opportunity to-to regroup and turn things around.</v>
      </c>
      <c r="AH16" s="4"/>
      <c r="AI16" s="3" t="str">
        <f>IFERROR(__xludf.DUMMYFUNCTION("""COMPUTED_VALUE"""),"S24 Kim (2/6): I was trying to think through my options, and I thought what makes sense is to take out Mike. The girls are already in the majority, so if we can get a united front and come together, we could start sending these guys home. I'm gonna have t"&amp;"o be careful, but if all six girls vote together and just go for it, we can change the whole game.")</f>
        <v>S24 Kim (2/6): I was trying to think through my options, and I thought what makes sense is to take out Mike. The girls are already in the majority, so if we can get a united front and come together, we could start sending these guys home. I'm gonna have to be careful, but if all six girls vote together and just go for it, we can change the whole game.</v>
      </c>
      <c r="AJ16" s="4"/>
      <c r="AK16" s="3" t="str">
        <f>IFERROR(__xludf.DUMMYFUNCTION("""COMPUTED_VALUE"""),"S23 Sophie (1/2): Every day, uh, the people in this tribe surprise me with the things they do. And every day, I'm recalculating who I think the jury's going to hate, who I think the jury's going to love. And Brandon opened his mouth. He was really rude to"&amp;" Edna. There was no reason to tell her, ""We're all trying to get you out."" That's just-- I mean, that's a bullying thing to do.")</f>
        <v>S23 Sophie (1/2): Every day, uh, the people in this tribe surprise me with the things they do. And every day, I'm recalculating who I think the jury's going to hate, who I think the jury's going to love. And Brandon opened his mouth. He was really rude to Edna. There was no reason to tell her, "We're all trying to get you out." That's just-- I mean, that's a bullying thing to do.</v>
      </c>
      <c r="AL16" s="4"/>
      <c r="AM16" s="3" t="str">
        <f>IFERROR(__xludf.DUMMYFUNCTION("""COMPUTED_VALUE"""),"S22 Rob (2/8): Tonight I'm sitting in a good spot in this tribe, but tomorrow morning when I get up, I need to get Andrea feeling okay about everything because she's smart enough to know that we double crossed her, and she will definitely hold that resent"&amp;"ment.")</f>
        <v>S22 Rob (2/8): Tonight I'm sitting in a good spot in this tribe, but tomorrow morning when I get up, I need to get Andrea feeling okay about everything because she's smart enough to know that we double crossed her, and she will definitely hold that resentment.</v>
      </c>
      <c r="AN16" s="4"/>
      <c r="AO16" s="3" t="str">
        <f>IFERROR(__xludf.DUMMYFUNCTION("""COMPUTED_VALUE"""),"S21 Fabio (3/4): At the challenge, Jeff had mentioned volcano surfing as part of the reward, so we're actually gonna be cruising down the side of this volcano, and I've never even heard of that before. Like, that blew my mind, dude.")</f>
        <v>S21 Fabio (3/4): At the challenge, Jeff had mentioned volcano surfing as part of the reward, so we're actually gonna be cruising down the side of this volcano, and I've never even heard of that before. Like, that blew my mind, dude.</v>
      </c>
      <c r="AP16" s="4"/>
      <c r="AQ16" s="3"/>
      <c r="AR16" s="4"/>
      <c r="AS16" s="3"/>
      <c r="AT16" s="4"/>
      <c r="AU16" s="3"/>
      <c r="AV16" s="4"/>
      <c r="AW16" s="3"/>
      <c r="AX16" s="4"/>
      <c r="AY16" s="3"/>
      <c r="AZ16" s="4"/>
      <c r="BA16" s="3"/>
      <c r="BB16" s="4"/>
      <c r="BC16" s="3"/>
      <c r="BD16" s="4"/>
      <c r="BE16" s="3"/>
      <c r="BF16" s="4"/>
      <c r="BG16" s="3"/>
      <c r="BH16" s="4"/>
      <c r="BI16" s="3"/>
      <c r="BJ16" s="4"/>
      <c r="BK16" s="3" t="str">
        <f>IFERROR(__xludf.DUMMYFUNCTION("""COMPUTED_VALUE"""),"S10 Tom (2/3): It’s nerve-racking. I’m just sitting here like a cat on a hot tin roof. You just want to be a part of this thing, and, uh, you just want to help. There’s a lot on the line. There’s nothing you can do, but be an observer, and, uh, I don’t li"&amp;"ke the position. There’s a lot of apprehension from where I’m sitting.")</f>
        <v>S10 Tom (2/3): It’s nerve-racking. I’m just sitting here like a cat on a hot tin roof. You just want to be a part of this thing, and, uh, you just want to help. There’s a lot on the line. There’s nothing you can do, but be an observer, and, uh, I don’t like the position. There’s a lot of apprehension from where I’m sitting.</v>
      </c>
      <c r="BL16" s="4"/>
      <c r="BM16" s="3" t="str">
        <f>IFERROR(__xludf.DUMMYFUNCTION("""COMPUTED_VALUE"""),"S09 Chris (6/6): I feel confident about Twila. I feel confident about Julie, and obviously Rory has come back to Lopevi. We’ve got the numbers. We’ll be good to go. Picking them girls off one by one is what it’s going to be about.")</f>
        <v>S09 Chris (6/6): I feel confident about Twila. I feel confident about Julie, and obviously Rory has come back to Lopevi. We’ve got the numbers. We’ll be good to go. Picking them girls off one by one is what it’s going to be about.</v>
      </c>
      <c r="BN16" s="4"/>
      <c r="BO16" s="3" t="str">
        <f>IFERROR(__xludf.DUMMYFUNCTION("""COMPUTED_VALUE"""),"S08 Amber (4/6): Definitely at first I was stringing him along. The flirting was a huge strategy in the beginning. Um, but then I got caught up in it, and feelings, you know, emerged.")</f>
        <v>S08 Amber (4/6): Definitely at first I was stringing him along. The flirting was a huge strategy in the beginning. Um, but then I got caught up in it, and feelings, you know, emerged.</v>
      </c>
      <c r="BP16" s="4"/>
      <c r="BQ16" s="3" t="str">
        <f>IFERROR(__xludf.DUMMYFUNCTION("""COMPUTED_VALUE"""),"S07 Sandra (1/2): I'm hoping there's candy and maybe some canned juice and peaches and pineapples in there, l don't know. Anything but rice-- if l see one more grain of rice, I'm gonna… (shakes head) l'Il be upset. I'm gonna go wild.")</f>
        <v>S07 Sandra (1/2): I'm hoping there's candy and maybe some canned juice and peaches and pineapples in there, l don't know. Anything but rice-- if l see one more grain of rice, I'm gonna… (shakes head) l'Il be upset. I'm gonna go wild.</v>
      </c>
      <c r="BR16" s="4"/>
      <c r="BS16" s="3"/>
      <c r="BT16" s="4"/>
      <c r="BU16" s="3"/>
      <c r="BV16" s="4"/>
      <c r="BW16" s="3"/>
      <c r="BX16" s="4"/>
      <c r="BY16" s="3"/>
      <c r="BZ16" s="4"/>
      <c r="CA16" s="3"/>
      <c r="CB16" s="4"/>
      <c r="CC16" s="3"/>
      <c r="CD16" s="4"/>
    </row>
    <row r="17">
      <c r="A17" s="3"/>
      <c r="B17" s="4"/>
      <c r="C17" s="3" t="str">
        <f>IFERROR(__xludf.DUMMYFUNCTION("""COMPUTED_VALUE"""),"S40 Tony (1/1): Today, I feel like I’m in a good position right now, even without Sandra, who I’ve been close with, because right now we have two Seles, two old Dakals. I-I’m close with Kim, I’m hoping I’m getting close with Jeremy. So I think we formed a"&amp;" nice bond between the three of us, and I’m just so grateful that Denise pretty much did me a favor by making a flashy move at Tribal, and she took out the queen. She dethroned the queen! She used two idols! So-so that makes her a big target, and that’s g"&amp;"ood news for me, because I need protection in front of me-- I need shields in front of me. So, Denise, in my book, she’s (gives two thumbs up)... A-OK.")</f>
        <v>S40 Tony (1/1): Today, I feel like I’m in a good position right now, even without Sandra, who I’ve been close with, because right now we have two Seles, two old Dakals. I-I’m close with Kim, I’m hoping I’m getting close with Jeremy. So I think we formed a nice bond between the three of us, and I’m just so grateful that Denise pretty much did me a favor by making a flashy move at Tribal, and she took out the queen. She dethroned the queen! She used two idols! So-so that makes her a big target, and that’s good news for me, because I need protection in front of me-- I need shields in front of me. So, Denise, in my book, she’s (gives two thumbs up)... A-OK.</v>
      </c>
      <c r="D17" s="4"/>
      <c r="E17" s="3"/>
      <c r="F17" s="4"/>
      <c r="G17" s="3"/>
      <c r="H17" s="4"/>
      <c r="I17" s="3"/>
      <c r="J17" s="4"/>
      <c r="K17" s="3"/>
      <c r="L17" s="4"/>
      <c r="M17" s="3" t="str">
        <f>IFERROR(__xludf.DUMMYFUNCTION("""COMPUTED_VALUE"""),"S35 Ben (5/7): He’s selfish, and I don’t think Cole respects anyone here. He just respects himself. You need help to get to the end, period. But right now, I need someone that I can trust.")</f>
        <v>S35 Ben (5/7): He’s selfish, and I don’t think Cole respects anyone here. He just respects himself. You need help to get to the end, period. But right now, I need someone that I can trust.</v>
      </c>
      <c r="N17" s="4"/>
      <c r="O17" s="3" t="str">
        <f>IFERROR(__xludf.DUMMYFUNCTION("""COMPUTED_VALUE"""),"S34 Sarah (5/11): Having this advantage opens up options for me. I can completely flip the game.")</f>
        <v>S34 Sarah (5/11): Having this advantage opens up options for me. I can completely flip the game.</v>
      </c>
      <c r="P17" s="4"/>
      <c r="Q17" s="3" t="str">
        <f>IFERROR(__xludf.DUMMYFUNCTION("""COMPUTED_VALUE"""),"S33 Adam (2/2): My mind is just reeling right now, because Ken makes really good arguments. The question is: which side is going to be better for my future in this game? I mean, the whole world is probably screaming, ""Get out the power couple! What are y"&amp;"ou thinking?"" But at this point, I don't know that that makes sense for me.")</f>
        <v>S33 Adam (2/2): My mind is just reeling right now, because Ken makes really good arguments. The question is: which side is going to be better for my future in this game? I mean, the whole world is probably screaming, "Get out the power couple! What are you thinking?" But at this point, I don't know that that makes sense for me.</v>
      </c>
      <c r="R17" s="4"/>
      <c r="S17" s="3" t="str">
        <f>IFERROR(__xludf.DUMMYFUNCTION("""COMPUTED_VALUE"""),"S32 Michele (3/3): You know, I’d love to work with Aubry and Debbie, but I’m not sure strategically it’s my best option. So I think I have to just kind of, you know, assess the relationships more. I could go whichever way I wanted right now, so I’m figuri"&amp;"ng out really what is best for me.")</f>
        <v>S32 Michele (3/3): You know, I’d love to work with Aubry and Debbie, but I’m not sure strategically it’s my best option. So I think I have to just kind of, you know, assess the relationships more. I could go whichever way I wanted right now, so I’m figuring out really what is best for me.</v>
      </c>
      <c r="T17" s="4"/>
      <c r="U17" s="3" t="str">
        <f>IFERROR(__xludf.DUMMYFUNCTION("""COMPUTED_VALUE"""),"S31 Jeremy (1/9): Savage going home screws me. I had another man that nobody really likes that I knew that was a-a shield for me. But even though I trust Stephen and I have one idol to protect me, I need two idols because they’re coming after me. I gotta "&amp;"look. I gotta bust my behind again! Like, “Oh, my God!”")</f>
        <v>S31 Jeremy (1/9): Savage going home screws me. I had another man that nobody really likes that I knew that was a-a shield for me. But even though I trust Stephen and I have one idol to protect me, I need two idols because they’re coming after me. I gotta look. I gotta bust my behind again! Like, “Oh, my God!”</v>
      </c>
      <c r="V17" s="4"/>
      <c r="W17" s="3" t="str">
        <f>IFERROR(__xludf.DUMMYFUNCTION("""COMPUTED_VALUE"""),"S30 Mike (5/5): Dan, just listen to what I'm telling you. “Shut your mouth, apologize and let's move forward.”")</f>
        <v>S30 Mike (5/5): Dan, just listen to what I'm telling you. “Shut your mouth, apologize and let's move forward.”</v>
      </c>
      <c r="X17" s="4"/>
      <c r="Y17" s="3" t="str">
        <f>IFERROR(__xludf.DUMMYFUNCTION("""COMPUTED_VALUE"""),"S29 Natalie (4/6): We went berserk. We're like, literally out of our minds. We pick up the pots and we run to the water well as fast as we have ever done in our lives. This is the idol. So sick. Finding it was exactly how you'd think it'll feel, you know,"&amp;" just like, you're so elated, so excited. It's like my little Twinnie, it's just me and my, you know, friend out here.")</f>
        <v>S29 Natalie (4/6): We went berserk. We're like, literally out of our minds. We pick up the pots and we run to the water well as fast as we have ever done in our lives. This is the idol. So sick. Finding it was exactly how you'd think it'll feel, you know, just like, you're so elated, so excited. It's like my little Twinnie, it's just me and my, you know, friend out here.</v>
      </c>
      <c r="Z17" s="4"/>
      <c r="AA17" s="3" t="str">
        <f>IFERROR(__xludf.DUMMYFUNCTION("""COMPUTED_VALUE"""),"S28 Tony (1/1): I saw Woo and Sarah whispering something and I say, you know, let me go see what’s going on. So I go up to them and they look like this, (mimes wide eyes) like a deer in the headlights as soon as I walked up. So I pulled Sarah to the side."&amp;" “Hey Sarah, what’s going on?” A few days ago, I went to Sarah and I fed her some kind of lie telling her that I heard Cliff and Lindsey talking about her. And I think from that moment on, I think I changed the game by having her on my side. So I believe "&amp;"now that she’s part of my alliance. As far as Sarah’s concerned, Woo’s on her side which means he’s also on my side. So I believe we’re in an alliance of four right now against Cliff and Lindsey. She had me swear on my badge, which... That doesn’t mean an"&amp;"ything to me, swearing on my badge. ‘Cause I’m here to lie, cheat and steal. I’m here to drag people’s dreams through the mud so I can fulfill mine. That’s what I’m here for. Whatever I have to do, I’m gonna do. It’s as simple as that.")</f>
        <v>S28 Tony (1/1): I saw Woo and Sarah whispering something and I say, you know, let me go see what’s going on. So I go up to them and they look like this, (mimes wide eyes) like a deer in the headlights as soon as I walked up. So I pulled Sarah to the side. “Hey Sarah, what’s going on?” A few days ago, I went to Sarah and I fed her some kind of lie telling her that I heard Cliff and Lindsey talking about her. And I think from that moment on, I think I changed the game by having her on my side. So I believe now that she’s part of my alliance. As far as Sarah’s concerned, Woo’s on her side which means he’s also on my side. So I believe we’re in an alliance of four right now against Cliff and Lindsey. She had me swear on my badge, which... That doesn’t mean anything to me, swearing on my badge. ‘Cause I’m here to lie, cheat and steal. I’m here to drag people’s dreams through the mud so I can fulfill mine. That’s what I’m here for. Whatever I have to do, I’m gonna do. It’s as simple as that.</v>
      </c>
      <c r="AB17" s="4"/>
      <c r="AC17" s="3" t="str">
        <f>IFERROR(__xludf.DUMMYFUNCTION("""COMPUTED_VALUE"""),"S27 Tyson (1/2): I thought Aras was playing a good game at first, but everyone else is recognizing his main motivation right now, which is get to Vytas and then take control of the game. Meditate all day long if that’s what you need. I think he’s getting "&amp;"really comfortable and that weighs right into my game plan.")</f>
        <v>S27 Tyson (1/2): I thought Aras was playing a good game at first, but everyone else is recognizing his main motivation right now, which is get to Vytas and then take control of the game. Meditate all day long if that’s what you need. I think he’s getting really comfortable and that weighs right into my game plan.</v>
      </c>
      <c r="AD17" s="4"/>
      <c r="AE17" s="3" t="str">
        <f>IFERROR(__xludf.DUMMYFUNCTION("""COMPUTED_VALUE"""),"S26 Cochran (2/7): Phillip challenged me to an arm wrestling match. He naturally was able to beat me quickly. Then to up the ante and also to build up his ego a little, he'll demand that I actually basically put all my weight on his one hand. I put a sign"&amp;"ificant portion of my weight on his forearm and he managed to keep it off the ground. And if the smile on Phillip's face after that, I think he felt like the old Phillip… or the young Phillip.")</f>
        <v>S26 Cochran (2/7): Phillip challenged me to an arm wrestling match. He naturally was able to beat me quickly. Then to up the ante and also to build up his ego a little, he'll demand that I actually basically put all my weight on his one hand. I put a significant portion of my weight on his forearm and he managed to keep it off the ground. And if the smile on Phillip's face after that, I think he felt like the old Phillip… or the young Phillip.</v>
      </c>
      <c r="AF17" s="4"/>
      <c r="AG17" s="3" t="str">
        <f>IFERROR(__xludf.DUMMYFUNCTION("""COMPUTED_VALUE"""),"S25 Denise (4/4): I'm a part of a tribe that has lost again. It's just-- it's heartbreaking. So I’m-I'm worried. I haven't had 13 days to bond with these guys. I don't know if they're going to go loyalty or they're going to go logic.")</f>
        <v>S25 Denise (4/4): I'm a part of a tribe that has lost again. It's just-- it's heartbreaking. So I’m-I'm worried. I haven't had 13 days to bond with these guys. I don't know if they're going to go loyalty or they're going to go logic.</v>
      </c>
      <c r="AH17" s="4"/>
      <c r="AI17" s="3" t="str">
        <f>IFERROR(__xludf.DUMMYFUNCTION("""COMPUTED_VALUE"""),"S24 Kim (3/6): Troyzan and I went this morning in the rain to get Tree Mail and I told him this whole story about, “Hey, yesterday, Mike was kind of throwing your name out there. I think we need to take Mike out first and then we'll take out the the girls"&amp;".”")</f>
        <v>S24 Kim (3/6): Troyzan and I went this morning in the rain to get Tree Mail and I told him this whole story about, “Hey, yesterday, Mike was kind of throwing your name out there. I think we need to take Mike out first and then we'll take out the the girls.”</v>
      </c>
      <c r="AJ17" s="4"/>
      <c r="AK17" s="3" t="str">
        <f>IFERROR(__xludf.DUMMYFUNCTION("""COMPUTED_VALUE"""),"S23 Sophie (2/2): I-- Brandon, I think, often thinks his apology absolves all sins, and maybe that's true in church, but on Survivor, uh, people are not as forgiving as, you know, Jesus Christ is. And Edna is not as forgiving and the rest of the tribe, um"&amp;"... It didn't go unnoticed with us.")</f>
        <v>S23 Sophie (2/2): I-- Brandon, I think, often thinks his apology absolves all sins, and maybe that's true in church, but on Survivor, uh, people are not as forgiving as, you know, Jesus Christ is. And Edna is not as forgiving and the rest of the tribe, um... It didn't go unnoticed with us.</v>
      </c>
      <c r="AL17" s="4"/>
      <c r="AM17" s="3" t="str">
        <f>IFERROR(__xludf.DUMMYFUNCTION("""COMPUTED_VALUE"""),"S22 Rob (3/8): We had to send two people to what we think is Redemption Island. We've got Andrea and Ashley both going over there. What I don't want is Andrea getting smart and talking to Matt, her island boyfriend. I just don't want her getting any ideas"&amp;".")</f>
        <v>S22 Rob (3/8): We had to send two people to what we think is Redemption Island. We've got Andrea and Ashley both going over there. What I don't want is Andrea getting smart and talking to Matt, her island boyfriend. I just don't want her getting any ideas.</v>
      </c>
      <c r="AN17" s="4"/>
      <c r="AO17" s="3" t="str">
        <f>IFERROR(__xludf.DUMMYFUNCTION("""COMPUTED_VALUE"""),"S21 Fabio (4/4): NaOnka pulls me aside and says we gotta work together. We can get Brenda out of here. She's running the show. And I'm thinking, “This is great. It just fell right into my hands and I'm totally going to milk it for all it's worth, you know"&amp;"?” And hopefully, I can stay under the radar and slither through things.")</f>
        <v>S21 Fabio (4/4): NaOnka pulls me aside and says we gotta work together. We can get Brenda out of here. She's running the show. And I'm thinking, “This is great. It just fell right into my hands and I'm totally going to milk it for all it's worth, you know?” And hopefully, I can stay under the radar and slither through things.</v>
      </c>
      <c r="AP17" s="4"/>
      <c r="AQ17" s="3"/>
      <c r="AR17" s="4"/>
      <c r="AS17" s="3"/>
      <c r="AT17" s="4"/>
      <c r="AU17" s="3"/>
      <c r="AV17" s="4"/>
      <c r="AW17" s="3"/>
      <c r="AX17" s="4"/>
      <c r="AY17" s="3"/>
      <c r="AZ17" s="4"/>
      <c r="BA17" s="3"/>
      <c r="BB17" s="4"/>
      <c r="BC17" s="3"/>
      <c r="BD17" s="4"/>
      <c r="BE17" s="3"/>
      <c r="BF17" s="4"/>
      <c r="BG17" s="3"/>
      <c r="BH17" s="4"/>
      <c r="BI17" s="3"/>
      <c r="BJ17" s="4"/>
      <c r="BK17" s="3" t="str">
        <f>IFERROR(__xludf.DUMMYFUNCTION("""COMPUTED_VALUE"""),"S10 Tom (3/3): I’m concerned with Gregg and Jenn because they are tight. You know, what is gonna happen when all of a sudden we have to tell Gregg or Jenn that the other one may be getting voted off that night? Uh, you’re bringing in a whole different vol"&amp;"atile emotion that is separate from this game. So, uh, I’m-- I’m concerned. We’re all watching the relationship and seeing where the alliances lie. The little romance or whatever they’ve got blossoming, it just could be a monkey wrench that we don’t see c"&amp;"oming.")</f>
        <v>S10 Tom (3/3): I’m concerned with Gregg and Jenn because they are tight. You know, what is gonna happen when all of a sudden we have to tell Gregg or Jenn that the other one may be getting voted off that night? Uh, you’re bringing in a whole different volatile emotion that is separate from this game. So, uh, I’m-- I’m concerned. We’re all watching the relationship and seeing where the alliances lie. The little romance or whatever they’ve got blossoming, it just could be a monkey wrench that we don’t see coming.</v>
      </c>
      <c r="BL17" s="4"/>
      <c r="BM17" s="3" t="str">
        <f>IFERROR(__xludf.DUMMYFUNCTION("""COMPUTED_VALUE"""),"S09 Chris (1/4): Tribal Council was a surprise. I would I say that I probably put a little bit too much… confidence in Julie and Twila. They've put me, Sarge and Chad in a precarious situation. It's going to be tough to survive the rest of this game.")</f>
        <v>S09 Chris (1/4): Tribal Council was a surprise. I would I say that I probably put a little bit too much… confidence in Julie and Twila. They've put me, Sarge and Chad in a precarious situation. It's going to be tough to survive the rest of this game.</v>
      </c>
      <c r="BN17" s="4"/>
      <c r="BO17" s="3" t="str">
        <f>IFERROR(__xludf.DUMMYFUNCTION("""COMPUTED_VALUE"""),"S08 Amber (5/6): It's crazy because coming into this game I never expected in a million years for ev-- for this to ever happen. And actually, I-I told myself that I wouldn't really let something like this happen, but... I love having the comfort level of "&amp;"it, and I love... I love that he, you know, keeps me warm at night, and he, you know, makes me feel safe out here. I can vent to him, complain to him about anything and he won't hold it against me.")</f>
        <v>S08 Amber (5/6): It's crazy because coming into this game I never expected in a million years for ev-- for this to ever happen. And actually, I-I told myself that I wouldn't really let something like this happen, but... I love having the comfort level of it, and I love... I love that he, you know, keeps me warm at night, and he, you know, makes me feel safe out here. I can vent to him, complain to him about anything and he won't hold it against me.</v>
      </c>
      <c r="BP17" s="4"/>
      <c r="BQ17" s="3" t="str">
        <f>IFERROR(__xludf.DUMMYFUNCTION("""COMPUTED_VALUE"""),"S07 Sandra (2/2): So after trying and trying and trying to bring the chest up, they said, ""Okay, the hell with it. Screw this. Let's pop the chest open."" When they cleared away the lock, and finally it popped open and, oh, my God… a stench so awful. Sme"&amp;"lled like death.")</f>
        <v>S07 Sandra (2/2): So after trying and trying and trying to bring the chest up, they said, "Okay, the hell with it. Screw this. Let's pop the chest open." When they cleared away the lock, and finally it popped open and, oh, my God… a stench so awful. Smelled like death.</v>
      </c>
      <c r="BR17" s="4"/>
      <c r="BS17" s="3"/>
      <c r="BT17" s="4"/>
      <c r="BU17" s="3"/>
      <c r="BV17" s="4"/>
      <c r="BW17" s="3"/>
      <c r="BX17" s="4"/>
      <c r="BY17" s="3"/>
      <c r="BZ17" s="4"/>
      <c r="CA17" s="3"/>
      <c r="CB17" s="4"/>
      <c r="CC17" s="3"/>
      <c r="CD17" s="4"/>
    </row>
    <row r="18">
      <c r="A18" s="3"/>
      <c r="B18" s="4"/>
      <c r="C18" s="3" t="str">
        <f>IFERROR(__xludf.DUMMYFUNCTION("""COMPUTED_VALUE"""),"S40 Tony (1/3): So we come into the merge tribe, and I see the new menu, and prices have gone up. I can’t buy anything. I’m looking at the menu-- three tokens, two tokens. I got one. I can’t do nothing. I’m just like a little poor kid going into the bodeg"&amp;"a, and I don’t have enough money to buy a little bubble gum. But, thankfully, the feast doesn’t cost you anything, and I’m very grateful for that. I love it.")</f>
        <v>S40 Tony (1/3): So we come into the merge tribe, and I see the new menu, and prices have gone up. I can’t buy anything. I’m looking at the menu-- three tokens, two tokens. I got one. I can’t do nothing. I’m just like a little poor kid going into the bodega, and I don’t have enough money to buy a little bubble gum. But, thankfully, the feast doesn’t cost you anything, and I’m very grateful for that. I love it.</v>
      </c>
      <c r="D18" s="4"/>
      <c r="E18" s="3"/>
      <c r="F18" s="4"/>
      <c r="G18" s="3"/>
      <c r="H18" s="4"/>
      <c r="I18" s="3"/>
      <c r="J18" s="4"/>
      <c r="K18" s="3"/>
      <c r="L18" s="4"/>
      <c r="M18" s="3" t="str">
        <f>IFERROR(__xludf.DUMMYFUNCTION("""COMPUTED_VALUE"""),"S35 Ben (6/7): Cole came up and apologized to me, and I did my little, “Oh no, bud, we’re good. Yeah, you know?” And he’s offended me this whole time I’ve been at camp with him. But separating away from the old Yawa tribe and voting Cole could backfire on"&amp;" me later. I gotta be tactically and not emotionally. So, tactically speaking, if I have to work with Cole to get further in the game, then I will.")</f>
        <v>S35 Ben (6/7): Cole came up and apologized to me, and I did my little, “Oh no, bud, we’re good. Yeah, you know?” And he’s offended me this whole time I’ve been at camp with him. But separating away from the old Yawa tribe and voting Cole could backfire on me later. I gotta be tactically and not emotionally. So, tactically speaking, if I have to work with Cole to get further in the game, then I will.</v>
      </c>
      <c r="N18" s="4"/>
      <c r="O18" s="3" t="str">
        <f>IFERROR(__xludf.DUMMYFUNCTION("""COMPUTED_VALUE"""),"S34 Sarah (6/11): In the past, these extra votes have not been played correctly. I will be the first one to play this vote correctly.")</f>
        <v>S34 Sarah (6/11): In the past, these extra votes have not been played correctly. I will be the first one to play this vote correctly.</v>
      </c>
      <c r="P18" s="4"/>
      <c r="Q18" s="3" t="str">
        <f>IFERROR(__xludf.DUMMYFUNCTION("""COMPUTED_VALUE"""),"S33 Adam (1/1): I feel badly that I, you know, ended their island romance, but I did what I needed to do. I put myself in a position where I can move forward with a group of Gen Xers, and Figgy was ultimately the sacrifice that had to happen.")</f>
        <v>S33 Adam (1/1): I feel badly that I, you know, ended their island romance, but I did what I needed to do. I put myself in a position where I can move forward with a group of Gen Xers, and Figgy was ultimately the sacrifice that had to happen.</v>
      </c>
      <c r="R18" s="4"/>
      <c r="S18" s="3" t="str">
        <f>IFERROR(__xludf.DUMMYFUNCTION("""COMPUTED_VALUE"""),"S32 Michele (1/3): I think that Jason does think that he’s in charge of a lot of things over at this camp, and, you know, Jason is just an assertive person. He yells over them, “Guys, you can be a little bit more loud about it if you want,” and honestly, "&amp;"I really respected the way that they handled it.")</f>
        <v>S32 Michele (1/3): I think that Jason does think that he’s in charge of a lot of things over at this camp, and, you know, Jason is just an assertive person. He yells over them, “Guys, you can be a little bit more loud about it if you want,” and honestly, I really respected the way that they handled it.</v>
      </c>
      <c r="T18" s="4"/>
      <c r="U18" s="3" t="str">
        <f>IFERROR(__xludf.DUMMYFUNCTION("""COMPUTED_VALUE"""),"S31 Jeremy (2/9): We weren’t even close. It was embarrassing. And like, this whole day is a-a waste of a day. This is a bad one. Last night was bad-- Savage went home. Today is bad. It goes up and down. Today’s a down.")</f>
        <v>S31 Jeremy (2/9): We weren’t even close. It was embarrassing. And like, this whole day is a-a waste of a day. This is a bad one. Last night was bad-- Savage went home. Today is bad. It goes up and down. Today’s a down.</v>
      </c>
      <c r="V18" s="4"/>
      <c r="W18" s="3" t="str">
        <f>IFERROR(__xludf.DUMMYFUNCTION("""COMPUTED_VALUE"""),"S30 Mike (1/2): Rodney and his great vast plan of, “Oh, I'm such a... an amazing strategist and I'm so good at this game,” thinks we should throw a challenge so we can get rid of Joe. Very rarely in the game of Survivor does it work out in your favor to t"&amp;"hrow challenges. But in this particular instance, I think we have a very special situation. My real alliance is with Kelly, who poor girl is on the other side all by herself. But I think Kelly's a fighter, enough that she'll find a way to make it to the m"&amp;"erge, especially if we can throw a couple challenges and keep her safe.")</f>
        <v>S30 Mike (1/2): Rodney and his great vast plan of, “Oh, I'm such a... an amazing strategist and I'm so good at this game,” thinks we should throw a challenge so we can get rid of Joe. Very rarely in the game of Survivor does it work out in your favor to throw challenges. But in this particular instance, I think we have a very special situation. My real alliance is with Kelly, who poor girl is on the other side all by herself. But I think Kelly's a fighter, enough that she'll find a way to make it to the merge, especially if we can throw a couple challenges and keep her safe.</v>
      </c>
      <c r="X18" s="4"/>
      <c r="Y18" s="3" t="str">
        <f>IFERROR(__xludf.DUMMYFUNCTION("""COMPUTED_VALUE"""),"S29 Natalie (5/6): I want Jon out bad but we have to get rid of one more boy before Jon because that allows us to take out Jon and still have a majority girls. Baylor's become my number one. Me and her are on the same page as far as we have to get rid of "&amp;"Reed because he's really good at Immunity Challenges and all he does is make up stuff so that the target's off him and it's on other people.")</f>
        <v>S29 Natalie (5/6): I want Jon out bad but we have to get rid of one more boy before Jon because that allows us to take out Jon and still have a majority girls. Baylor's become my number one. Me and her are on the same page as far as we have to get rid of Reed because he's really good at Immunity Challenges and all he does is make up stuff so that the target's off him and it's on other people.</v>
      </c>
      <c r="Z18" s="4"/>
      <c r="AA18" s="3" t="str">
        <f>IFERROR(__xludf.DUMMYFUNCTION("""COMPUTED_VALUE"""),"S28 Tony (1/3): How could we lose this challenge? It was custom-made for Brawn. Fortunately, we’ve got the numbers. Let's strike now. LJ’s a threat, so he’s going home first.")</f>
        <v>S28 Tony (1/3): How could we lose this challenge? It was custom-made for Brawn. Fortunately, we’ve got the numbers. Let's strike now. LJ’s a threat, so he’s going home first.</v>
      </c>
      <c r="AB18" s="4"/>
      <c r="AC18" s="3" t="str">
        <f>IFERROR(__xludf.DUMMYFUNCTION("""COMPUTED_VALUE"""),"S27 Tyson (2/2): I didn’t need this reward at all. I don’t think I’ve gone to bed hungry one night since I’ve been here. We’ve been eating rice like crazy. I’ve convinced everyone that eating maximum amounts of rice is the proper strategy and everyone see"&amp;"ms to just agree. You know, I’m a three-time veteran of this game, so of course what I say is gonna be right.")</f>
        <v>S27 Tyson (2/2): I didn’t need this reward at all. I don’t think I’ve gone to bed hungry one night since I’ve been here. We’ve been eating rice like crazy. I’ve convinced everyone that eating maximum amounts of rice is the proper strategy and everyone seems to just agree. You know, I’m a three-time veteran of this game, so of course what I say is gonna be right.</v>
      </c>
      <c r="AD18" s="4"/>
      <c r="AE18" s="3" t="str">
        <f>IFERROR(__xludf.DUMMYFUNCTION("""COMPUTED_VALUE"""),"S26 Cochran (3/7): Phillip and Corinne hate each other. There's so much fracture and division within the Favorites on this tribe, it's like a death sentence. I mean, something is going to happen at one point or another. I'm going to be pushing that we cer"&amp;"tainly vote off a Fan, which is not even a certainty at this point because Michael actually seems capable of wheeling and dealing. He’s already gotten very, very close with Corinne. Julia, on the other hand, is such a nonentity out here. I'm tempted to sa"&amp;"y that she has, like, a vanilla personality, but I feel like that would be doing a great disservice to the flavor vanilla. Like, people actively seek out vanilla-flavored products. Children clamor to get a vanilla ice cream cone. Nobody is clamoring for a"&amp;"nything Julia-flavored, except for Phillip. Phillip has grown very, very close to Julia and I'm not really exactly sure why.")</f>
        <v>S26 Cochran (3/7): Phillip and Corinne hate each other. There's so much fracture and division within the Favorites on this tribe, it's like a death sentence. I mean, something is going to happen at one point or another. I'm going to be pushing that we certainly vote off a Fan, which is not even a certainty at this point because Michael actually seems capable of wheeling and dealing. He’s already gotten very, very close with Corinne. Julia, on the other hand, is such a nonentity out here. I'm tempted to say that she has, like, a vanilla personality, but I feel like that would be doing a great disservice to the flavor vanilla. Like, people actively seek out vanilla-flavored products. Children clamor to get a vanilla ice cream cone. Nobody is clamoring for anything Julia-flavored, except for Phillip. Phillip has grown very, very close to Julia and I'm not really exactly sure why.</v>
      </c>
      <c r="AF18" s="4"/>
      <c r="AG18" s="3" t="str">
        <f>IFERROR(__xludf.DUMMYFUNCTION("""COMPUTED_VALUE"""),"S25 Denise (1/2): I knew what it was in these envelopes and it was-- it was our letters from home.")</f>
        <v>S25 Denise (1/2): I knew what it was in these envelopes and it was-- it was our letters from home.</v>
      </c>
      <c r="AH18" s="4"/>
      <c r="AI18" s="3" t="str">
        <f>IFERROR(__xludf.DUMMYFUNCTION("""COMPUTED_VALUE"""),"S24 Kim (4/6): Right now, I'm straddling two alliances. I have an all-women’s alliance and I have my Salani alliance with Troy, Jay, and Mike. But now I feel like it's time for the girls to take over this game. I know that Chelsea and the girls will be on"&amp;" board with that, and Troy he's blinded by his dislike of Mike. So I'm using Troy to send Mike home tonight. My concern is if Jay finds out what's really going on because if Jay gets suspicious and gets to Troy and Troy gets nervous, that could be trouble"&amp;" because I still have to keep my options open, and who knows? I may need those guys for another vote or two.")</f>
        <v>S24 Kim (4/6): Right now, I'm straddling two alliances. I have an all-women’s alliance and I have my Salani alliance with Troy, Jay, and Mike. But now I feel like it's time for the girls to take over this game. I know that Chelsea and the girls will be on board with that, and Troy he's blinded by his dislike of Mike. So I'm using Troy to send Mike home tonight. My concern is if Jay finds out what's really going on because if Jay gets suspicious and gets to Troy and Troy gets nervous, that could be trouble because I still have to keep my options open, and who knows? I may need those guys for another vote or two.</v>
      </c>
      <c r="AJ18" s="4"/>
      <c r="AK18" s="3" t="str">
        <f>IFERROR(__xludf.DUMMYFUNCTION("""COMPUTED_VALUE"""),"S23 Sophie (1/3): I think Coach and I are really on the same page. We both recognize that Brandon has done things in the past but I think you've seen a change in Brandon since the merge. Superficially at least, he is the most loyal, the most trustworthy, "&amp;"the most godly man out here and that's not somebody I would want to go to the final three with.")</f>
        <v>S23 Sophie (1/3): I think Coach and I are really on the same page. We both recognize that Brandon has done things in the past but I think you've seen a change in Brandon since the merge. Superficially at least, he is the most loyal, the most trustworthy, the most godly man out here and that's not somebody I would want to go to the final three with.</v>
      </c>
      <c r="AL18" s="4"/>
      <c r="AM18" s="3" t="str">
        <f>IFERROR(__xludf.DUMMYFUNCTION("""COMPUTED_VALUE"""),"S22 Rob (4/8): Redemption Island is real. I mean, there's a chance Matt could run the gamut over there and come back into this game. Andrea will go back to Matt before she'll stay with me. I know that. So I've got my work cut out for me with Andrea.")</f>
        <v>S22 Rob (4/8): Redemption Island is real. I mean, there's a chance Matt could run the gamut over there and come back into this game. Andrea will go back to Matt before she'll stay with me. I know that. So I've got my work cut out for me with Andrea.</v>
      </c>
      <c r="AN18" s="4"/>
      <c r="AO18" s="3" t="str">
        <f>IFERROR(__xludf.DUMMYFUNCTION("""COMPUTED_VALUE"""),"S21 Fabio (1/3): The elements are definitely a factor out here. I mean, sometimes it’ll rain for four or five hours, you know, our tarp was obviously burned. It was coming in the front. It was cold. You just have to, you have to, like, find a mental happy"&amp;" place and you just gotta say, ""This is temporary. I can deal with it.""")</f>
        <v>S21 Fabio (1/3): The elements are definitely a factor out here. I mean, sometimes it’ll rain for four or five hours, you know, our tarp was obviously burned. It was coming in the front. It was cold. You just have to, you have to, like, find a mental happy place and you just gotta say, "This is temporary. I can deal with it."</v>
      </c>
      <c r="AP18" s="4"/>
      <c r="AQ18" s="3"/>
      <c r="AR18" s="4"/>
      <c r="AS18" s="3"/>
      <c r="AT18" s="4"/>
      <c r="AU18" s="3"/>
      <c r="AV18" s="4"/>
      <c r="AW18" s="3"/>
      <c r="AX18" s="4"/>
      <c r="AY18" s="3"/>
      <c r="AZ18" s="4"/>
      <c r="BA18" s="3"/>
      <c r="BB18" s="4"/>
      <c r="BC18" s="3"/>
      <c r="BD18" s="4"/>
      <c r="BE18" s="3"/>
      <c r="BF18" s="4"/>
      <c r="BG18" s="3"/>
      <c r="BH18" s="4"/>
      <c r="BI18" s="3"/>
      <c r="BJ18" s="4"/>
      <c r="BK18" s="3" t="str">
        <f>IFERROR(__xludf.DUMMYFUNCTION("""COMPUTED_VALUE"""),"S10 Tom (1/3): The rats, they’re going crazy today. I don’t know if, uh, if we’ve gotten sloppy with food or we’re cutting the coconuts too close to the camp or… I just think it’s that the rats have got comfortable with us and realize that we’re not a thr"&amp;"eat to them.")</f>
        <v>S10 Tom (1/3): The rats, they’re going crazy today. I don’t know if, uh, if we’ve gotten sloppy with food or we’re cutting the coconuts too close to the camp or… I just think it’s that the rats have got comfortable with us and realize that we’re not a threat to them.</v>
      </c>
      <c r="BL18" s="4"/>
      <c r="BM18" s="3" t="str">
        <f>IFERROR(__xludf.DUMMYFUNCTION("""COMPUTED_VALUE"""),"S09 Chris (2/4): The challenge definitely showed vulnerability in the women's alliance. Questions arose in their minds as to, you know, where do they stand? Eliza did realize about the pecking order and, um… she didn't like it. We see a weakness right the"&amp;"re. So… it definitely opened up some doors for us to look into.")</f>
        <v>S09 Chris (2/4): The challenge definitely showed vulnerability in the women's alliance. Questions arose in their minds as to, you know, where do they stand? Eliza did realize about the pecking order and, um… she didn't like it. We see a weakness right there. So… it definitely opened up some doors for us to look into.</v>
      </c>
      <c r="BN18" s="4"/>
      <c r="BO18" s="3" t="str">
        <f>IFERROR(__xludf.DUMMYFUNCTION("""COMPUTED_VALUE"""),"S08 Amber (6/6): You're not ever supposed to feel secure in this game, but with Rob and I, I feel 99.9% secure.")</f>
        <v>S08 Amber (6/6): You're not ever supposed to feel secure in this game, but with Rob and I, I feel 99.9% secure.</v>
      </c>
      <c r="BP18" s="4"/>
      <c r="BQ18" s="3" t="str">
        <f>IFERROR(__xludf.DUMMYFUNCTION("""COMPUTED_VALUE"""),"S07 Sandra (1/2): I want Rupert back, 'cause I want to find out what all happened over there, what they talked about, um, if he gave out any pertinent information. Everybody's kind of, um, tripping. They don't know if Rupert went to the other side.")</f>
        <v>S07 Sandra (1/2): I want Rupert back, 'cause I want to find out what all happened over there, what they talked about, um, if he gave out any pertinent information. Everybody's kind of, um, tripping. They don't know if Rupert went to the other side.</v>
      </c>
      <c r="BR18" s="4"/>
      <c r="BS18" s="3"/>
      <c r="BT18" s="4"/>
      <c r="BU18" s="3"/>
      <c r="BV18" s="4"/>
      <c r="BW18" s="3"/>
      <c r="BX18" s="4"/>
      <c r="BY18" s="3"/>
      <c r="BZ18" s="4"/>
      <c r="CA18" s="3"/>
      <c r="CB18" s="4"/>
      <c r="CC18" s="3"/>
      <c r="CD18" s="4"/>
    </row>
    <row r="19">
      <c r="A19" s="3"/>
      <c r="B19" s="4"/>
      <c r="C19" s="3" t="str">
        <f>IFERROR(__xludf.DUMMYFUNCTION("""COMPUTED_VALUE"""),"S40 Tony (2/3): That’s music to my ears, because this is exactly what I wanted. People like Wendell, Nick, Adam and Michele-- they’re good players, but they’re lower profile. They’re not in the spotlight. There’s no target on these people. So now’s the ti"&amp;"me for me to try to get rid of all of them.")</f>
        <v>S40 Tony (2/3): That’s music to my ears, because this is exactly what I wanted. People like Wendell, Nick, Adam and Michele-- they’re good players, but they’re lower profile. They’re not in the spotlight. There’s no target on these people. So now’s the time for me to try to get rid of all of them.</v>
      </c>
      <c r="D19" s="4"/>
      <c r="E19" s="3"/>
      <c r="F19" s="4"/>
      <c r="G19" s="3"/>
      <c r="H19" s="4"/>
      <c r="I19" s="3"/>
      <c r="J19" s="4"/>
      <c r="K19" s="3"/>
      <c r="L19" s="4"/>
      <c r="M19" s="3" t="str">
        <f>IFERROR(__xludf.DUMMYFUNCTION("""COMPUTED_VALUE"""),"S35 Ben (7/7): Chrissy, she trusts me, so tonight am I going to have to break that with Chrissy and vote her out, or break away from the Yawa Five and get a Healer out? I’m sitting in the middle, and having to choose a side, this is the worst thing you ca"&amp;"n do in a million dollar game. But one thing is for certain, tonight is going to be battle lines drawn, alliances aligned. You know, war is not a pretty thing, and it’s not going to be pretty tonight either, because we’re going to war tonight.")</f>
        <v>S35 Ben (7/7): Chrissy, she trusts me, so tonight am I going to have to break that with Chrissy and vote her out, or break away from the Yawa Five and get a Healer out? I’m sitting in the middle, and having to choose a side, this is the worst thing you can do in a million dollar game. But one thing is for certain, tonight is going to be battle lines drawn, alliances aligned. You know, war is not a pretty thing, and it’s not going to be pretty tonight either, because we’re going to war tonight.</v>
      </c>
      <c r="N19" s="4"/>
      <c r="O19" s="3" t="str">
        <f>IFERROR(__xludf.DUMMYFUNCTION("""COMPUTED_VALUE"""),"S34 Sarah (7/11): I promised myself coming out here that I will not make the same mistakes I made the first time I played. What I did in Cagayan was look for the safest route I could go. I sat back, didn’t make a move, and let other people make the decisi"&amp;"ons. That didn’t work, it got me on the jury, and not even close to a shot at a million dollars.")</f>
        <v>S34 Sarah (7/11): I promised myself coming out here that I will not make the same mistakes I made the first time I played. What I did in Cagayan was look for the safest route I could go. I sat back, didn’t make a move, and let other people make the decisions. That didn’t work, it got me on the jury, and not even close to a shot at a million dollars.</v>
      </c>
      <c r="P19" s="4"/>
      <c r="Q19" s="3" t="str">
        <f>IFERROR(__xludf.DUMMYFUNCTION("""COMPUTED_VALUE"""),"S33 Adam (1/10): I made the merge. To get to this point means so much. It really means the world. But this is when things start to get really serious. Like, this is the point of the game where alliances and loyalties are really tested, and the really grea"&amp;"t players get separated from the mediocre players. And I hope that I'm in the former group.")</f>
        <v>S33 Adam (1/10): I made the merge. To get to this point means so much. It really means the world. But this is when things start to get really serious. Like, this is the point of the game where alliances and loyalties are really tested, and the really great players get separated from the mediocre players. And I hope that I'm in the former group.</v>
      </c>
      <c r="R19" s="4"/>
      <c r="S19" s="3" t="str">
        <f>IFERROR(__xludf.DUMMYFUNCTION("""COMPUTED_VALUE"""),"S32 Michele (2/3): Cydney would like to get Nick out. She thinks that he’s a threat and I agree. But he’s also in my alliance, and I do think that I could work with him a little bit longer, so I don’t know if that really works for me right now. The origin"&amp;"al plan was to go with Debbie being out, so there are a lot of choices at this point, and it’s trying to figure out really what’s right for me and Julia.")</f>
        <v>S32 Michele (2/3): Cydney would like to get Nick out. She thinks that he’s a threat and I agree. But he’s also in my alliance, and I do think that I could work with him a little bit longer, so I don’t know if that really works for me right now. The original plan was to go with Debbie being out, so there are a lot of choices at this point, and it’s trying to figure out really what’s right for me and Julia.</v>
      </c>
      <c r="T19" s="4"/>
      <c r="U19" s="3" t="str">
        <f>IFERROR(__xludf.DUMMYFUNCTION("""COMPUTED_VALUE"""),"S31 Jeremy (3/9): I’m pissed off that we lost, and not that we just lost, because we lost by so much. We just got crushed. But with only five other people, they’re cooking and talking and everything, they’re going to let me go and leave me alone, and I we"&amp;"nt and looked for the idol. I wanted to check Tree Mail. And I’m digging around Tree Mail and everything, and nothing around there. The first idol I got was in a tree under leaves, so I was like, “There’s a huge tree at Tree Mail.”")</f>
        <v>S31 Jeremy (3/9): I’m pissed off that we lost, and not that we just lost, because we lost by so much. We just got crushed. But with only five other people, they’re cooking and talking and everything, they’re going to let me go and leave me alone, and I went and looked for the idol. I wanted to check Tree Mail. And I’m digging around Tree Mail and everything, and nothing around there. The first idol I got was in a tree under leaves, so I was like, “There’s a huge tree at Tree Mail.”</v>
      </c>
      <c r="V19" s="4"/>
      <c r="W19" s="3" t="str">
        <f>IFERROR(__xludf.DUMMYFUNCTION("""COMPUTED_VALUE"""),"S30 Mike (2/2): By throwing the challenge today, a little something inside of me died in this game. I'm not going to lie to you. But here's the deal, I'm starting to not trust Rodney. Joaquin is just crafting Rodney in every second, more and more. And in "&amp;"this game, whenever you start showing that you're too close to anybody, you become a power couple. And the power couples have to be split up before they can start making power moves.")</f>
        <v>S30 Mike (2/2): By throwing the challenge today, a little something inside of me died in this game. I'm not going to lie to you. But here's the deal, I'm starting to not trust Rodney. Joaquin is just crafting Rodney in every second, more and more. And in this game, whenever you start showing that you're too close to anybody, you become a power couple. And the power couples have to be split up before they can start making power moves.</v>
      </c>
      <c r="X19" s="4"/>
      <c r="Y19" s="3" t="str">
        <f>IFERROR(__xludf.DUMMYFUNCTION("""COMPUTED_VALUE"""),"S29 Natalie (6/6): When I started closing my eyes and seeing stars and when I felt like I was going to throw up, I knew like, I was going to go out so I figured I might as well get some sustenance in my body even when I lose.")</f>
        <v>S29 Natalie (6/6): When I started closing my eyes and seeing stars and when I felt like I was going to throw up, I knew like, I was going to go out so I figured I might as well get some sustenance in my body even when I lose.</v>
      </c>
      <c r="Z19" s="4"/>
      <c r="AA19" s="3" t="str">
        <f>IFERROR(__xludf.DUMMYFUNCTION("""COMPUTED_VALUE"""),"S28 Tony (2/3): Trish pulls me to the side and says she wants to get rid of Cliff. We need to cut the head off the snake. Which is crazy! I don’t know if she’s bipolar, or schizo. I don’t know what she is. But there’s no reason to do this right now. What "&amp;"we need to do is get rid of LJ. He has the heart, he has the drive, he has the ambition, y’know, he has the strategic mind. So he’s dangerous.")</f>
        <v>S28 Tony (2/3): Trish pulls me to the side and says she wants to get rid of Cliff. We need to cut the head off the snake. Which is crazy! I don’t know if she’s bipolar, or schizo. I don’t know what she is. But there’s no reason to do this right now. What we need to do is get rid of LJ. He has the heart, he has the drive, he has the ambition, y’know, he has the strategic mind. So he’s dangerous.</v>
      </c>
      <c r="AB19" s="4"/>
      <c r="AC19" s="3" t="str">
        <f>IFERROR(__xludf.DUMMYFUNCTION("""COMPUTED_VALUE"""),"S27 Tyson (1/3): You gotta act fast come merge time, so now the only factor in the game is finding out where the Immunity Idols are. When the tribe swap happened, Hayden gave me all the info he knew about the Hidden Immunity Idol. I’m pretty sure it’s at "&amp;"the giant vine tree on the way to the waterfall.")</f>
        <v>S27 Tyson (1/3): You gotta act fast come merge time, so now the only factor in the game is finding out where the Immunity Idols are. When the tribe swap happened, Hayden gave me all the info he knew about the Hidden Immunity Idol. I’m pretty sure it’s at the giant vine tree on the way to the waterfall.</v>
      </c>
      <c r="AD19" s="4"/>
      <c r="AE19" s="3" t="str">
        <f>IFERROR(__xludf.DUMMYFUNCTION("""COMPUTED_VALUE"""),"S26 Cochran (4/7): So when we got back to camp, spirits were understandably a little bit low. We just lost and Phillip he was kind of was sulking around, eyeing out everybody and then he quickly and very covertly pulled me aside and whispered very intense"&amp;"ly… And, you know, my mind starts racing instantly. Has he done something around camp? Is he going to betray Corinne tonight? What could it possibly be?")</f>
        <v>S26 Cochran (4/7): So when we got back to camp, spirits were understandably a little bit low. We just lost and Phillip he was kind of was sulking around, eyeing out everybody and then he quickly and very covertly pulled me aside and whispered very intensely… And, you know, my mind starts racing instantly. Has he done something around camp? Is he going to betray Corinne tonight? What could it possibly be?</v>
      </c>
      <c r="AF19" s="4"/>
      <c r="AG19" s="3" t="str">
        <f>IFERROR(__xludf.DUMMYFUNCTION("""COMPUTED_VALUE"""),"S25 Denise (2/2): Coming to this reward, it's motivational fuel, it's emotional fuel that makes any rice that we gave up totally worth it because now there's this different motivation to just keep going.")</f>
        <v>S25 Denise (2/2): Coming to this reward, it's motivational fuel, it's emotional fuel that makes any rice that we gave up totally worth it because now there's this different motivation to just keep going.</v>
      </c>
      <c r="AH19" s="4"/>
      <c r="AI19" s="3" t="str">
        <f>IFERROR(__xludf.DUMMYFUNCTION("""COMPUTED_VALUE"""),"S24 Kim (5/6): Apparently, Chelsea literally sat there in the shelter in front of the two girls that are not supposed to be a part of our alliance and asked Jay to vote for Mike. That's asinine. We need to keep Troy and Jay thinking it's Salani to the end"&amp;" and now it's kind of become a huge mess. So I'm not exactly sure how this is about to go down.")</f>
        <v>S24 Kim (5/6): Apparently, Chelsea literally sat there in the shelter in front of the two girls that are not supposed to be a part of our alliance and asked Jay to vote for Mike. That's asinine. We need to keep Troy and Jay thinking it's Salani to the end and now it's kind of become a huge mess. So I'm not exactly sure how this is about to go down.</v>
      </c>
      <c r="AJ19" s="4"/>
      <c r="AK19" s="3" t="str">
        <f>IFERROR(__xludf.DUMMYFUNCTION("""COMPUTED_VALUE"""),"S23 Sophie (2/3): Today, worst-case scenario happened. Brandon won immunity. We were hoping to get Brandon out tonight so I feel like the way to go right now is Albert. Coach and I both agree that Albert has just been getting on our nerves more and more a"&amp;"nd more since the merge. He's been sneaky. He thinks he's more strategic than everyone else. Everything he does is the smartest, most strategic decision possible and more and more, I'm feeling like Albert should go home tonight.")</f>
        <v>S23 Sophie (2/3): Today, worst-case scenario happened. Brandon won immunity. We were hoping to get Brandon out tonight so I feel like the way to go right now is Albert. Coach and I both agree that Albert has just been getting on our nerves more and more and more since the merge. He's been sneaky. He thinks he's more strategic than everyone else. Everything he does is the smartest, most strategic decision possible and more and more, I'm feeling like Albert should go home tonight.</v>
      </c>
      <c r="AL19" s="4"/>
      <c r="AM19" s="3" t="str">
        <f>IFERROR(__xludf.DUMMYFUNCTION("""COMPUTED_VALUE"""),"S22 Rob (5/8): We won today's Immunity and Reward Challenge, and normally, that would put me through the roof happy. But now we have these little things called Hidden Immunity Idols. Now I know enough that there's probably a clue to that Hidden Immunity I"&amp;"dol somewhere hidden within our reward, and it was almost as if there was no time to celebrate because everybody's looking for where the clue could be. The game is always on. In the past, I ignored the Hidden Immunity Idol. Well, that didn't turn out too "&amp;"good for me. So this time around I decided maybe I can learn something, too. So I'm starting to look for 'em, and I'm starting to be diligent about it. I went through everything. And it was nowhere. And I look over and I see Phillip's fat ass bending the "&amp;"chair about to break it.")</f>
        <v>S22 Rob (5/8): We won today's Immunity and Reward Challenge, and normally, that would put me through the roof happy. But now we have these little things called Hidden Immunity Idols. Now I know enough that there's probably a clue to that Hidden Immunity Idol somewhere hidden within our reward, and it was almost as if there was no time to celebrate because everybody's looking for where the clue could be. The game is always on. In the past, I ignored the Hidden Immunity Idol. Well, that didn't turn out too good for me. So this time around I decided maybe I can learn something, too. So I'm starting to look for 'em, and I'm starting to be diligent about it. I went through everything. And it was nowhere. And I look over and I see Phillip's fat ass bending the chair about to break it.</v>
      </c>
      <c r="AN19" s="4"/>
      <c r="AO19" s="3" t="str">
        <f>IFERROR(__xludf.DUMMYFUNCTION("""COMPUTED_VALUE"""),"S21 Fabio (2/3): After the challenge today, Holly stepped up and said, ""You know what? I'll forfeit my reward for tarp and rice and I can eat hot dogs whenever."" And I-- it was a pretty cool gesture, you know? Holly is a genuine person. She likes doing "&amp;"nice things for people. It was great for me. I wasn't going on the reward anyways. So now we just got extra rice and an extra tarp.")</f>
        <v>S21 Fabio (2/3): After the challenge today, Holly stepped up and said, "You know what? I'll forfeit my reward for tarp and rice and I can eat hot dogs whenever." And I-- it was a pretty cool gesture, you know? Holly is a genuine person. She likes doing nice things for people. It was great for me. I wasn't going on the reward anyways. So now we just got extra rice and an extra tarp.</v>
      </c>
      <c r="AP19" s="4"/>
      <c r="AQ19" s="3"/>
      <c r="AR19" s="4"/>
      <c r="AS19" s="3"/>
      <c r="AT19" s="4"/>
      <c r="AU19" s="3"/>
      <c r="AV19" s="4"/>
      <c r="AW19" s="3"/>
      <c r="AX19" s="4"/>
      <c r="AY19" s="3"/>
      <c r="AZ19" s="4"/>
      <c r="BA19" s="3"/>
      <c r="BB19" s="4"/>
      <c r="BC19" s="3"/>
      <c r="BD19" s="4"/>
      <c r="BE19" s="3"/>
      <c r="BF19" s="4"/>
      <c r="BG19" s="3"/>
      <c r="BH19" s="4"/>
      <c r="BI19" s="3"/>
      <c r="BJ19" s="4"/>
      <c r="BK19" s="3" t="str">
        <f>IFERROR(__xludf.DUMMYFUNCTION("""COMPUTED_VALUE"""),"S10 Tom (2/3): Jenn was crestfallen that she wasn’t going to get in, and I had to assert myself, and it’s something I’ve been trying not to do. But there were people within the tribe who actually thought that the first fresh water that we’ve seen in 19 da"&amp;"ys should actually be used for shower purposes. It’s ridiculous.")</f>
        <v>S10 Tom (2/3): Jenn was crestfallen that she wasn’t going to get in, and I had to assert myself, and it’s something I’ve been trying not to do. But there were people within the tribe who actually thought that the first fresh water that we’ve seen in 19 days should actually be used for shower purposes. It’s ridiculous.</v>
      </c>
      <c r="BL19" s="4"/>
      <c r="BM19" s="3" t="str">
        <f>IFERROR(__xludf.DUMMYFUNCTION("""COMPUTED_VALUE"""),"S09 Chris (3/4): One of the ideas we come up out there was to try to convince the women that Eliza feels vulnerable. That she doesn't trust her position. That she's unhappy with when she was selected in that challenge and that, possibly, she's been talkin"&amp;"g to us about jumping over with us.")</f>
        <v>S09 Chris (3/4): One of the ideas we come up out there was to try to convince the women that Eliza feels vulnerable. That she doesn't trust her position. That she's unhappy with when she was selected in that challenge and that, possibly, she's been talking to us about jumping over with us.</v>
      </c>
      <c r="BN19" s="4"/>
      <c r="BO19" s="3" t="str">
        <f>IFERROR(__xludf.DUMMYFUNCTION("""COMPUTED_VALUE"""),"S08 Amber (1/7): I definitely feel like I'm the one who got screwed in this whole situation. Oh. Gosh, I was so mad. When Jeff held up the new pot full of buffs, and we're all picking them out, one by one, really, the main thought that was going through m"&amp;"y head was, ""Let me just pull the same color that Rob pulls.""")</f>
        <v>S08 Amber (1/7): I definitely feel like I'm the one who got screwed in this whole situation. Oh. Gosh, I was so mad. When Jeff held up the new pot full of buffs, and we're all picking them out, one by one, really, the main thought that was going through my head was, "Let me just pull the same color that Rob pulls."</v>
      </c>
      <c r="BP19" s="4"/>
      <c r="BQ19" s="3" t="str">
        <f>IFERROR(__xludf.DUMMYFUNCTION("""COMPUTED_VALUE"""),"S07 Sandra (2/2): I am so worried because I feel like it's my fault that we lost the Immunity Challenge. I just couldn't get the sardine down. And so, I feel when we go to Tribal Council tonight that, why shouldn't I be the one going home if this is all m"&amp;"y fault?")</f>
        <v>S07 Sandra (2/2): I am so worried because I feel like it's my fault that we lost the Immunity Challenge. I just couldn't get the sardine down. And so, I feel when we go to Tribal Council tonight that, why shouldn't I be the one going home if this is all my fault?</v>
      </c>
      <c r="BR19" s="4"/>
      <c r="BS19" s="3"/>
      <c r="BT19" s="4"/>
      <c r="BU19" s="3"/>
      <c r="BV19" s="4"/>
      <c r="BW19" s="3"/>
      <c r="BX19" s="4"/>
      <c r="BY19" s="3"/>
      <c r="BZ19" s="4"/>
      <c r="CA19" s="3"/>
      <c r="CB19" s="4"/>
      <c r="CC19" s="3"/>
      <c r="CD19" s="4"/>
    </row>
    <row r="20">
      <c r="A20" s="3"/>
      <c r="B20" s="4"/>
      <c r="C20" s="3" t="str">
        <f>IFERROR(__xludf.DUMMYFUNCTION("""COMPUTED_VALUE"""),"S40 Tony (3/3): I want to keep the higher profile threats, us lions, in the game. And Nick is a player that is that hyena that I talked about. He just stays on the outskirts. He just waits for the lions to go at it, and that’s when he comes in to see what"&amp;" he can get. He’s like a scavenger.")</f>
        <v>S40 Tony (3/3): I want to keep the higher profile threats, us lions, in the game. And Nick is a player that is that hyena that I talked about. He just stays on the outskirts. He just waits for the lions to go at it, and that’s when he comes in to see what he can get. He’s like a scavenger.</v>
      </c>
      <c r="D20" s="4"/>
      <c r="E20" s="3"/>
      <c r="F20" s="4"/>
      <c r="G20" s="3"/>
      <c r="H20" s="4"/>
      <c r="I20" s="3"/>
      <c r="J20" s="4"/>
      <c r="K20" s="3"/>
      <c r="L20" s="4"/>
      <c r="M20" s="3" t="str">
        <f>IFERROR(__xludf.DUMMYFUNCTION("""COMPUTED_VALUE"""),"S35 Ben (1/8): Lauren and I put a plan in play, and executed it, and got our target out. So, it was, uh, it was a good feeling. If I can keep the reins on this Hero-Hustler group and get us to a seven, I will, but I’m worried about the individual part, be"&amp;"cause an individual can mess this whole thing up.")</f>
        <v>S35 Ben (1/8): Lauren and I put a plan in play, and executed it, and got our target out. So, it was, uh, it was a good feeling. If I can keep the reins on this Hero-Hustler group and get us to a seven, I will, but I’m worried about the individual part, because an individual can mess this whole thing up.</v>
      </c>
      <c r="N20" s="4"/>
      <c r="O20" s="3" t="str">
        <f>IFERROR(__xludf.DUMMYFUNCTION("""COMPUTED_VALUE"""),"S34 Sarah (8/11): There’s small windows of opportunities in this game, and if you miss them, you’re not gonna win. However, this game is all about timing, and I’m not sure the time is right to make a big move, but I’m ready for it in the event that it is.")</f>
        <v>S34 Sarah (8/11): There’s small windows of opportunities in this game, and if you miss them, you’re not gonna win. However, this game is all about timing, and I’m not sure the time is right to make a big move, but I’m ready for it in the event that it is.</v>
      </c>
      <c r="P20" s="4"/>
      <c r="Q20" s="3" t="str">
        <f>IFERROR(__xludf.DUMMYFUNCTION("""COMPUTED_VALUE"""),"S33 Adam (2/10): My philosophy here is that having a merge feast, it's nice, it's fun, I like to eat, but do I need it? No. And almost every merge in Survivor, there's going to be a merge idol out here somewhere. And I know this camp well. I was the only "&amp;"person that's been able to find an idol here. So if there is an idol out here, I feel like I may have a good chance to actually find something. I take a look at Tree Mail, I look up, and there's a note. I grab it. I open it up, but there's no idol. So I'm"&amp;" like, ""What's going on here?""")</f>
        <v>S33 Adam (2/10): My philosophy here is that having a merge feast, it's nice, it's fun, I like to eat, but do I need it? No. And almost every merge in Survivor, there's going to be a merge idol out here somewhere. And I know this camp well. I was the only person that's been able to find an idol here. So if there is an idol out here, I feel like I may have a good chance to actually find something. I take a look at Tree Mail, I look up, and there's a note. I grab it. I open it up, but there's no idol. So I'm like, "What's going on here?"</v>
      </c>
      <c r="R20" s="4"/>
      <c r="S20" s="3" t="str">
        <f>IFERROR(__xludf.DUMMYFUNCTION("""COMPUTED_VALUE"""),"S32 Michele (3/3): You definitely feel the electricity in the air before Tribal. There is a power struggle happening right now and it’s really evident in camp. There’s a lot of big egos, a lot of personality. I want to be able to make a move that does sol"&amp;"idify my title as somebody who earned it, and it’s all figuring out timing.")</f>
        <v>S32 Michele (3/3): You definitely feel the electricity in the air before Tribal. There is a power struggle happening right now and it’s really evident in camp. There’s a lot of big egos, a lot of personality. I want to be able to make a move that does solidify my title as somebody who earned it, and it’s all figuring out timing.</v>
      </c>
      <c r="T20" s="4"/>
      <c r="U20" s="3" t="str">
        <f>IFERROR(__xludf.DUMMYFUNCTION("""COMPUTED_VALUE"""),"S31 Jeremy (4/9): When I turned around, like, it was just staring at me.")</f>
        <v>S31 Jeremy (4/9): When I turned around, like, it was just staring at me.</v>
      </c>
      <c r="V20" s="4"/>
      <c r="W20" s="3" t="str">
        <f>IFERROR(__xludf.DUMMYFUNCTION("""COMPUTED_VALUE"""),"S30 Mike (1/7): I knew by the look on Rodney's face that he was pissed and there had to be some damage control done. This is the second time that we have had to have one of our members on the out because they were too close to the situation. Anytime that "&amp;"you blindside somebody, it can cause a big rift in this game. So... hopefully, he doesn't take it too personal.")</f>
        <v>S30 Mike (1/7): I knew by the look on Rodney's face that he was pissed and there had to be some damage control done. This is the second time that we have had to have one of our members on the out because they were too close to the situation. Anytime that you blindside somebody, it can cause a big rift in this game. So... hopefully, he doesn't take it too personal.</v>
      </c>
      <c r="X20" s="4"/>
      <c r="Y20" s="3" t="str">
        <f>IFERROR(__xludf.DUMMYFUNCTION("""COMPUTED_VALUE"""),"S29 Natalie (1/5): Jon keeps saying that he knew he was going to play the idol which is total bullcrap. He wasn't going to play it and I convinced him to play it but Jon is so concerned with looking like he's the mastermind of everything he does, but he's"&amp;" really not at all.")</f>
        <v>S29 Natalie (1/5): Jon keeps saying that he knew he was going to play the idol which is total bullcrap. He wasn't going to play it and I convinced him to play it but Jon is so concerned with looking like he's the mastermind of everything he does, but he's really not at all.</v>
      </c>
      <c r="Z20" s="4"/>
      <c r="AA20" s="3" t="str">
        <f>IFERROR(__xludf.DUMMYFUNCTION("""COMPUTED_VALUE"""),"S28 Tony (3/3): Here’s the deal: I don’t like Cliff. I didn’t trust him from the beginning because Cliff is a very influential person and he wraps people around his finger which makes him a very dangerous person. But! If we get rid of Cliff, I’m putting a"&amp;"ll my cards on LJ. Do I trust him? Hell no! So I don’t know what I’m gonna do.")</f>
        <v>S28 Tony (3/3): Here’s the deal: I don’t like Cliff. I didn’t trust him from the beginning because Cliff is a very influential person and he wraps people around his finger which makes him a very dangerous person. But! If we get rid of Cliff, I’m putting all my cards on LJ. Do I trust him? Hell no! So I don’t know what I’m gonna do.</v>
      </c>
      <c r="AB20" s="4"/>
      <c r="AC20" s="3" t="str">
        <f>IFERROR(__xludf.DUMMYFUNCTION("""COMPUTED_VALUE"""),"S27 Tyson (2/3): Ta-da! I’m definitely not sharing this with anybody else right now. I mean, if it becomes my advantage to share it with somebody in my alliance to keep them in the game and push somebody else out, then that’s something I’ll definitely do."&amp;" But right now, nobody needs to know I have it. I stepped on that probably like, twenty times. Let's see how sweet it is. I hope it's solid gold. Try it on, make sure it fits. Hooray! I’ve never had an idol before and I’ve also never won the show before. "&amp;"So, do those correlate directly with one another? Probably not, but at least it’s a little more advantage.")</f>
        <v>S27 Tyson (2/3): Ta-da! I’m definitely not sharing this with anybody else right now. I mean, if it becomes my advantage to share it with somebody in my alliance to keep them in the game and push somebody else out, then that’s something I’ll definitely do. But right now, nobody needs to know I have it. I stepped on that probably like, twenty times. Let's see how sweet it is. I hope it's solid gold. Try it on, make sure it fits. Hooray! I’ve never had an idol before and I’ve also never won the show before. So, do those correlate directly with one another? Probably not, but at least it’s a little more advantage.</v>
      </c>
      <c r="AD20" s="4"/>
      <c r="AE20" s="3" t="str">
        <f>IFERROR(__xludf.DUMMYFUNCTION("""COMPUTED_VALUE"""),"S26 Cochran (5/7): It all makes sense! We had to throw the challenge in order to get rid of one of these Fans or else we were doomed. And that's the only reason why Phillip was unable to successfully throw a grappling hook. I mean, it's complete crap. You"&amp;" can't make up this level of delusion and that's what excites me about playing with Phillip. I think he's actually, at this point, convinced that he threw the challenge. He wasn't throwing the challenge, he was trying his hardest, he was in full spy mode."&amp;" Can you imagine the speech he would have given back at camp had he successfully thrown a grappling hook, the spy's basic tool, at a challenge and won the challenge for us? It's just… (chuckles) it's-it’s absurd!")</f>
        <v>S26 Cochran (5/7): It all makes sense! We had to throw the challenge in order to get rid of one of these Fans or else we were doomed. And that's the only reason why Phillip was unable to successfully throw a grappling hook. I mean, it's complete crap. You can't make up this level of delusion and that's what excites me about playing with Phillip. I think he's actually, at this point, convinced that he threw the challenge. He wasn't throwing the challenge, he was trying his hardest, he was in full spy mode. Can you imagine the speech he would have given back at camp had he successfully thrown a grappling hook, the spy's basic tool, at a challenge and won the challenge for us? It's just… (chuckles) it's-it’s absurd!</v>
      </c>
      <c r="AF20" s="4"/>
      <c r="AG20" s="3" t="str">
        <f>IFERROR(__xludf.DUMMYFUNCTION("""COMPUTED_VALUE"""),"S25 Denise (1/2): Coming back from the sixth Tribal Council in a row, I'm just glad I'm back, but it's like déjà vu. It's just one after the other. I’m wondering, “Am I cursed? You know, have I brought something to this tribe?”")</f>
        <v>S25 Denise (1/2): Coming back from the sixth Tribal Council in a row, I'm just glad I'm back, but it's like déjà vu. It's just one after the other. I’m wondering, “Am I cursed? You know, have I brought something to this tribe?”</v>
      </c>
      <c r="AH20" s="4"/>
      <c r="AI20" s="3" t="str">
        <f>IFERROR(__xludf.DUMMYFUNCTION("""COMPUTED_VALUE"""),"S24 Kim (6/6): I'm torn over what to do because it's a huge move to take out the guys in our alliance, and, unfortunately, Jay freaked out. So are we gonna, like, cause a major uproar, go with the women's alliance, and vote off Mike? Or do we vote off Chr"&amp;"istina, keep Salani together? So we're gonna have to make a choice and go with it. But whatever happens, is gonna change the whole game.")</f>
        <v>S24 Kim (6/6): I'm torn over what to do because it's a huge move to take out the guys in our alliance, and, unfortunately, Jay freaked out. So are we gonna, like, cause a major uproar, go with the women's alliance, and vote off Mike? Or do we vote off Christina, keep Salani together? So we're gonna have to make a choice and go with it. But whatever happens, is gonna change the whole game.</v>
      </c>
      <c r="AJ20" s="4"/>
      <c r="AK20" s="3" t="str">
        <f>IFERROR(__xludf.DUMMYFUNCTION("""COMPUTED_VALUE"""),"S23 Sophie (3/3): It's so gratifying seeing everything with Albert being exposed because now, instead of a nice little blindside, he gets to go out looking even more pathetic than he's looked this whole game. It's like he's in the toilet bowl, and Brandon"&amp;" and Coach and I and Rick, we all get to have a little chance at flushing him down. Um, he keeps kind of scrambling back up, but I think Jeff will put the final (chuckles) flush tonight.")</f>
        <v>S23 Sophie (3/3): It's so gratifying seeing everything with Albert being exposed because now, instead of a nice little blindside, he gets to go out looking even more pathetic than he's looked this whole game. It's like he's in the toilet bowl, and Brandon and Coach and I and Rick, we all get to have a little chance at flushing him down. Um, he keeps kind of scrambling back up, but I think Jeff will put the final (chuckles) flush tonight.</v>
      </c>
      <c r="AL20" s="4"/>
      <c r="AM20" s="3" t="str">
        <f>IFERROR(__xludf.DUMMYFUNCTION("""COMPUTED_VALUE"""),"S22 Rob (6/8): I looked down and the Hidden Immunity Idol clue is right underneath his ass. It's sitting, sewn inside the fabric of the chair.")</f>
        <v>S22 Rob (6/8): I looked down and the Hidden Immunity Idol clue is right underneath his ass. It's sitting, sewn inside the fabric of the chair.</v>
      </c>
      <c r="AN20" s="4"/>
      <c r="AO20" s="3" t="str">
        <f>IFERROR(__xludf.DUMMYFUNCTION("""COMPUTED_VALUE"""),"S21 Fabio (3/3): I wanna win. Quitting has not crossed my mind. We're going to Tribal Council tonight which automatically is not fun, you know? And Purple Kelly and NaOnka are going to decide if they want to go home. So we'll see. Uh, it's going to be int"&amp;"eresting.")</f>
        <v>S21 Fabio (3/3): I wanna win. Quitting has not crossed my mind. We're going to Tribal Council tonight which automatically is not fun, you know? And Purple Kelly and NaOnka are going to decide if they want to go home. So we'll see. Uh, it's going to be interesting.</v>
      </c>
      <c r="AP20" s="4"/>
      <c r="AQ20" s="3"/>
      <c r="AR20" s="4"/>
      <c r="AS20" s="3"/>
      <c r="AT20" s="4"/>
      <c r="AU20" s="3"/>
      <c r="AV20" s="4"/>
      <c r="AW20" s="3"/>
      <c r="AX20" s="4"/>
      <c r="AY20" s="3"/>
      <c r="AZ20" s="4"/>
      <c r="BA20" s="3"/>
      <c r="BB20" s="4"/>
      <c r="BC20" s="3"/>
      <c r="BD20" s="4"/>
      <c r="BE20" s="3"/>
      <c r="BF20" s="4"/>
      <c r="BG20" s="3"/>
      <c r="BH20" s="4"/>
      <c r="BI20" s="3"/>
      <c r="BJ20" s="4"/>
      <c r="BK20" s="3" t="str">
        <f>IFERROR(__xludf.DUMMYFUNCTION("""COMPUTED_VALUE"""),"S10 Tom (3/3): Katie and Ian and I hooked up on Day 2, and said let’s see how far we can take this, and Stephenie also was part of that group. Except for myself, Ian and Katie, nobody even knows that there is a relationship that Stephenie would be the wol"&amp;"f in the sheep’s clothing that they wouldn’t even see coming.")</f>
        <v>S10 Tom (3/3): Katie and Ian and I hooked up on Day 2, and said let’s see how far we can take this, and Stephenie also was part of that group. Except for myself, Ian and Katie, nobody even knows that there is a relationship that Stephenie would be the wolf in the sheep’s clothing that they wouldn’t even see coming.</v>
      </c>
      <c r="BL20" s="4"/>
      <c r="BM20" s="3" t="str">
        <f>IFERROR(__xludf.DUMMYFUNCTION("""COMPUTED_VALUE"""),"S09 Chris (4/4): In this game, your strategy changes just immediately, and since the ladies got here, I learned real quick, from the first night, that you gotta watch what you say, that they're a tight-knit group and that if you want to survive, you're go"&amp;"nna have to please ‘em. I've been in an alliance with Sarge and Chad since Day 1. We don't have the numbers. Unless we can pull something off with Twila and Eliza, it's over.")</f>
        <v>S09 Chris (4/4): In this game, your strategy changes just immediately, and since the ladies got here, I learned real quick, from the first night, that you gotta watch what you say, that they're a tight-knit group and that if you want to survive, you're gonna have to please ‘em. I've been in an alliance with Sarge and Chad since Day 1. We don't have the numbers. Unless we can pull something off with Twila and Eliza, it's over.</v>
      </c>
      <c r="BN20" s="4"/>
      <c r="BO20" s="3" t="str">
        <f>IFERROR(__xludf.DUMMYFUNCTION("""COMPUTED_VALUE"""),"S08 Amber (2/7): It's a little strange having everybody here. It's definitely not home without the people that belong here. It kind of sucks.")</f>
        <v>S08 Amber (2/7): It's a little strange having everybody here. It's definitely not home without the people that belong here. It kind of sucks.</v>
      </c>
      <c r="BP20" s="4"/>
      <c r="BQ20" s="3" t="str">
        <f>IFERROR(__xludf.DUMMYFUNCTION("""COMPUTED_VALUE"""),"S07 Sandra (1/4): So, everybody starts taking the shelter apart and what happened? Shawn told Jon, ""Well… l think this is all a waste of time. I don't think we should be wasting our energy doing all of this."" Shawn kept looking for excuses why not to he"&amp;"lp and Jon's, like, had it up to here with him.")</f>
        <v>S07 Sandra (1/4): So, everybody starts taking the shelter apart and what happened? Shawn told Jon, "Well… l think this is all a waste of time. I don't think we should be wasting our energy doing all of this." Shawn kept looking for excuses why not to help and Jon's, like, had it up to here with him.</v>
      </c>
      <c r="BR20" s="4"/>
      <c r="BS20" s="3"/>
      <c r="BT20" s="4"/>
      <c r="BU20" s="3"/>
      <c r="BV20" s="4"/>
      <c r="BW20" s="3"/>
      <c r="BX20" s="4"/>
      <c r="BY20" s="3"/>
      <c r="BZ20" s="4"/>
      <c r="CA20" s="3"/>
      <c r="CB20" s="4"/>
      <c r="CC20" s="3"/>
      <c r="CD20" s="4"/>
    </row>
    <row r="21">
      <c r="A21" s="3"/>
      <c r="B21" s="4"/>
      <c r="C21" s="3" t="str">
        <f>IFERROR(__xludf.DUMMYFUNCTION("""COMPUTED_VALUE"""),"S40 Tony (1/2): Wow. Sarah got caught up in the moment, and that one moment on Survivor is what costs you the game sometimes, when you can’t get out of that emotional, realistic, humane moment to be that barbaric survivor that you need to be.")</f>
        <v>S40 Tony (1/2): Wow. Sarah got caught up in the moment, and that one moment on Survivor is what costs you the game sometimes, when you can’t get out of that emotional, realistic, humane moment to be that barbaric survivor that you need to be.</v>
      </c>
      <c r="D21" s="4"/>
      <c r="E21" s="3"/>
      <c r="F21" s="4"/>
      <c r="G21" s="3"/>
      <c r="H21" s="4"/>
      <c r="I21" s="3"/>
      <c r="J21" s="4"/>
      <c r="K21" s="3"/>
      <c r="L21" s="4"/>
      <c r="M21" s="3" t="str">
        <f>IFERROR(__xludf.DUMMYFUNCTION("""COMPUTED_VALUE"""),"S35 Ben (2/8): Cole’s digging his own grave at this point. You don’t want your enemies to know you have the idol, and he blatantly went out there running and just started digging.")</f>
        <v>S35 Ben (2/8): Cole’s digging his own grave at this point. You don’t want your enemies to know you have the idol, and he blatantly went out there running and just started digging.</v>
      </c>
      <c r="N21" s="4"/>
      <c r="O21" s="3" t="str">
        <f>IFERROR(__xludf.DUMMYFUNCTION("""COMPUTED_VALUE"""),"S34 Sarah (9/11): The plan was made without even asking me, and I realized at that point, I’m not high in the pecking order in that sixsome. So it might be time for me to make my move.")</f>
        <v>S34 Sarah (9/11): The plan was made without even asking me, and I realized at that point, I’m not high in the pecking order in that sixsome. So it might be time for me to make my move.</v>
      </c>
      <c r="P21" s="4"/>
      <c r="Q21" s="3" t="str">
        <f>IFERROR(__xludf.DUMMYFUNCTION("""COMPUTED_VALUE"""),"S33 Adam (3/10): I know everything about this game, and this is certainly a first. And it's exciting to be a part of Survivor history, to have a new power that nobody has ever had in this game before. I think I'm in one of the best positions in this game "&amp;"and I have an idol. And so I'm going to sit on this and use this on something that really matters.")</f>
        <v>S33 Adam (3/10): I know everything about this game, and this is certainly a first. And it's exciting to be a part of Survivor history, to have a new power that nobody has ever had in this game before. I think I'm in one of the best positions in this game and I have an idol. And so I'm going to sit on this and use this on something that really matters.</v>
      </c>
      <c r="R21" s="4"/>
      <c r="S21" s="3" t="str">
        <f>IFERROR(__xludf.DUMMYFUNCTION("""COMPUTED_VALUE"""),"S32 Michele (1/2): The boys think that they can break us down and keep us down by doing these things, but we just use our smarts and figure out another way. We don’t need you big burly men to do it for us. We can figure it out. Within twenty minutes, we f"&amp;"igured out a new method.")</f>
        <v>S32 Michele (1/2): The boys think that they can break us down and keep us down by doing these things, but we just use our smarts and figure out another way. We don’t need you big burly men to do it for us. We can figure it out. Within twenty minutes, we figured out a new method.</v>
      </c>
      <c r="T21" s="4"/>
      <c r="U21" s="3" t="str">
        <f>IFERROR(__xludf.DUMMYFUNCTION("""COMPUTED_VALUE"""),"S31 Jeremy (5/9): (reading clue) “But it will require you to be sly and inconspicuous. Tonight, after everyone else lies down to go to sleep, you’ll make your move. Follow the map and look for the lantern. There you will find the security you seek.” (show"&amp;"s map to camera) So it’s like the same trail that we did for the merge.")</f>
        <v>S31 Jeremy (5/9): (reading clue) “But it will require you to be sly and inconspicuous. Tonight, after everyone else lies down to go to sleep, you’ll make your move. Follow the map and look for the lantern. There you will find the security you seek.” (shows map to camera) So it’s like the same trail that we did for the merge.</v>
      </c>
      <c r="V21" s="4"/>
      <c r="W21" s="3" t="str">
        <f>IFERROR(__xludf.DUMMYFUNCTION("""COMPUTED_VALUE"""),"S30 Mike (2/7): Now it's one tribe, and we're left with the responsibility of making a new world for ourselves. One people, battling it out for a million dollars.")</f>
        <v>S30 Mike (2/7): Now it's one tribe, and we're left with the responsibility of making a new world for ourselves. One people, battling it out for a million dollars.</v>
      </c>
      <c r="X21" s="4"/>
      <c r="Y21" s="3" t="str">
        <f>IFERROR(__xludf.DUMMYFUNCTION("""COMPUTED_VALUE"""),"S29 Natalie (2/5): Riding horses was amazing. We got to see, like, Nicaragua from another view. We weren't stuck on a beach anymore and we were just taking it all in. It was absolutely magnificent. I don't think I'll ever forget, you know, the experience.")</f>
        <v>S29 Natalie (2/5): Riding horses was amazing. We got to see, like, Nicaragua from another view. We weren't stuck on a beach anymore and we were just taking it all in. It was absolutely magnificent. I don't think I'll ever forget, you know, the experience.</v>
      </c>
      <c r="Z21" s="4"/>
      <c r="AA21" s="3" t="str">
        <f>IFERROR(__xludf.DUMMYFUNCTION("""COMPUTED_VALUE"""),"S28 Tony (1/6): Just as we expected: you turn the head, the body always follows. She was the body, Cliff was the head. She followed right behind him out the exit door. And it was a beautiful thing. Two for the price of one.")</f>
        <v>S28 Tony (1/6): Just as we expected: you turn the head, the body always follows. She was the body, Cliff was the head. She followed right behind him out the exit door. And it was a beautiful thing. Two for the price of one.</v>
      </c>
      <c r="AB21" s="4"/>
      <c r="AC21" s="3" t="str">
        <f>IFERROR(__xludf.DUMMYFUNCTION("""COMPUTED_VALUE"""),"S27 Tyson (3/3): I needed to tell Monica about the plan to get Aras out because, you know, you have to show her a little love, you have to show her some respect just to solidify the numbers. But, she just likes to repeat the same idea over and over and ov"&amp;"er again. And I don’t want to be rude to her because I need to keep her close. At some point, you just have to be like, “Monica, shut up.” And I’m just, like, (sighs) “Give me a rusty spoon so I can dig both my eyeballs out and then jam-- try and jam it t"&amp;"hrough my eye socket into my brain.” It’s taking all of my patience, all of it.")</f>
        <v>S27 Tyson (3/3): I needed to tell Monica about the plan to get Aras out because, you know, you have to show her a little love, you have to show her some respect just to solidify the numbers. But, she just likes to repeat the same idea over and over and over again. And I don’t want to be rude to her because I need to keep her close. At some point, you just have to be like, “Monica, shut up.” And I’m just, like, (sighs) “Give me a rusty spoon so I can dig both my eyeballs out and then jam-- try and jam it through my eye socket into my brain.” It’s taking all of my patience, all of it.</v>
      </c>
      <c r="AD21" s="4"/>
      <c r="AE21" s="3" t="str">
        <f>IFERROR(__xludf.DUMMYFUNCTION("""COMPUTED_VALUE"""),"S26 Cochran (6/7): The numbers within this current tribe are four Favorites and two Fans. That numbers advantage means that the four of us can split our votes across the two remaining Fans, flush out any possible idols and on the revote we can get rid of "&amp;"Julia.")</f>
        <v>S26 Cochran (6/7): The numbers within this current tribe are four Favorites and two Fans. That numbers advantage means that the four of us can split our votes across the two remaining Fans, flush out any possible idols and on the revote we can get rid of Julia.</v>
      </c>
      <c r="AF21" s="4"/>
      <c r="AG21" s="3" t="str">
        <f>IFERROR(__xludf.DUMMYFUNCTION("""COMPUTED_VALUE"""),"S25 Denise (2/2): Kalabaw, we're going to stay four strong. We need two to shift that balance and have a majority. So my plan is to stick with the alliance that I've got going with Kalabaw, but at the same time, I truly would like to go back to my origina"&amp;"l alliance with Malcolm.")</f>
        <v>S25 Denise (2/2): Kalabaw, we're going to stay four strong. We need two to shift that balance and have a majority. So my plan is to stick with the alliance that I've got going with Kalabaw, but at the same time, I truly would like to go back to my original alliance with Malcolm.</v>
      </c>
      <c r="AH21" s="4"/>
      <c r="AI21" s="3" t="str">
        <f>IFERROR(__xludf.DUMMYFUNCTION("""COMPUTED_VALUE"""),"S24 Kim (1/5): It's definitely a win-win to have another guy gone and know the women are in the majority and, you know, Mike's gone. So my hope all along has been that everybody will think I'm just kind of calm, and soft spoken, and maybe a little forgett"&amp;"able, and not calling the shots. But I do think, at the end of the game, if I can sit there with the three, I do think the people on the jury will know that I was making most of these decisions.")</f>
        <v>S24 Kim (1/5): It's definitely a win-win to have another guy gone and know the women are in the majority and, you know, Mike's gone. So my hope all along has been that everybody will think I'm just kind of calm, and soft spoken, and maybe a little forgettable, and not calling the shots. But I do think, at the end of the game, if I can sit there with the three, I do think the people on the jury will know that I was making most of these decisions.</v>
      </c>
      <c r="AJ21" s="4"/>
      <c r="AK21" s="3" t="str">
        <f>IFERROR(__xludf.DUMMYFUNCTION("""COMPUTED_VALUE"""),"S23 Sophie: I mean, I'm the brains behind the operation.")</f>
        <v>S23 Sophie: I mean, I'm the brains behind the operation.</v>
      </c>
      <c r="AL21" s="4"/>
      <c r="AM21" s="3" t="str">
        <f>IFERROR(__xludf.DUMMYFUNCTION("""COMPUTED_VALUE"""),"S22 Rob (7/8): How lucky was that? Had Phillip not been so fat, that chair wouldn't have been bending as much and I wouldn't have told him to move.")</f>
        <v>S22 Rob (7/8): How lucky was that? Had Phillip not been so fat, that chair wouldn't have been bending as much and I wouldn't have told him to move.</v>
      </c>
      <c r="AN21" s="4"/>
      <c r="AO21" s="3" t="str">
        <f>IFERROR(__xludf.DUMMYFUNCTION("""COMPUTED_VALUE"""),"S21 Fabio (1/2): My instincts tell me that Sash is still a bit of a swing vote, you know, but he's closer to me than anybody on the tribe, so if he's in the middle of a swing vote and it's my name on the other side, he's gonna tell me, I feel like. I feel"&amp;" like just sitting back right now, and being cool is part of it, you know? We'll see, though. You know, it's hard-- it’s hard to tell, and... we'll see, man.")</f>
        <v>S21 Fabio (1/2): My instincts tell me that Sash is still a bit of a swing vote, you know, but he's closer to me than anybody on the tribe, so if he's in the middle of a swing vote and it's my name on the other side, he's gonna tell me, I feel like. I feel like just sitting back right now, and being cool is part of it, you know? We'll see, though. You know, it's hard-- it’s hard to tell, and... we'll see, man.</v>
      </c>
      <c r="AP21" s="4"/>
      <c r="AQ21" s="3"/>
      <c r="AR21" s="4"/>
      <c r="AS21" s="3"/>
      <c r="AT21" s="4"/>
      <c r="AU21" s="3"/>
      <c r="AV21" s="4"/>
      <c r="AW21" s="3"/>
      <c r="AX21" s="4"/>
      <c r="AY21" s="3"/>
      <c r="AZ21" s="4"/>
      <c r="BA21" s="3"/>
      <c r="BB21" s="4"/>
      <c r="BC21" s="3"/>
      <c r="BD21" s="4"/>
      <c r="BE21" s="3"/>
      <c r="BF21" s="4"/>
      <c r="BG21" s="3"/>
      <c r="BH21" s="4"/>
      <c r="BI21" s="3"/>
      <c r="BJ21" s="4"/>
      <c r="BK21" s="3" t="str">
        <f>IFERROR(__xludf.DUMMYFUNCTION("""COMPUTED_VALUE"""),"S10 Tom (1/5): Give a man a fish and you feed him for a day; uh, teach a man to fish and you feed him for the rest of our time here on “Rat Island,” so, uh… this is what we need, and we need to learn how to get these fish, how to get the bait and, uh, it "&amp;"looks like we’ve got the guides to do that now, so…")</f>
        <v>S10 Tom (1/5): Give a man a fish and you feed him for a day; uh, teach a man to fish and you feed him for the rest of our time here on “Rat Island,” so, uh… this is what we need, and we need to learn how to get these fish, how to get the bait and, uh, it looks like we’ve got the guides to do that now, so…</v>
      </c>
      <c r="BL21" s="4"/>
      <c r="BM21" s="3" t="str">
        <f>IFERROR(__xludf.DUMMYFUNCTION("""COMPUTED_VALUE"""),"S09 Chris (1/6): I told them that Sarge told me to vote for him, but he didn't. Um, I voted for Sarge… to stay close to the women and, you know, go further in the game. You know, this is for the best. Uh, this is for my personal, you know, reasons in the "&amp;"game to try to get as far as I can.")</f>
        <v>S09 Chris (1/6): I told them that Sarge told me to vote for him, but he didn't. Um, I voted for Sarge… to stay close to the women and, you know, go further in the game. You know, this is for the best. Uh, this is for my personal, you know, reasons in the game to try to get as far as I can.</v>
      </c>
      <c r="BN21" s="4"/>
      <c r="BO21" s="3" t="str">
        <f>IFERROR(__xludf.DUMMYFUNCTION("""COMPUTED_VALUE"""),"S08 Amber (3/7): I had a feeling that the shampoo and the-- and the toothbrush and the things like that were going to be the first things they grabbed. And so things like that are hard.")</f>
        <v>S08 Amber (3/7): I had a feeling that the shampoo and the-- and the toothbrush and the things like that were going to be the first things they grabbed. And so things like that are hard.</v>
      </c>
      <c r="BP21" s="4"/>
      <c r="BQ21" s="3" t="str">
        <f>IFERROR(__xludf.DUMMYFUNCTION("""COMPUTED_VALUE"""),"S07 Sandra (2/4): I'm glad Jon put him in his place. And after that, what happened? Shawn practically put the whole shelter together. Maybe Shawn should get a clue that he's not anybody's buddy here. That he needs to get whatever has to happen done. He ne"&amp;"eds to make sure we win the challenge… or he's going home, and that's it.")</f>
        <v>S07 Sandra (2/4): I'm glad Jon put him in his place. And after that, what happened? Shawn practically put the whole shelter together. Maybe Shawn should get a clue that he's not anybody's buddy here. That he needs to get whatever has to happen done. He needs to make sure we win the challenge… or he's going home, and that's it.</v>
      </c>
      <c r="BR21" s="4"/>
      <c r="BS21" s="3"/>
      <c r="BT21" s="4"/>
      <c r="BU21" s="3"/>
      <c r="BV21" s="4"/>
      <c r="BW21" s="3"/>
      <c r="BX21" s="4"/>
      <c r="BY21" s="3"/>
      <c r="BZ21" s="4"/>
      <c r="CA21" s="3"/>
      <c r="CB21" s="4"/>
      <c r="CC21" s="3"/>
      <c r="CD21" s="4"/>
    </row>
    <row r="22">
      <c r="A22" s="3"/>
      <c r="B22" s="4"/>
      <c r="C22" s="3" t="str">
        <f>IFERROR(__xludf.DUMMYFUNCTION("""COMPUTED_VALUE"""),"S40 Tony (2/2): My big concern from Day 1 was that the lower-profile players, as I would call the hyenas of the game, will all start coming after the higher-profile players and pick us off one by one. So right now I want to try to get rid of the hyenas be"&amp;"cause they’re gonna wait for the lions to go at it, and then they’re gonna come in and clean up shop.")</f>
        <v>S40 Tony (2/2): My big concern from Day 1 was that the lower-profile players, as I would call the hyenas of the game, will all start coming after the higher-profile players and pick us off one by one. So right now I want to try to get rid of the hyenas because they’re gonna wait for the lions to go at it, and then they’re gonna come in and clean up shop.</v>
      </c>
      <c r="D22" s="4"/>
      <c r="E22" s="3"/>
      <c r="F22" s="4"/>
      <c r="G22" s="3"/>
      <c r="H22" s="4"/>
      <c r="I22" s="3"/>
      <c r="J22" s="4"/>
      <c r="K22" s="3"/>
      <c r="L22" s="4"/>
      <c r="M22" s="3" t="str">
        <f>IFERROR(__xludf.DUMMYFUNCTION("""COMPUTED_VALUE"""),"S35 Ben (3/8): I don’t like Cole. He’s rubbed me the wrong way, and if Cole’s got the idol, everybody needs to know, because he’s one of the main targets. I don’t care, I’ll blow his game out.")</f>
        <v>S35 Ben (3/8): I don’t like Cole. He’s rubbed me the wrong way, and if Cole’s got the idol, everybody needs to know, because he’s one of the main targets. I don’t care, I’ll blow his game out.</v>
      </c>
      <c r="N22" s="4"/>
      <c r="O22" s="3" t="str">
        <f>IFERROR(__xludf.DUMMYFUNCTION("""COMPUTED_VALUE"""),"S34 Sarah (10/11): I had this plan to blindside the power group, and then Sierra proposes this idea that me, her and Debbie are a final three. And I was like, “Holy, crap, maybe I’m not on the bottom of the six at all.”")</f>
        <v>S34 Sarah (10/11): I had this plan to blindside the power group, and then Sierra proposes this idea that me, her and Debbie are a final three. And I was like, “Holy, crap, maybe I’m not on the bottom of the six at all.”</v>
      </c>
      <c r="P22" s="4"/>
      <c r="Q22" s="3" t="str">
        <f>IFERROR(__xludf.DUMMYFUNCTION("""COMPUTED_VALUE"""),"S33 Adam (4/10): I wake up in the middle of the night and I see Taylor sneaking some food, so I decided it's an opportunity to build trust with him. I'm going to have a midnight bro down and talk some game.")</f>
        <v>S33 Adam (4/10): I wake up in the middle of the night and I see Taylor sneaking some food, so I decided it's an opportunity to build trust with him. I'm going to have a midnight bro down and talk some game.</v>
      </c>
      <c r="R22" s="4"/>
      <c r="S22" s="3" t="str">
        <f>IFERROR(__xludf.DUMMYFUNCTION("""COMPUTED_VALUE"""),"S32 Michele (2/2): I just don’t like that kind of behavior. I don’t tolerate it in my regular life, and I d-- I don’t want to tolerate it out here either. So they can keep the power struggle going on, but we’re not going to back down. You know, we’re alwa"&amp;"ys going to find a way.")</f>
        <v>S32 Michele (2/2): I just don’t like that kind of behavior. I don’t tolerate it in my regular life, and I d-- I don’t want to tolerate it out here either. So they can keep the power struggle going on, but we’re not going to back down. You know, we’re always going to find a way.</v>
      </c>
      <c r="T22" s="4"/>
      <c r="U22" s="3" t="str">
        <f>IFERROR(__xludf.DUMMYFUNCTION("""COMPUTED_VALUE"""),"S31 Jeremy (6/9): As soon as the moon goes down, the team that won came back from their spa treatment. And, uh, everybody is usually in the bed ready for bed. So I was like, “This is gonna be so easy. I’ll just get up. They’re not going to be watching me."&amp;"” But, um, and I’m like, “This is ridiculous.” Everybody is by the fire, hanging out, like, no one ever-- they never ever do this. So it was crazy. Finally, I’m just like… Then I just made a dash for it. You know, I just took off. It was pitch black There"&amp;"’s rocks, there’s trees, there’s… like, I don’t even know what’s out there. There’s snakes and everything and I’m just like, smacking branches out of my face. From a distance, I see a little glow. So I kind of took off after it. Idols this season, there’s"&amp;" no two idols that look the same. And, um, hanging from the lantern was this beautiful thing (shows idol to camera). With two idols I can be, like, a little bit more aggressive.")</f>
        <v>S31 Jeremy (6/9): As soon as the moon goes down, the team that won came back from their spa treatment. And, uh, everybody is usually in the bed ready for bed. So I was like, “This is gonna be so easy. I’ll just get up. They’re not going to be watching me.” But, um, and I’m like, “This is ridiculous.” Everybody is by the fire, hanging out, like, no one ever-- they never ever do this. So it was crazy. Finally, I’m just like… Then I just made a dash for it. You know, I just took off. It was pitch black There’s rocks, there’s trees, there’s… like, I don’t even know what’s out there. There’s snakes and everything and I’m just like, smacking branches out of my face. From a distance, I see a little glow. So I kind of took off after it. Idols this season, there’s no two idols that look the same. And, um, hanging from the lantern was this beautiful thing (shows idol to camera). With two idols I can be, like, a little bit more aggressive.</v>
      </c>
      <c r="V22" s="4"/>
      <c r="W22" s="3" t="str">
        <f>IFERROR(__xludf.DUMMYFUNCTION("""COMPUTED_VALUE"""),"S30 Mike (3/7): Right now strategy-wise, it looks like the five Blue are still strong. So all we gotta do is pull two and we run numbers in this game. But we'll see how it all plays out because who knows who's really together and who's really forming new "&amp;"bonds at this point.")</f>
        <v>S30 Mike (3/7): Right now strategy-wise, it looks like the five Blue are still strong. So all we gotta do is pull two and we run numbers in this game. But we'll see how it all plays out because who knows who's really together and who's really forming new bonds at this point.</v>
      </c>
      <c r="X22" s="4"/>
      <c r="Y22" s="3" t="str">
        <f>IFERROR(__xludf.DUMMYFUNCTION("""COMPUTED_VALUE"""),"S29 Natalie (3/5): Final three with me, Baylor, and Missy would be a hand-picked team for me to go to final three with. I would be a sure win, in my head. I mean, anything can happen but I would be completely comfortable going into final three with them.")</f>
        <v>S29 Natalie (3/5): Final three with me, Baylor, and Missy would be a hand-picked team for me to go to final three with. I would be a sure win, in my head. I mean, anything can happen but I would be completely comfortable going into final three with them.</v>
      </c>
      <c r="Z22" s="4"/>
      <c r="AA22" s="3" t="str">
        <f>IFERROR(__xludf.DUMMYFUNCTION("""COMPUTED_VALUE"""),"S28 Tony (2/6): There’s so much more energy in the camp now that Cliff is gone and now that Lindsey’s gone. We went there and we made a statement: we’re less in numbers, but we’re high in morale. And we showed it to them and we won the challenge.")</f>
        <v>S28 Tony (2/6): There’s so much more energy in the camp now that Cliff is gone and now that Lindsey’s gone. We went there and we made a statement: we’re less in numbers, but we’re high in morale. And we showed it to them and we won the challenge.</v>
      </c>
      <c r="AB22" s="4"/>
      <c r="AC22" s="3" t="str">
        <f>IFERROR(__xludf.DUMMYFUNCTION("""COMPUTED_VALUE"""),"S27 Tyson (1/6): Survivor’s broken my heart twice. And I think tonight, I fell back in love. I knew Aras wasn’t gonna take me to the end and I knew Tina had prioritized Katie in front of me. So for her to come out and say, “You should be ashamed of yourse"&amp;"lf because that’s not the way I play the game.” I’m like, “Tina, if everyone played the game the way you do, I would win 100% of the time.”")</f>
        <v>S27 Tyson (1/6): Survivor’s broken my heart twice. And I think tonight, I fell back in love. I knew Aras wasn’t gonna take me to the end and I knew Tina had prioritized Katie in front of me. So for her to come out and say, “You should be ashamed of yourself because that’s not the way I play the game.” I’m like, “Tina, if everyone played the game the way you do, I would win 100% of the time.”</v>
      </c>
      <c r="AD22" s="4"/>
      <c r="AE22" s="3" t="str">
        <f>IFERROR(__xludf.DUMMYFUNCTION("""COMPUTED_VALUE"""),"S26 Cochran (7/7): Phillip wants to vote off Michael. I don't know if this is the plan that’s set in stone but it's clearly has nothing to do with Julia or with Michael. It's masking something that's about to come to the surface and tonight's vote will pr"&amp;"obably be what sets into motion a series of events that completely bring this Phillip/Corinne feud to the surface and make it clear why they can't play together.")</f>
        <v>S26 Cochran (7/7): Phillip wants to vote off Michael. I don't know if this is the plan that’s set in stone but it's clearly has nothing to do with Julia or with Michael. It's masking something that's about to come to the surface and tonight's vote will probably be what sets into motion a series of events that completely bring this Phillip/Corinne feud to the surface and make it clear why they can't play together.</v>
      </c>
      <c r="AF22" s="4"/>
      <c r="AG22" s="3" t="str">
        <f>IFERROR(__xludf.DUMMYFUNCTION("""COMPUTED_VALUE"""),"S25 Denise (1/1): On the reward, it was-- it was really a great group to have on the reward. We got to go down the river in the boat and just eat. That's who I would have wanted to have been at that reward with because they're a pretty positive group that"&amp;" has meshed together well. It-it just-- it was nice to be with them.")</f>
        <v>S25 Denise (1/1): On the reward, it was-- it was really a great group to have on the reward. We got to go down the river in the boat and just eat. That's who I would have wanted to have been at that reward with because they're a pretty positive group that has meshed together well. It-it just-- it was nice to be with them.</v>
      </c>
      <c r="AH22" s="4"/>
      <c r="AI22" s="3" t="str">
        <f>IFERROR(__xludf.DUMMYFUNCTION("""COMPUTED_VALUE"""),"S24 Kim (2/5): Jay told us all that he thought Alicia should go home tonight and we all just nodded and agreed and said yes, but that's definitely not happening. I'm ready to draw the line. Like, it's been muddy for long enough and I feel like it's time f"&amp;"or the guys to know where the women stand.")</f>
        <v>S24 Kim (2/5): Jay told us all that he thought Alicia should go home tonight and we all just nodded and agreed and said yes, but that's definitely not happening. I'm ready to draw the line. Like, it's been muddy for long enough and I feel like it's time for the guys to know where the women stand.</v>
      </c>
      <c r="AJ22" s="4"/>
      <c r="AK22" s="3" t="str">
        <f>IFERROR(__xludf.DUMMYFUNCTION("""COMPUTED_VALUE"""),"S23 Sophie (1/6): Tribal was crazy, but it was fantastic. Brandon made one of the stupidest moves ever to be made and gave his necklace away. And I think the great thing is that Albert not giving back the necklace seemed like a really cowardly move in fro"&amp;"nt of the jury.")</f>
        <v>S23 Sophie (1/6): Tribal was crazy, but it was fantastic. Brandon made one of the stupidest moves ever to be made and gave his necklace away. And I think the great thing is that Albert not giving back the necklace seemed like a really cowardly move in front of the jury.</v>
      </c>
      <c r="AL22" s="4"/>
      <c r="AM22" s="3" t="str">
        <f>IFERROR(__xludf.DUMMYFUNCTION("""COMPUTED_VALUE"""),"S22 Rob (8/8): The clue basically could have read ""the Hidden Immunity Idol is somewhere"" I mean, it could be anywhere. I'm happy that I found the clue 'cause I know now that nobody else found the clue. But I don't plan on telling anybody about the clue"&amp;" because I want the idol for me.")</f>
        <v>S22 Rob (8/8): The clue basically could have read "the Hidden Immunity Idol is somewhere" I mean, it could be anywhere. I'm happy that I found the clue 'cause I know now that nobody else found the clue. But I don't plan on telling anybody about the clue because I want the idol for me.</v>
      </c>
      <c r="AN22" s="4"/>
      <c r="AO22" s="3" t="str">
        <f>IFERROR(__xludf.DUMMYFUNCTION("""COMPUTED_VALUE"""),"S21 Fabio (2/2): Yeah, I was feeling a little worried earlier. Um, I wasn't sure if my name was being thrown around or this and that. If it made sense for them to want to get me out, I thought, so I feel good about getting Holly out, you know? I think-- I"&amp;" think she's overstayed her welcome almost. She's getting a little bit… I just-- I'm ready for her to go.")</f>
        <v>S21 Fabio (2/2): Yeah, I was feeling a little worried earlier. Um, I wasn't sure if my name was being thrown around or this and that. If it made sense for them to want to get me out, I thought, so I feel good about getting Holly out, you know? I think-- I think she's overstayed her welcome almost. She's getting a little bit… I just-- I'm ready for her to go.</v>
      </c>
      <c r="AP22" s="4"/>
      <c r="AQ22" s="3"/>
      <c r="AR22" s="4"/>
      <c r="AS22" s="3"/>
      <c r="AT22" s="4"/>
      <c r="AU22" s="3"/>
      <c r="AV22" s="4"/>
      <c r="AW22" s="3"/>
      <c r="AX22" s="4"/>
      <c r="AY22" s="3"/>
      <c r="AZ22" s="4"/>
      <c r="BA22" s="3"/>
      <c r="BB22" s="4"/>
      <c r="BC22" s="3"/>
      <c r="BD22" s="4"/>
      <c r="BE22" s="3"/>
      <c r="BF22" s="4"/>
      <c r="BG22" s="3"/>
      <c r="BH22" s="4"/>
      <c r="BI22" s="3"/>
      <c r="BJ22" s="4"/>
      <c r="BK22" s="3" t="str">
        <f>IFERROR(__xludf.DUMMYFUNCTION("""COMPUTED_VALUE"""),"S10 Tom (2/5): Joe said that he needed two people to stay and keep working on the bait. Coby jumped up immediately and said, “I’ll work on the bait,” which was fine, and then he started suggesting that Ian also stay and do the bait.")</f>
        <v>S10 Tom (2/5): Joe said that he needed two people to stay and keep working on the bait. Coby jumped up immediately and said, “I’ll work on the bait,” which was fine, and then he started suggesting that Ian also stay and do the bait.</v>
      </c>
      <c r="BL22" s="4"/>
      <c r="BM22" s="3" t="str">
        <f>IFERROR(__xludf.DUMMYFUNCTION("""COMPUTED_VALUE"""),"S09 Chris (2/6): It seemed like we went to a whole other world. None of us knew what to expect. People from the village looking at us, and we're looking at them, and I'm carrying a pig.")</f>
        <v>S09 Chris (2/6): It seemed like we went to a whole other world. None of us knew what to expect. People from the village looking at us, and we're looking at them, and I'm carrying a pig.</v>
      </c>
      <c r="BN22" s="4"/>
      <c r="BO22" s="3" t="str">
        <f>IFERROR(__xludf.DUMMYFUNCTION("""COMPUTED_VALUE"""),"S08 Amber (4/7): They're already making theirselves at home, it's kind of weird, but something I'm going to have to get used to. This is the new home. This is the new Chapera.")</f>
        <v>S08 Amber (4/7): They're already making theirselves at home, it's kind of weird, but something I'm going to have to get used to. This is the new home. This is the new Chapera.</v>
      </c>
      <c r="BP22" s="4"/>
      <c r="BQ22" s="3" t="str">
        <f>IFERROR(__xludf.DUMMYFUNCTION("""COMPUTED_VALUE"""),"S07 Sandra (3/4): It felt good coming home with all that stuff. We tore it up. We cooked the lobster first. Then, came around to the steak. And l just picked it up off the grill and l just ate it off the fork. It was so delicious. It was the greatest stea"&amp;"k I've ever had.")</f>
        <v>S07 Sandra (3/4): It felt good coming home with all that stuff. We tore it up. We cooked the lobster first. Then, came around to the steak. And l just picked it up off the grill and l just ate it off the fork. It was so delicious. It was the greatest steak I've ever had.</v>
      </c>
      <c r="BR22" s="4"/>
      <c r="BS22" s="3"/>
      <c r="BT22" s="4"/>
      <c r="BU22" s="3"/>
      <c r="BV22" s="4"/>
      <c r="BW22" s="3"/>
      <c r="BX22" s="4"/>
      <c r="BY22" s="3"/>
      <c r="BZ22" s="4"/>
      <c r="CA22" s="3"/>
      <c r="CB22" s="4"/>
      <c r="CC22" s="3"/>
      <c r="CD22" s="4"/>
    </row>
    <row r="23">
      <c r="A23" s="3"/>
      <c r="B23" s="4"/>
      <c r="C23" s="3" t="str">
        <f>IFERROR(__xludf.DUMMYFUNCTION("""COMPUTED_VALUE"""),"S40 Tony (1/2): This is the first time in three seasons I get to wear the bulletproof vest right here (holds Immunity Necklace to camera). I have it. To win it on a game that requires patience, that’s not my style of game. Slow and steady is not what I’m "&amp;"made of. I’m made out of fast and sloppy. I am so happy. This is more powerful than any Hidden Immunity Idol. And when you have the power, people come to you.")</f>
        <v>S40 Tony (1/2): This is the first time in three seasons I get to wear the bulletproof vest right here (holds Immunity Necklace to camera). I have it. To win it on a game that requires patience, that’s not my style of game. Slow and steady is not what I’m made of. I’m made out of fast and sloppy. I am so happy. This is more powerful than any Hidden Immunity Idol. And when you have the power, people come to you.</v>
      </c>
      <c r="D23" s="4"/>
      <c r="E23" s="3"/>
      <c r="F23" s="4"/>
      <c r="G23" s="3"/>
      <c r="H23" s="4"/>
      <c r="I23" s="3"/>
      <c r="J23" s="4"/>
      <c r="K23" s="3"/>
      <c r="L23" s="4"/>
      <c r="M23" s="3" t="str">
        <f>IFERROR(__xludf.DUMMYFUNCTION("""COMPUTED_VALUE"""),"S35 Ben (4/8): Cole winning immunity changes everything, so the plan right now is to split the vote between Joe and Desi. Dude, and the fact that he’s already found and played two idols. Joe is a gamer, and the longer Joe stays in the game, the more chanc"&amp;"e he has to find another one. And Desi, she’s physically strong, she’s mentally strong and she can compete with the best of us.")</f>
        <v>S35 Ben (4/8): Cole winning immunity changes everything, so the plan right now is to split the vote between Joe and Desi. Dude, and the fact that he’s already found and played two idols. Joe is a gamer, and the longer Joe stays in the game, the more chance he has to find another one. And Desi, she’s physically strong, she’s mentally strong and she can compete with the best of us.</v>
      </c>
      <c r="N23" s="4"/>
      <c r="O23" s="3" t="str">
        <f>IFERROR(__xludf.DUMMYFUNCTION("""COMPUTED_VALUE"""),"S34 Sarah (11/11): I was thinking, I might want to sit in the final three with Debbie, but now she’s spreading lies about me. At this point, I don’t know what to do. If I can control Debbie, I could be in the top six, for sure, potentially in the final th"&amp;"ree. However, I swore to myself coming out here, I’m gonna make big moves. Whatever I do, it’s going to determine how far I go in this game. I’m gonna decide at Tribal.")</f>
        <v>S34 Sarah (11/11): I was thinking, I might want to sit in the final three with Debbie, but now she’s spreading lies about me. At this point, I don’t know what to do. If I can control Debbie, I could be in the top six, for sure, potentially in the final three. However, I swore to myself coming out here, I’m gonna make big moves. Whatever I do, it’s going to determine how far I go in this game. I’m gonna decide at Tribal.</v>
      </c>
      <c r="P23" s="4"/>
      <c r="Q23" s="3" t="str">
        <f>IFERROR(__xludf.DUMMYFUNCTION("""COMPUTED_VALUE"""),"S33 Adam (5/10): Taylor is an incredible unlikely ally for me. I have voted against his girlfriend twice and actually voted her out, but if I can convince him to vote my way, then I've got control of this game.")</f>
        <v>S33 Adam (5/10): Taylor is an incredible unlikely ally for me. I have voted against his girlfriend twice and actually voted her out, but if I can convince him to vote my way, then I've got control of this game.</v>
      </c>
      <c r="R23" s="4"/>
      <c r="S23" s="3" t="str">
        <f>IFERROR(__xludf.DUMMYFUNCTION("""COMPUTED_VALUE"""),"S32 Michele (1/2): It felt so good to beat Scot and Jason, because I know that they wanted that burger more than anything. It’s a little bit nerve-racking that Tai won an advantage, because everybody knows he has an idol… and it’s scary.")</f>
        <v>S32 Michele (1/2): It felt so good to beat Scot and Jason, because I know that they wanted that burger more than anything. It’s a little bit nerve-racking that Tai won an advantage, because everybody knows he has an idol… and it’s scary.</v>
      </c>
      <c r="T23" s="4"/>
      <c r="U23" s="3" t="str">
        <f>IFERROR(__xludf.DUMMYFUNCTION("""COMPUTED_VALUE"""),"S31 Jeremy (7/9): Val’s my wife. Like, Val is my best friend, you know, I can’t keep it bottled up anymore. Like, and I’m doing it all for her. (tearfully) I just want to make her life a little easier. I want to make J and Cam’s life a little easier. (sni"&amp;"ffles) And I want to make my next child’s life a little easier. (sniffles and wipes away tears) Like, I don’t even know if it’s a boy or a girl, and, like, that’s been bothering me a little bit. Like, I know people are after me, and I gotta figure out whe"&amp;"n I can use these idols ‘cause I gotta use them at the right time. I just want Val to win, you know? I just want Val to win. Like, she deserves it more than me, you know? (sniffles and wipes away tears) Man…")</f>
        <v>S31 Jeremy (7/9): Val’s my wife. Like, Val is my best friend, you know, I can’t keep it bottled up anymore. Like, and I’m doing it all for her. (tearfully) I just want to make her life a little easier. I want to make J and Cam’s life a little easier. (sniffles) And I want to make my next child’s life a little easier. (sniffles and wipes away tears) Like, I don’t even know if it’s a boy or a girl, and, like, that’s been bothering me a little bit. Like, I know people are after me, and I gotta figure out when I can use these idols ‘cause I gotta use them at the right time. I just want Val to win, you know? I just want Val to win. Like, she deserves it more than me, you know? (sniffles and wipes away tears) Man…</v>
      </c>
      <c r="V23" s="4"/>
      <c r="W23" s="3" t="str">
        <f>IFERROR(__xludf.DUMMYFUNCTION("""COMPUTED_VALUE"""),"S30 Mike (4/7): Our tribe Merica, it's kind of fitting because you have the White Collar, you have the No Collar and obviously the best, the Blue Collars. We're all part of the melting pot which makes America so great. So... that's our tribe name, Merica.")</f>
        <v>S30 Mike (4/7): Our tribe Merica, it's kind of fitting because you have the White Collar, you have the No Collar and obviously the best, the Blue Collars. We're all part of the melting pot which makes America so great. So... that's our tribe name, Merica.</v>
      </c>
      <c r="X23" s="4"/>
      <c r="Y23" s="3" t="str">
        <f>IFERROR(__xludf.DUMMYFUNCTION("""COMPUTED_VALUE"""),"S29 Natalie (4/5): Looking at Alec and Jaclyn, I'm thinking “Why is Jaclyn flirting with him?” Jon's been gone two days and Alec's and her body language is just really inappropriate. If I had a boyfriend here, I wouldn't be acting like that with Alec.")</f>
        <v>S29 Natalie (4/5): Looking at Alec and Jaclyn, I'm thinking “Why is Jaclyn flirting with him?” Jon's been gone two days and Alec's and her body language is just really inappropriate. If I had a boyfriend here, I wouldn't be acting like that with Alec.</v>
      </c>
      <c r="Z23" s="4"/>
      <c r="AA23" s="3" t="str">
        <f>IFERROR(__xludf.DUMMYFUNCTION("""COMPUTED_VALUE"""),"S28 Tony (3/6): So after winning today’s Reward Challenge, Jeff gave us instructions on what we can do in that tribe. There was also a part two to the instructions and it was a Hidden Immunity Idol clue. Woo and myself read it and it didn’t pertain to the"&amp;" Aparri beach. It pertained to the Solana tribe where we have a wall of rocks.")</f>
        <v>S28 Tony (3/6): So after winning today’s Reward Challenge, Jeff gave us instructions on what we can do in that tribe. There was also a part two to the instructions and it was a Hidden Immunity Idol clue. Woo and myself read it and it didn’t pertain to the Aparri beach. It pertained to the Solana tribe where we have a wall of rocks.</v>
      </c>
      <c r="AB23" s="4"/>
      <c r="AC23" s="3" t="str">
        <f>IFERROR(__xludf.DUMMYFUNCTION("""COMPUTED_VALUE"""),"S27 Tyson (2/6): I wasn’t the one who came up with the idea to split the votes. Laura M. was like, “If there’s an idol out there, we need to split the votes.” It’s one of those things where it's like, “Do I tell them I have the idol so we don’t have to wo"&amp;"rry about splitting votes, or is that gonna make me too big of a target?” I don’t want to tell people I have the idol. So I have to kinda just roll with it.")</f>
        <v>S27 Tyson (2/6): I wasn’t the one who came up with the idea to split the votes. Laura M. was like, “If there’s an idol out there, we need to split the votes.” It’s one of those things where it's like, “Do I tell them I have the idol so we don’t have to worry about splitting votes, or is that gonna make me too big of a target?” I don’t want to tell people I have the idol. So I have to kinda just roll with it.</v>
      </c>
      <c r="AD23" s="4"/>
      <c r="AE23" s="3" t="str">
        <f>IFERROR(__xludf.DUMMYFUNCTION("""COMPUTED_VALUE"""),"S26 Cochran (1/7): Seeing the boat coming and that the merge had arrived is always the part of the game that I'm most excited about.")</f>
        <v>S26 Cochran (1/7): Seeing the boat coming and that the merge had arrived is always the part of the game that I'm most excited about.</v>
      </c>
      <c r="AF23" s="4"/>
      <c r="AG23" s="3" t="str">
        <f>IFERROR(__xludf.DUMMYFUNCTION("""COMPUTED_VALUE"""),"S25 Denise (1/1): You know, right now, I've got my alliance with Malcolm and the former Kalabaw tribe, Carter and Jonathan, and the goal for tonight is definitely to get rid of one of the original Tandang members, um, break that little empire up, and-and "&amp;"then really continue to just turn this game. Uh, but the plan very much hinges on Skupin and Lisa. If we can't get the numbers, Jonathan is going home.")</f>
        <v>S25 Denise (1/1): You know, right now, I've got my alliance with Malcolm and the former Kalabaw tribe, Carter and Jonathan, and the goal for tonight is definitely to get rid of one of the original Tandang members, um, break that little empire up, and-and then really continue to just turn this game. Uh, but the plan very much hinges on Skupin and Lisa. If we can't get the numbers, Jonathan is going home.</v>
      </c>
      <c r="AH23" s="4"/>
      <c r="AI23" s="3" t="str">
        <f>IFERROR(__xludf.DUMMYFUNCTION("""COMPUTED_VALUE"""),"S24 Kim (3/5): Today's Immunity Challenge could not have gone better for me. It was awesome. I got to eat cupcakes and have milk and not put myself out there as a huge threat, which I was kind of starting to feel a little nervous about. Like, I'm glad for"&amp;" Chelsea to take that role today.")</f>
        <v>S24 Kim (3/5): Today's Immunity Challenge could not have gone better for me. It was awesome. I got to eat cupcakes and have milk and not put myself out there as a huge threat, which I was kind of starting to feel a little nervous about. Like, I'm glad for Chelsea to take that role today.</v>
      </c>
      <c r="AJ23" s="4"/>
      <c r="AK23" s="3" t="str">
        <f>IFERROR(__xludf.DUMMYFUNCTION("""COMPUTED_VALUE"""),"S23 Sophie (2/6): Watching the guys in the duel, Brandon was going like a maniac. I guess the terrifying thing was Ozzy was still able to beat him. And if Ozzy keeps winning immunity, there's really only so much I can do.")</f>
        <v>S23 Sophie (2/6): Watching the guys in the duel, Brandon was going like a maniac. I guess the terrifying thing was Ozzy was still able to beat him. And if Ozzy keeps winning immunity, there's really only so much I can do.</v>
      </c>
      <c r="AL23" s="4"/>
      <c r="AM23" s="3" t="str">
        <f>IFERROR(__xludf.DUMMYFUNCTION("""COMPUTED_VALUE"""),"S22 Rob (1/8): Phillip is a piece of work. I mean, who comes on Survivor and wears pink tighty-whiteys with his stuff just hanging out and, you know, just flopping around everywhere? It's not only... disturbing. It's-it's actually disgusting. It's like yo"&amp;"ur dad should have bought a new pair, like, months ago. You don't want your friends coming over to play and seeing that.")</f>
        <v>S22 Rob (1/8): Phillip is a piece of work. I mean, who comes on Survivor and wears pink tighty-whiteys with his stuff just hanging out and, you know, just flopping around everywhere? It's not only... disturbing. It's-it's actually disgusting. It's like your dad should have bought a new pair, like, months ago. You don't want your friends coming over to play and seeing that.</v>
      </c>
      <c r="AN23" s="4"/>
      <c r="AO23" s="3" t="str">
        <f>IFERROR(__xludf.DUMMYFUNCTION("""COMPUTED_VALUE"""),"S21 Fabio (1/5): You know, the next couple of days are going to be really tricky. I think they believe I'm more gullible and naive than I am, you know? But it's to the point where I'm on, like, high alert right now. It’d be pretty funny to watch them unde"&amp;"restimate me and they're kind of like, ""What? I didn't know Fabio was that smart.""")</f>
        <v>S21 Fabio (1/5): You know, the next couple of days are going to be really tricky. I think they believe I'm more gullible and naive than I am, you know? But it's to the point where I'm on, like, high alert right now. It’d be pretty funny to watch them underestimate me and they're kind of like, "What? I didn't know Fabio was that smart."</v>
      </c>
      <c r="AP23" s="4"/>
      <c r="AQ23" s="3"/>
      <c r="AR23" s="4"/>
      <c r="AS23" s="3"/>
      <c r="AT23" s="4"/>
      <c r="AU23" s="3"/>
      <c r="AV23" s="4"/>
      <c r="AW23" s="3"/>
      <c r="AX23" s="4"/>
      <c r="AY23" s="3"/>
      <c r="AZ23" s="4"/>
      <c r="BA23" s="3"/>
      <c r="BB23" s="4"/>
      <c r="BC23" s="3"/>
      <c r="BD23" s="4"/>
      <c r="BE23" s="3"/>
      <c r="BF23" s="4"/>
      <c r="BG23" s="3"/>
      <c r="BH23" s="4"/>
      <c r="BI23" s="3"/>
      <c r="BJ23" s="4"/>
      <c r="BK23" s="3" t="str">
        <f>IFERROR(__xludf.DUMMYFUNCTION("""COMPUTED_VALUE"""),"S10 Tom (3/5): Ian’s been out there with the spear. We’ve been making fishing lines. We’ve been trying different things, and Ian didn’t belong back on the beach trying to catch bait, at this point. He belonged out there learning how to fish and I spoke up"&amp;".")</f>
        <v>S10 Tom (3/5): Ian’s been out there with the spear. We’ve been making fishing lines. We’ve been trying different things, and Ian didn’t belong back on the beach trying to catch bait, at this point. He belonged out there learning how to fish and I spoke up.</v>
      </c>
      <c r="BL23" s="4"/>
      <c r="BM23" s="3" t="str">
        <f>IFERROR(__xludf.DUMMYFUNCTION("""COMPUTED_VALUE"""),"S09 Chris (3/6): Me, Ami, Eliza and Chad were just, like, ""Damn, they're giving us a pig back."" You know, uh, but, yeah… the pig, they-they give us a pig in return, and, uh, they actually just had, uh, had us lay it down by a bench where we were sitting"&amp;", and we just never asked for the pig back. We didn't want the pig.")</f>
        <v>S09 Chris (3/6): Me, Ami, Eliza and Chad were just, like, "Damn, they're giving us a pig back." You know, uh, but, yeah… the pig, they-they give us a pig in return, and, uh, they actually just had, uh, had us lay it down by a bench where we were sitting, and we just never asked for the pig back. We didn't want the pig.</v>
      </c>
      <c r="BN23" s="4"/>
      <c r="BO23" s="3" t="str">
        <f>IFERROR(__xludf.DUMMYFUNCTION("""COMPUTED_VALUE"""),"S08 Amber (5/7): This is probably the most important challenge yet to me, throughout the entire game, 'cause I really feel that by winning this challenge, I'm either keeping my life going in the game of Survivor or ending my life in the game of Survivor.")</f>
        <v>S08 Amber (5/7): This is probably the most important challenge yet to me, throughout the entire game, 'cause I really feel that by winning this challenge, I'm either keeping my life going in the game of Survivor or ending my life in the game of Survivor.</v>
      </c>
      <c r="BP23" s="4"/>
      <c r="BQ23" s="3" t="str">
        <f>IFERROR(__xludf.DUMMYFUNCTION("""COMPUTED_VALUE"""),"S07 Sandra (4/4): Jon and Trish feel insecure about Rupert's power within the tribe, because Rupert is the man in charge here.")</f>
        <v>S07 Sandra (4/4): Jon and Trish feel insecure about Rupert's power within the tribe, because Rupert is the man in charge here.</v>
      </c>
      <c r="BR23" s="4"/>
      <c r="BS23" s="3"/>
      <c r="BT23" s="4"/>
      <c r="BU23" s="3"/>
      <c r="BV23" s="4"/>
      <c r="BW23" s="3"/>
      <c r="BX23" s="4"/>
      <c r="BY23" s="3"/>
      <c r="BZ23" s="4"/>
      <c r="CA23" s="3"/>
      <c r="CB23" s="4"/>
      <c r="CC23" s="3"/>
      <c r="CD23" s="4"/>
    </row>
    <row r="24">
      <c r="A24" s="3"/>
      <c r="B24" s="4"/>
      <c r="C24" s="3" t="str">
        <f>IFERROR(__xludf.DUMMYFUNCTION("""COMPUTED_VALUE"""),"S40 Tony (2/2): There’s something fishy about Jeremy. He’s sneaky. I don’t trust him. Every time we tell him something, he wants to go against the grain. He would even vote Sarah out if he could, so he’s gotta go.")</f>
        <v>S40 Tony (2/2): There’s something fishy about Jeremy. He’s sneaky. I don’t trust him. Every time we tell him something, he wants to go against the grain. He would even vote Sarah out if he could, so he’s gotta go.</v>
      </c>
      <c r="D24" s="4"/>
      <c r="E24" s="3"/>
      <c r="F24" s="4"/>
      <c r="G24" s="3"/>
      <c r="H24" s="4"/>
      <c r="I24" s="3"/>
      <c r="J24" s="4"/>
      <c r="K24" s="3"/>
      <c r="L24" s="4"/>
      <c r="M24" s="3" t="str">
        <f>IFERROR(__xludf.DUMMYFUNCTION("""COMPUTED_VALUE"""),"S35 Ben (5/8): Just like I thought, Joe is trying to put a target on my back. You know, I just really don’t like that guy.")</f>
        <v>S35 Ben (5/8): Just like I thought, Joe is trying to put a target on my back. You know, I just really don’t like that guy.</v>
      </c>
      <c r="N24" s="4"/>
      <c r="O24" s="3" t="str">
        <f>IFERROR(__xludf.DUMMYFUNCTION("""COMPUTED_VALUE"""),"S34 Sarah (1/7): Tonight at Tribal Council, I was the deciding vote in which alliance was gonna get the majority of the numbers. You know, this is Survivor, and it’s Game Changers. Hopefully, if I make it to the end, the jury will reward the fact that I w"&amp;"as a Game Changer enough to make this type of move.")</f>
        <v>S34 Sarah (1/7): Tonight at Tribal Council, I was the deciding vote in which alliance was gonna get the majority of the numbers. You know, this is Survivor, and it’s Game Changers. Hopefully, if I make it to the end, the jury will reward the fact that I was a Game Changer enough to make this type of move.</v>
      </c>
      <c r="P24" s="4"/>
      <c r="Q24" s="3" t="str">
        <f>IFERROR(__xludf.DUMMYFUNCTION("""COMPUTED_VALUE"""),"S33 Adam (6/10): My plan totally just blew up in my face, and I got to give him credit. Will needed to win today, and he did. And so now I need to try to figure out another plan.")</f>
        <v>S33 Adam (6/10): My plan totally just blew up in my face, and I got to give him credit. Will needed to win today, and he did. And so now I need to try to figure out another plan.</v>
      </c>
      <c r="R24" s="4"/>
      <c r="S24" s="3" t="str">
        <f>IFERROR(__xludf.DUMMYFUNCTION("""COMPUTED_VALUE"""),"S32 Michele (2/2): The three guys have two idols. That is a huge problem and we gotta flush out the idols or we gotta get rid of the guys, one or the other.")</f>
        <v>S32 Michele (2/2): The three guys have two idols. That is a huge problem and we gotta flush out the idols or we gotta get rid of the guys, one or the other.</v>
      </c>
      <c r="T24" s="4"/>
      <c r="U24" s="3" t="str">
        <f>IFERROR(__xludf.DUMMYFUNCTION("""COMPUTED_VALUE"""),"S31 Jeremy (8/9): We’re all set with taking out one of the three witches. So, like I’m really hesitant with Stephen because Stephen’s running around ‘cause everyone is trying to play their own game. And I-I just want everyone to be on the same page. And l"&amp;"ike, the person that I still trust most is Stephen.")</f>
        <v>S31 Jeremy (8/9): We’re all set with taking out one of the three witches. So, like I’m really hesitant with Stephen because Stephen’s running around ‘cause everyone is trying to play their own game. And I-I just want everyone to be on the same page. And like, the person that I still trust most is Stephen.</v>
      </c>
      <c r="V24" s="4"/>
      <c r="W24" s="3" t="str">
        <f>IFERROR(__xludf.DUMMYFUNCTION("""COMPUTED_VALUE"""),"S30 Mike (5/7): The game plan at this point is to run the game all the way to the end with the Blue Collars. We've got some numbers to knock out Joe being at the top of that list, but I definitely need Rodney as numbers right now. So if I gotta do Rodney "&amp;"maintenance, I'll go do Rodney maintenance.")</f>
        <v>S30 Mike (5/7): The game plan at this point is to run the game all the way to the end with the Blue Collars. We've got some numbers to knock out Joe being at the top of that list, but I definitely need Rodney as numbers right now. So if I gotta do Rodney maintenance, I'll go do Rodney maintenance.</v>
      </c>
      <c r="X24" s="4"/>
      <c r="Y24" s="3" t="str">
        <f>IFERROR(__xludf.DUMMYFUNCTION("""COMPUTED_VALUE"""),"S29 Natalie (5/5): My fears are that Jon and Jaclyn are not as attached to the hip as they seem to be and they do have a lot of friction when it comes to how to play this game. At the end of the day, I want Jon and Jaclyn fine for tonight. I don't want an"&amp;"y, I can't do any more surprises at Tribal.")</f>
        <v>S29 Natalie (5/5): My fears are that Jon and Jaclyn are not as attached to the hip as they seem to be and they do have a lot of friction when it comes to how to play this game. At the end of the day, I want Jon and Jaclyn fine for tonight. I don't want any, I can't do any more surprises at Tribal.</v>
      </c>
      <c r="Z24" s="4"/>
      <c r="AA24" s="3" t="str">
        <f>IFERROR(__xludf.DUMMYFUNCTION("""COMPUTED_VALUE"""),"S28 Tony (4/6): I think it would be great to try to oust one of these people to stir up the pot and the strongest person on the Aparri team right now is Jeremiah.")</f>
        <v>S28 Tony (4/6): I think it would be great to try to oust one of these people to stir up the pot and the strongest person on the Aparri team right now is Jeremiah.</v>
      </c>
      <c r="AB24" s="4"/>
      <c r="AC24" s="3" t="str">
        <f>IFERROR(__xludf.DUMMYFUNCTION("""COMPUTED_VALUE"""),"S27 Tyson (3/6): Vytas made some valid points, but the main concern for me right now is if the girls wise up, they could perhaps form an all-girl alliance. Sending a girl home would keep Vytas here and still keep the guys in the strong majority. So my lis"&amp;"t, optimally, right now would be to have Katie go next.")</f>
        <v>S27 Tyson (3/6): Vytas made some valid points, but the main concern for me right now is if the girls wise up, they could perhaps form an all-girl alliance. Sending a girl home would keep Vytas here and still keep the guys in the strong majority. So my list, optimally, right now would be to have Katie go next.</v>
      </c>
      <c r="AD24" s="4"/>
      <c r="AE24" s="3" t="str">
        <f>IFERROR(__xludf.DUMMYFUNCTION("""COMPUTED_VALUE"""),"S26 Cochran (2/7): Eddie was worried that this might damage his dating prospects, that he’s gonna be viewed as somebody that’s partaken in something very gross, and, uh, you know, potentially alienating women. For me, you know, I need some sort of imagery"&amp;" rehabilitation. I think this would add a little bit of a wild streak to me and might make me seem a little bit more dangerous. I think this is exactly what my love life needs.")</f>
        <v>S26 Cochran (2/7): Eddie was worried that this might damage his dating prospects, that he’s gonna be viewed as somebody that’s partaken in something very gross, and, uh, you know, potentially alienating women. For me, you know, I need some sort of imagery rehabilitation. I think this would add a little bit of a wild streak to me and might make me seem a little bit more dangerous. I think this is exactly what my love life needs.</v>
      </c>
      <c r="AF24" s="4"/>
      <c r="AG24" s="3" t="str">
        <f>IFERROR(__xludf.DUMMYFUNCTION("""COMPUTED_VALUE"""),"S25 Denise (1/2): So we were having a pretty quiet day. Pretty relaxing and then Abi came back from the reward and was like, “Ugh!”")</f>
        <v>S25 Denise (1/2): So we were having a pretty quiet day. Pretty relaxing and then Abi came back from the reward and was like, “Ugh!”</v>
      </c>
      <c r="AH24" s="4"/>
      <c r="AI24" s="3" t="str">
        <f>IFERROR(__xludf.DUMMYFUNCTION("""COMPUTED_VALUE"""),"S24 Kim (4/5): The split vote plan, always risky, makes me nervous. I'd sure rather know that everyone's voting for Troy, but there's always that chance that Troy’s gonna pull out an Immunity Idol. He's a very strategic player. I feel like he’s thinking a"&amp;" lot and he's going to do absolutely everything he can to stay in this game and he still has some options today. I feel like people like Christina, and Tarzan, and Leif are just kind of hanging on at this point, riding this thing out so Christina, Alicia,"&amp;" and Tarzan will vote for Jay… and Leif, myself, Chelsea, Sabrina and Kat will vote for Troy.")</f>
        <v>S24 Kim (4/5): The split vote plan, always risky, makes me nervous. I'd sure rather know that everyone's voting for Troy, but there's always that chance that Troy’s gonna pull out an Immunity Idol. He's a very strategic player. I feel like he’s thinking a lot and he's going to do absolutely everything he can to stay in this game and he still has some options today. I feel like people like Christina, and Tarzan, and Leif are just kind of hanging on at this point, riding this thing out so Christina, Alicia, and Tarzan will vote for Jay… and Leif, myself, Chelsea, Sabrina and Kat will vote for Troy.</v>
      </c>
      <c r="AJ24" s="4"/>
      <c r="AK24" s="3" t="str">
        <f>IFERROR(__xludf.DUMMYFUNCTION("""COMPUTED_VALUE"""),"S23 Sophie (3/6): Everything was riding on this challenge. Beating Ozzy was crucial. Ozzy had to be out of this game. And I think beyond that, being the one to beat Ozzy, must be something I can hang my hat on come Final Tribal.")</f>
        <v>S23 Sophie (3/6): Everything was riding on this challenge. Beating Ozzy was crucial. Ozzy had to be out of this game. And I think beyond that, being the one to beat Ozzy, must be something I can hang my hat on come Final Tribal.</v>
      </c>
      <c r="AL24" s="4"/>
      <c r="AM24" s="3" t="str">
        <f>IFERROR(__xludf.DUMMYFUNCTION("""COMPUTED_VALUE"""),"S22 Rob (2/8): While Phillip and Kristina were away at the duel today, I started thinking I need to find the Hidden Immunity Idol before Kristina finds it again. I already have the clue and I had a good idea that it was on this side of camp and I needed t"&amp;"o get everybody out of camp for the day. So I created this game. We're calling it “Royal Treatment.” So I'm trying to think how am I going to get away from everybody after I'm the one that planned this whole beach day. So I tell them I'm having a little b"&amp;"it of trouble moving things down in that area, you know, and I feel like something might be happening. So I bring them to the nice part of the beach where the sand is really nice, and immediately, Grant heads into the ocean, perfect. I don't have to even "&amp;"look Grant in the eye. I don't have to make an excuse. They'll cover for me. So I look at the girls, I said, ""It's time. I'm gonna try to relieve myself."" I knew I had a limited amount of time. So I high-tailed it back to camp, and it's like, game on! W"&amp;"here is this thing? The clue, it basically told me that it's somewhere on the island, either in a tree, under a rock, in the sand, or in a log. What a great clue.")</f>
        <v>S22 Rob (2/8): While Phillip and Kristina were away at the duel today, I started thinking I need to find the Hidden Immunity Idol before Kristina finds it again. I already have the clue and I had a good idea that it was on this side of camp and I needed to get everybody out of camp for the day. So I created this game. We're calling it “Royal Treatment.” So I'm trying to think how am I going to get away from everybody after I'm the one that planned this whole beach day. So I tell them I'm having a little bit of trouble moving things down in that area, you know, and I feel like something might be happening. So I bring them to the nice part of the beach where the sand is really nice, and immediately, Grant heads into the ocean, perfect. I don't have to even look Grant in the eye. I don't have to make an excuse. They'll cover for me. So I look at the girls, I said, "It's time. I'm gonna try to relieve myself." I knew I had a limited amount of time. So I high-tailed it back to camp, and it's like, game on! Where is this thing? The clue, it basically told me that it's somewhere on the island, either in a tree, under a rock, in the sand, or in a log. What a great clue.</v>
      </c>
      <c r="AN24" s="4"/>
      <c r="AO24" s="3" t="str">
        <f>IFERROR(__xludf.DUMMYFUNCTION("""COMPUTED_VALUE"""),"S21 Fabio (2/5): I know that my family is, like, number one and being out here is really given me time to think about that. But actually seeing the video, it-it really got me, man. My mom always says the perfect thing, man. She told me exactly what I need"&amp;"ed to know, and… (sobs) I just want to see my family, man. I really do.")</f>
        <v>S21 Fabio (2/5): I know that my family is, like, number one and being out here is really given me time to think about that. But actually seeing the video, it-it really got me, man. My mom always says the perfect thing, man. She told me exactly what I needed to know, and… (sobs) I just want to see my family, man. I really do.</v>
      </c>
      <c r="AP24" s="4"/>
      <c r="AQ24" s="3"/>
      <c r="AR24" s="4"/>
      <c r="AS24" s="3"/>
      <c r="AT24" s="4"/>
      <c r="AU24" s="3"/>
      <c r="AV24" s="4"/>
      <c r="AW24" s="3"/>
      <c r="AX24" s="4"/>
      <c r="AY24" s="3"/>
      <c r="AZ24" s="4"/>
      <c r="BA24" s="3"/>
      <c r="BB24" s="4"/>
      <c r="BC24" s="3"/>
      <c r="BD24" s="4"/>
      <c r="BE24" s="3"/>
      <c r="BF24" s="4"/>
      <c r="BG24" s="3"/>
      <c r="BH24" s="4"/>
      <c r="BI24" s="3"/>
      <c r="BJ24" s="4"/>
      <c r="BK24" s="3" t="str">
        <f>IFERROR(__xludf.DUMMYFUNCTION("""COMPUTED_VALUE"""),"S10 Tom (4/5): Ah, feeling good, you know. We’re just raring to get out there, get a couple of fish. Uh, it was a big party last night. Uh, a lot of fun. I’m missing a few gaps in it. Uh, 21 days without food. A couple of shots of rum. It was lights out f"&amp;"or Tom, so, uh, today, I’m ready to go, you know. I’m first one up, trying to catch some bait and, uh, whatever Joe and Edwin could impart in one day and share with us, I think we got.")</f>
        <v>S10 Tom (4/5): Ah, feeling good, you know. We’re just raring to get out there, get a couple of fish. Uh, it was a big party last night. Uh, a lot of fun. I’m missing a few gaps in it. Uh, 21 days without food. A couple of shots of rum. It was lights out for Tom, so, uh, today, I’m ready to go, you know. I’m first one up, trying to catch some bait and, uh, whatever Joe and Edwin could impart in one day and share with us, I think we got.</v>
      </c>
      <c r="BL24" s="4"/>
      <c r="BM24" s="3" t="str">
        <f>IFERROR(__xludf.DUMMYFUNCTION("""COMPUTED_VALUE"""),"S09 Chris (4/6): They brought us bowls of kava… and me and Chad and Ami and Eliza, we all drank a bowl of kava.")</f>
        <v>S09 Chris (4/6): They brought us bowls of kava… and me and Chad and Ami and Eliza, we all drank a bowl of kava.</v>
      </c>
      <c r="BN24" s="4"/>
      <c r="BO24" s="3" t="str">
        <f>IFERROR(__xludf.DUMMYFUNCTION("""COMPUTED_VALUE"""),"S08 Amber (6/7): Well, we lost the Immunity Challenge, so now it's, uh, strategy. What am I going to do?")</f>
        <v>S08 Amber (6/7): Well, we lost the Immunity Challenge, so now it's, uh, strategy. What am I going to do?</v>
      </c>
      <c r="BP24" s="4"/>
      <c r="BQ24" s="3" t="str">
        <f>IFERROR(__xludf.DUMMYFUNCTION("""COMPUTED_VALUE"""),"S07 Sandra (1/3): On our way back from, uh, the Tree Mail, Jon mentioned, ""Hey, you know what? We should open up a coconut."" And, uh, Rupert, Christa, myself and Jon had said, ""Okay, we want the coconut popcorn."" Because once you fry the coconut, it t"&amp;"astes exactly like popcorn.")</f>
        <v>S07 Sandra (1/3): On our way back from, uh, the Tree Mail, Jon mentioned, "Hey, you know what? We should open up a coconut." And, uh, Rupert, Christa, myself and Jon had said, "Okay, we want the coconut popcorn." Because once you fry the coconut, it tastes exactly like popcorn.</v>
      </c>
      <c r="BR24" s="4"/>
      <c r="BS24" s="3"/>
      <c r="BT24" s="4"/>
      <c r="BU24" s="3"/>
      <c r="BV24" s="4"/>
      <c r="BW24" s="3"/>
      <c r="BX24" s="4"/>
      <c r="BY24" s="3"/>
      <c r="BZ24" s="4"/>
      <c r="CA24" s="3"/>
      <c r="CB24" s="4"/>
      <c r="CC24" s="3"/>
      <c r="CD24" s="4"/>
    </row>
    <row r="25">
      <c r="A25" s="3"/>
      <c r="B25" s="4"/>
      <c r="C25" s="3" t="str">
        <f>IFERROR(__xludf.DUMMYFUNCTION("""COMPUTED_VALUE"""),"S40 Tony (1/16): The beginning of the season, I couldn’t go and look for idols. I didn’t want to put a target on my back by leaving camp at all, so I stayed in camp all the time. I was drooling. I wanted to go look, but I couldn’t do it, ‘cause it would j"&amp;"eopardize my game. And look what happened: I’m still in the game, I made the merge. Everything’s working out wonderfully, because I’ve been patient and I haven’t been causing any paranoia at camp by looking for idols. Everybody’s always tired after Tribal"&amp;". They’re exhausted. They sleep like logs. So now I’m at a point where I’m saying, “You know what? Now’s my time to go out and go to work.” Historically, on Survivor, when you play an idol at Tribal, it goes right back into the game. That means the idol’s"&amp;" back out there now. So, first thing in the morning, I went to the area where I knew I wanted to target first and I said to myself, “This is where I’m gonna look before anybody else gets up to look.”")</f>
        <v>S40 Tony (1/16): The beginning of the season, I couldn’t go and look for idols. I didn’t want to put a target on my back by leaving camp at all, so I stayed in camp all the time. I was drooling. I wanted to go look, but I couldn’t do it, ‘cause it would jeopardize my game. And look what happened: I’m still in the game, I made the merge. Everything’s working out wonderfully, because I’ve been patient and I haven’t been causing any paranoia at camp by looking for idols. Everybody’s always tired after Tribal. They’re exhausted. They sleep like logs. So now I’m at a point where I’m saying, “You know what? Now’s my time to go out and go to work.” Historically, on Survivor, when you play an idol at Tribal, it goes right back into the game. That means the idol’s back out there now. So, first thing in the morning, I went to the area where I knew I wanted to target first and I said to myself, “This is where I’m gonna look before anybody else gets up to look.”</v>
      </c>
      <c r="D25" s="4"/>
      <c r="E25" s="3"/>
      <c r="F25" s="4"/>
      <c r="G25" s="3"/>
      <c r="H25" s="4"/>
      <c r="I25" s="3"/>
      <c r="J25" s="4"/>
      <c r="K25" s="3"/>
      <c r="L25" s="4"/>
      <c r="M25" s="3" t="str">
        <f>IFERROR(__xludf.DUMMYFUNCTION("""COMPUTED_VALUE"""),"S35 Ben (6/8): Joe pushed the right button. I take what I did in the Marine Corps very serious. And I’m still dealing with it. There’s things that I have to live with every day, and, uh, thoughts that I have every single day, and for some putz like him to"&amp;" sit there and telling people that I swore on it, it pisses me off.")</f>
        <v>S35 Ben (6/8): Joe pushed the right button. I take what I did in the Marine Corps very serious. And I’m still dealing with it. There’s things that I have to live with every day, and, uh, thoughts that I have every single day, and for some putz like him to sit there and telling people that I swore on it, it pisses me off.</v>
      </c>
      <c r="N25" s="4"/>
      <c r="O25" s="3" t="str">
        <f>IFERROR(__xludf.DUMMYFUNCTION("""COMPUTED_VALUE"""),"S34 Sarah (2/7): I’ve never been in a helicopter. Super stoked. I get a window seat. Fiji, it’s a dream come true. I mean, it’s insane how many islands and how beautiful they are. The helicopter lands, basically, red carpet rolled out. There’s a guy waiti"&amp;"ng with drinks for us.")</f>
        <v>S34 Sarah (2/7): I’ve never been in a helicopter. Super stoked. I get a window seat. Fiji, it’s a dream come true. I mean, it’s insane how many islands and how beautiful they are. The helicopter lands, basically, red carpet rolled out. There’s a guy waiting with drinks for us.</v>
      </c>
      <c r="P25" s="4"/>
      <c r="Q25" s="3" t="str">
        <f>IFERROR(__xludf.DUMMYFUNCTION("""COMPUTED_VALUE"""),"S33 Adam (7/10): I laid the groundwork for what I thought was a solid plan, and then the day of Tribal Council, it all unravels.")</f>
        <v>S33 Adam (7/10): I laid the groundwork for what I thought was a solid plan, and then the day of Tribal Council, it all unravels.</v>
      </c>
      <c r="R25" s="4"/>
      <c r="S25" s="3" t="str">
        <f>IFERROR(__xludf.DUMMYFUNCTION("""COMPUTED_VALUE"""),"S32 Michele (1/6): I’m glad that me and Cydney decided on Aubry to go on reward, you know, because last night I was on the outside of the vote. So, at some point I have to be like, “Alright, this is my game and this is a really good opportunity to make su"&amp;"re that I am in with them and that they trust me and that they want to move forward with me.”")</f>
        <v>S32 Michele (1/6): I’m glad that me and Cydney decided on Aubry to go on reward, you know, because last night I was on the outside of the vote. So, at some point I have to be like, “Alright, this is my game and this is a really good opportunity to make sure that I am in with them and that they trust me and that they want to move forward with me.”</v>
      </c>
      <c r="T25" s="4"/>
      <c r="U25" s="3" t="str">
        <f>IFERROR(__xludf.DUMMYFUNCTION("""COMPUTED_VALUE"""),"S31 Jeremy (9/9): I’m just trying to lockdown my alliance and trying to work these other… voting blocs. My problem is, if we take Wiglesworth away, there’ll be four people that’ll come back to camp blindsided: Kimmi, Tasha, Keith, Joe. You know, I don’t w"&amp;"ant to have to worry. But I want to make the right decision and the right move. I don’t want to just jump ship and do it so fast.")</f>
        <v>S31 Jeremy (9/9): I’m just trying to lockdown my alliance and trying to work these other… voting blocs. My problem is, if we take Wiglesworth away, there’ll be four people that’ll come back to camp blindsided: Kimmi, Tasha, Keith, Joe. You know, I don’t want to have to worry. But I want to make the right decision and the right move. I don’t want to just jump ship and do it so fast.</v>
      </c>
      <c r="V25" s="4"/>
      <c r="W25" s="3" t="str">
        <f>IFERROR(__xludf.DUMMYFUNCTION("""COMPUTED_VALUE"""),"S30 Mike (6/7): Of course, the golden boy, Joe, wins the first individual immunity. So we gotta switch the plan. I'm thinking in my head, “Why not let's switch it to vote out Jenn or Hali?” I mean, we broke up a power couple and the five Blue Collars are "&amp;"still running this game.")</f>
        <v>S30 Mike (6/7): Of course, the golden boy, Joe, wins the first individual immunity. So we gotta switch the plan. I'm thinking in my head, “Why not let's switch it to vote out Jenn or Hali?” I mean, we broke up a power couple and the five Blue Collars are still running this game.</v>
      </c>
      <c r="X25" s="4"/>
      <c r="Y25" s="3" t="str">
        <f>IFERROR(__xludf.DUMMYFUNCTION("""COMPUTED_VALUE"""),"S29 Natalie (1/10): I've been wanting to get Jon out ever since he voted out Jeremy. So picking Jaclyn and Jon for the reward just showed that I'm such a loyal person and they would trust me even more. So then when I take my revenge, he would never see it"&amp;" coming.")</f>
        <v>S29 Natalie (1/10): I've been wanting to get Jon out ever since he voted out Jeremy. So picking Jaclyn and Jon for the reward just showed that I'm such a loyal person and they would trust me even more. So then when I take my revenge, he would never see it coming.</v>
      </c>
      <c r="Z25" s="4"/>
      <c r="AA25" s="3" t="str">
        <f>IFERROR(__xludf.DUMMYFUNCTION("""COMPUTED_VALUE"""),"S28 Tony (5/6): So I gave him the clue. Meanwhile, I’m sure it was going through everybody’s mind at the tribe, like, “Why is Jeremiah getting the scoop? What’s going on?” So they already, probably... Their wheels are spinning, like “Uh-Oh, he’s gonna go "&amp;"find the idol,” blah-blah-blah, blah-blah-blah.")</f>
        <v>S28 Tony (5/6): So I gave him the clue. Meanwhile, I’m sure it was going through everybody’s mind at the tribe, like, “Why is Jeremiah getting the scoop? What’s going on?” So they already, probably... Their wheels are spinning, like “Uh-Oh, he’s gonna go find the idol,” blah-blah-blah, blah-blah-blah.</v>
      </c>
      <c r="AB25" s="4"/>
      <c r="AC25" s="3" t="str">
        <f>IFERROR(__xludf.DUMMYFUNCTION("""COMPUTED_VALUE"""),"S27 Tyson (4/6): This is when it gets dangerous for someone like me. Because I don’t want to come off as the kingpin or the decision-maker. I want everyone to feel their input is what matters and not just mine. So right now, I have to be very careful abou"&amp;"t this vote tonight.")</f>
        <v>S27 Tyson (4/6): This is when it gets dangerous for someone like me. Because I don’t want to come off as the kingpin or the decision-maker. I want everyone to feel their input is what matters and not just mine. So right now, I have to be very careful about this vote tonight.</v>
      </c>
      <c r="AD25" s="4"/>
      <c r="AE25" s="3" t="str">
        <f>IFERROR(__xludf.DUMMYFUNCTION("""COMPUTED_VALUE"""),"S26 Cochran (3/7): Today's Immunity Challenge, it was a true Survivor classic and the fact that I got to the final round, and that the final round was between me, this little pipsqueak, and Malcolm, the golden god of this tribe. And the fact that I won is"&amp;" dream fulfillment. The fact that I was kind of over-the-top, somewhat obnoxious victory celebration because I know this moment probably isn't going to happen again. Any other individual having that sort of display of basically bad sportsmanship, it would"&amp;" have rubbed them the wrong way, but somehow, everybody seemed happy for me.")</f>
        <v>S26 Cochran (3/7): Today's Immunity Challenge, it was a true Survivor classic and the fact that I got to the final round, and that the final round was between me, this little pipsqueak, and Malcolm, the golden god of this tribe. And the fact that I won is dream fulfillment. The fact that I was kind of over-the-top, somewhat obnoxious victory celebration because I know this moment probably isn't going to happen again. Any other individual having that sort of display of basically bad sportsmanship, it would have rubbed them the wrong way, but somehow, everybody seemed happy for me.</v>
      </c>
      <c r="AF25" s="4"/>
      <c r="AG25" s="3" t="str">
        <f>IFERROR(__xludf.DUMMYFUNCTION("""COMPUTED_VALUE"""),"S25 Denise (2/2): You have lost your freaking mind, girl. Part of me just thinks, “That's fine, just let it piss everybody else off.” You know what? Your time will come. And I may not get to tell her anything until I'm writing her name down and it's that "&amp;"Tribal Council where she's finally walking out and I get to say, “You know what? Whiners are wieners. You need to go home.”")</f>
        <v>S25 Denise (2/2): You have lost your freaking mind, girl. Part of me just thinks, “That's fine, just let it piss everybody else off.” You know what? Your time will come. And I may not get to tell her anything until I'm writing her name down and it's that Tribal Council where she's finally walking out and I get to say, “You know what? Whiners are wieners. You need to go home.”</v>
      </c>
      <c r="AH25" s="4"/>
      <c r="AI25" s="3" t="str">
        <f>IFERROR(__xludf.DUMMYFUNCTION("""COMPUTED_VALUE"""),"S24 Kim (5/5): Jay just put the fear of God in me. Troy does have an idol. He's planning to play it and he’s planning to send me home and I don't have time before Tribal Council comes to get to everyone. So hopefully, we have enough people on board that d"&amp;"o enough of the right thing that the right person will go home tonight.")</f>
        <v>S24 Kim (5/5): Jay just put the fear of God in me. Troy does have an idol. He's planning to play it and he’s planning to send me home and I don't have time before Tribal Council comes to get to everyone. So hopefully, we have enough people on board that do enough of the right thing that the right person will go home tonight.</v>
      </c>
      <c r="AJ25" s="4"/>
      <c r="AK25" s="3" t="str">
        <f>IFERROR(__xludf.DUMMYFUNCTION("""COMPUTED_VALUE"""),"S23 Sophie (4/6): Nobody can be as confident as I am right now. I have the necklace around my neck, but tonight is not a lock for Albert and Coach. There could be a 2-2 tie tonight. I think that Albert will definitely vote for Ozzy. I'll definitely vote f"&amp;"or Ozzy. But Coach's relationship with Ozzy has been a bit behind closed doors. He had long conversations with him at Redemption, at the merge, this morning. Coach could be playing a game that Albert and I don't know about. I hope that's not the case beca"&amp;"use I do think that I have very little shot of-- for the million against Ozzy.")</f>
        <v>S23 Sophie (4/6): Nobody can be as confident as I am right now. I have the necklace around my neck, but tonight is not a lock for Albert and Coach. There could be a 2-2 tie tonight. I think that Albert will definitely vote for Ozzy. I'll definitely vote for Ozzy. But Coach's relationship with Ozzy has been a bit behind closed doors. He had long conversations with him at Redemption, at the merge, this morning. Coach could be playing a game that Albert and I don't know about. I hope that's not the case because I do think that I have very little shot of-- for the million against Ozzy.</v>
      </c>
      <c r="AL25" s="4"/>
      <c r="AM25" s="3" t="str">
        <f>IFERROR(__xludf.DUMMYFUNCTION("""COMPUTED_VALUE"""),"S22 Rob (3/8): I'm digging through rocks. I'm climbing trees. I'm looking everywhere. And I'm having a really tough time. So I just started searching from tree to tree. At this point, I've already been gone for fifteen minutes. I need to get back to the b"&amp;"each. Otherwise, it going to look suspicious. You know, there's probably about forty trees in our immediate area. And I think it was maybe thirty-eight or thirty-nine, I finally looked up. Ding-Ding! Yeah, baby, maybe I learned something since last time. "&amp;"As for my plans for it, right now, I'm not sure. But one thing I do know is that with this Immunity Idol, this time I'm going to make it 39 days and win.")</f>
        <v>S22 Rob (3/8): I'm digging through rocks. I'm climbing trees. I'm looking everywhere. And I'm having a really tough time. So I just started searching from tree to tree. At this point, I've already been gone for fifteen minutes. I need to get back to the beach. Otherwise, it going to look suspicious. You know, there's probably about forty trees in our immediate area. And I think it was maybe thirty-eight or thirty-nine, I finally looked up. Ding-Ding! Yeah, baby, maybe I learned something since last time. As for my plans for it, right now, I'm not sure. But one thing I do know is that with this Immunity Idol, this time I'm going to make it 39 days and win.</v>
      </c>
      <c r="AN25" s="4"/>
      <c r="AO25" s="3" t="str">
        <f>IFERROR(__xludf.DUMMYFUNCTION("""COMPUTED_VALUE"""),"S21 Fabio (3/5): I-I was really let down by Chase because we had been talking about, you know, having our moms and this one reward, and he knew how much my mom meant to me and I knew how much his mom meant to him and I was really planning on taking him. S"&amp;"o I kind of got played there. He straight up lied to me.")</f>
        <v>S21 Fabio (3/5): I-I was really let down by Chase because we had been talking about, you know, having our moms and this one reward, and he knew how much my mom meant to me and I knew how much his mom meant to him and I was really planning on taking him. So I kind of got played there. He straight up lied to me.</v>
      </c>
      <c r="AP25" s="4"/>
      <c r="AQ25" s="3"/>
      <c r="AR25" s="4"/>
      <c r="AS25" s="3"/>
      <c r="AT25" s="4"/>
      <c r="AU25" s="3"/>
      <c r="AV25" s="4"/>
      <c r="AW25" s="3"/>
      <c r="AX25" s="4"/>
      <c r="AY25" s="3"/>
      <c r="AZ25" s="4"/>
      <c r="BA25" s="3"/>
      <c r="BB25" s="4"/>
      <c r="BC25" s="3"/>
      <c r="BD25" s="4"/>
      <c r="BE25" s="3"/>
      <c r="BF25" s="4"/>
      <c r="BG25" s="3"/>
      <c r="BH25" s="4"/>
      <c r="BI25" s="3"/>
      <c r="BJ25" s="4"/>
      <c r="BK25" s="3" t="str">
        <f>IFERROR(__xludf.DUMMYFUNCTION("""COMPUTED_VALUE"""),"S10 Tom (5/5): It was-- it was a touching thing to meet these Palauans, them impart their knowledge, which I imagine was passed down from their father and their grandfather before them. And they got to show a couple of greenhorns from New York and Ohio an"&amp;"d Dallas and all over the place, how they do it here in Palau, and now we’re going to get to go out there and see-- and see if we can keep it going, so it is a good morning.")</f>
        <v>S10 Tom (5/5): It was-- it was a touching thing to meet these Palauans, them impart their knowledge, which I imagine was passed down from their father and their grandfather before them. And they got to show a couple of greenhorns from New York and Ohio and Dallas and all over the place, how they do it here in Palau, and now we’re going to get to go out there and see-- and see if we can keep it going, so it is a good morning.</v>
      </c>
      <c r="BL25" s="4"/>
      <c r="BM25" s="3" t="str">
        <f>IFERROR(__xludf.DUMMYFUNCTION("""COMPUTED_VALUE"""),"S09 Chris (5/6): The kava is powerful, very, very powerful.")</f>
        <v>S09 Chris (5/6): The kava is powerful, very, very powerful.</v>
      </c>
      <c r="BN25" s="4"/>
      <c r="BO25" s="3" t="str">
        <f>IFERROR(__xludf.DUMMYFUNCTION("""COMPUTED_VALUE"""),"S08 Amber (7/7): Right now, I'm just going to try to make a lot of deals and, uh, promise them a longer time in the game if they promise me a longer time in the game.")</f>
        <v>S08 Amber (7/7): Right now, I'm just going to try to make a lot of deals and, uh, promise them a longer time in the game if they promise me a longer time in the game.</v>
      </c>
      <c r="BP25" s="4"/>
      <c r="BQ25" s="3" t="str">
        <f>IFERROR(__xludf.DUMMYFUNCTION("""COMPUTED_VALUE"""),"S07 Sandra (2/3): They're always fighting. I'm glad it's not me. Let them duke it out. You know, let them kill each other, vote each other off. As long as it ain't Sandra, I'm happy.")</f>
        <v>S07 Sandra (2/3): They're always fighting. I'm glad it's not me. Let them duke it out. You know, let them kill each other, vote each other off. As long as it ain't Sandra, I'm happy.</v>
      </c>
      <c r="BR25" s="4"/>
      <c r="BS25" s="3"/>
      <c r="BT25" s="4"/>
      <c r="BU25" s="3"/>
      <c r="BV25" s="4"/>
      <c r="BW25" s="3"/>
      <c r="BX25" s="4"/>
      <c r="BY25" s="3"/>
      <c r="BZ25" s="4"/>
      <c r="CA25" s="3"/>
      <c r="CB25" s="4"/>
      <c r="CC25" s="3"/>
      <c r="CD25" s="4"/>
    </row>
    <row r="26">
      <c r="A26" s="3"/>
      <c r="B26" s="4"/>
      <c r="C26" s="3" t="str">
        <f>IFERROR(__xludf.DUMMYFUNCTION("""COMPUTED_VALUE"""),"S40 Tony (2/16): And then, while I’m looking, Nick shows up. And he’s cramping my style. I’m like, “This is my area, man. I want you out of here.” I already looked at the water well area. So I said, “Nick, go to the well. Let’s split up. It’s a perfect st"&amp;"rategy. You search the well first. I’ll search this area first before anybody else does.” So he says, “Good idea,” and he goes off. And I was so happy, so delighted that he did that. So I continue my search. I went right to work. I was looking, looking, l"&amp;"ooking, looking, looking, looking, looking, scratching, scratching, looking up, going in the hole, looking looking, looking.")</f>
        <v>S40 Tony (2/16): And then, while I’m looking, Nick shows up. And he’s cramping my style. I’m like, “This is my area, man. I want you out of here.” I already looked at the water well area. So I said, “Nick, go to the well. Let’s split up. It’s a perfect strategy. You search the well first. I’ll search this area first before anybody else does.” So he says, “Good idea,” and he goes off. And I was so happy, so delighted that he did that. So I continue my search. I went right to work. I was looking, looking, looking, looking, looking, looking, looking, scratching, scratching, looking up, going in the hole, looking looking, looking.</v>
      </c>
      <c r="D26" s="4"/>
      <c r="E26" s="3"/>
      <c r="F26" s="4"/>
      <c r="G26" s="3"/>
      <c r="H26" s="4"/>
      <c r="I26" s="3"/>
      <c r="J26" s="4"/>
      <c r="K26" s="3"/>
      <c r="L26" s="4"/>
      <c r="M26" s="3" t="str">
        <f>IFERROR(__xludf.DUMMYFUNCTION("""COMPUTED_VALUE"""),"S35 Ben (7/8): It’s a blessing and a curse that she found this, but right now I’m worried that Joe’s got another idol, so we have to split the vote. But to get the numbers, I’ve got to convince a Healer to come with us.")</f>
        <v>S35 Ben (7/8): It’s a blessing and a curse that she found this, but right now I’m worried that Joe’s got another idol, so we have to split the vote. But to get the numbers, I’ve got to convince a Healer to come with us.</v>
      </c>
      <c r="N26" s="4"/>
      <c r="O26" s="3" t="str">
        <f>IFERROR(__xludf.DUMMYFUNCTION("""COMPUTED_VALUE"""),"S34 Sarah (3/7): When Cirie presents the idea of getting rid of Zeke, I’m definitely not down for it, because I can trust Zeke, so I need to reassure her to keep him in this game as long as I can. I need to fill her in on what my secret advantage is. Typi"&amp;"cally in Survivor, you don’t want to show your cards, but sometimes it’s necessary to lock people in.")</f>
        <v>S34 Sarah (3/7): When Cirie presents the idea of getting rid of Zeke, I’m definitely not down for it, because I can trust Zeke, so I need to reassure her to keep him in this game as long as I can. I need to fill her in on what my secret advantage is. Typically in Survivor, you don’t want to show your cards, but sometimes it’s necessary to lock people in.</v>
      </c>
      <c r="P26" s="4"/>
      <c r="Q26" s="3" t="str">
        <f>IFERROR(__xludf.DUMMYFUNCTION("""COMPUTED_VALUE"""),"S33 Adam (8/10): I had a feeling I might be playing too hard. I was playing too hard. Uh, now I have to scramble. And at this point, I'm willing to work with anybody on this tribe if it'll keep me in this game.")</f>
        <v>S33 Adam (8/10): I had a feeling I might be playing too hard. I was playing too hard. Uh, now I have to scramble. And at this point, I'm willing to work with anybody on this tribe if it'll keep me in this game.</v>
      </c>
      <c r="R26" s="4"/>
      <c r="S26" s="3" t="str">
        <f>IFERROR(__xludf.DUMMYFUNCTION("""COMPUTED_VALUE"""),"S32 Michele (2/6): I get by in my life on my social skills. I build relationships, and that’s what’s gotten me this far in the game. Me and Julia are a tight two, and as much as I trust her and I love working with her, we’re just two people. To get back i"&amp;"nto the group, I’m going to have to make them trust me. So I want to make sure that just because I was out in the vote, didn’t mean that I was out in their alliance.")</f>
        <v>S32 Michele (2/6): I get by in my life on my social skills. I build relationships, and that’s what’s gotten me this far in the game. Me and Julia are a tight two, and as much as I trust her and I love working with her, we’re just two people. To get back into the group, I’m going to have to make them trust me. So I want to make sure that just because I was out in the vote, didn’t mean that I was out in their alliance.</v>
      </c>
      <c r="T26" s="4"/>
      <c r="U26" s="3" t="str">
        <f>IFERROR(__xludf.DUMMYFUNCTION("""COMPUTED_VALUE"""),"S31 Jeremy (1/3): So at Tribal tonight, Stephen, Spencer, and myself blindsided Kelly Wiglesworth. I still think that we could jump back to our power group, or whatever we want to call it, and take out another one of the girls. Maybe Ciera can go. Every v"&amp;"ote is like a new game-- if I can’t clean up, then they’re going to come after me next. So I knew I was going to have to come right back and-and talk to Tasha. I knew she was going to be upset.")</f>
        <v>S31 Jeremy (1/3): So at Tribal tonight, Stephen, Spencer, and myself blindsided Kelly Wiglesworth. I still think that we could jump back to our power group, or whatever we want to call it, and take out another one of the girls. Maybe Ciera can go. Every vote is like a new game-- if I can’t clean up, then they’re going to come after me next. So I knew I was going to have to come right back and-and talk to Tasha. I knew she was going to be upset.</v>
      </c>
      <c r="V26" s="4"/>
      <c r="W26" s="3" t="str">
        <f>IFERROR(__xludf.DUMMYFUNCTION("""COMPUTED_VALUE"""),"S30 Mike (7/7): Rodney thinks he's got Will, but I don't trust Will at this point. We're telling Will to write down Hali's name and, uh, the rest of us write down Jenn. When I see Hali's name written down tonight, then I'll know I can trust Will.")</f>
        <v>S30 Mike (7/7): Rodney thinks he's got Will, but I don't trust Will at this point. We're telling Will to write down Hali's name and, uh, the rest of us write down Jenn. When I see Hali's name written down tonight, then I'll know I can trust Will.</v>
      </c>
      <c r="X26" s="4"/>
      <c r="Y26" s="3" t="str">
        <f>IFERROR(__xludf.DUMMYFUNCTION("""COMPUTED_VALUE"""),"S29 Natalie (2/10): Reward at this point in the game is way more than just getting to sleep in a bed and enjoying pasta and, you know, chicken parm. Everybody is so comfortable now, they probably want to get rid of Keith because Keith's story and his conn"&amp;"ection with the jury is scary. But I want to blindside Jon. I'm getting back at Jon for Jeremy. I kinda don't trust Jon in the long run. All I want is to move forward with a new plan without Jon in it.")</f>
        <v>S29 Natalie (2/10): Reward at this point in the game is way more than just getting to sleep in a bed and enjoying pasta and, you know, chicken parm. Everybody is so comfortable now, they probably want to get rid of Keith because Keith's story and his connection with the jury is scary. But I want to blindside Jon. I'm getting back at Jon for Jeremy. I kinda don't trust Jon in the long run. All I want is to move forward with a new plan without Jon in it.</v>
      </c>
      <c r="Z26" s="4"/>
      <c r="AA26" s="3" t="str">
        <f>IFERROR(__xludf.DUMMYFUNCTION("""COMPUTED_VALUE"""),"S28 Tony (6/6): I bonded with the old Aparri tribe for thirteen days and I had nothing. Nothing for them. No feelings for any of them except for Trish. I come here to the new Solana tribe and we just bonded and it’s just harmonious now.")</f>
        <v>S28 Tony (6/6): I bonded with the old Aparri tribe for thirteen days and I had nothing. Nothing for them. No feelings for any of them except for Trish. I come here to the new Solana tribe and we just bonded and it’s just harmonious now.</v>
      </c>
      <c r="AB26" s="4"/>
      <c r="AC26" s="3" t="str">
        <f>IFERROR(__xludf.DUMMYFUNCTION("""COMPUTED_VALUE"""),"S27 Tyson (5/6): The idea was a few people would follow Tina around in case she found the idol, but we don’t have to. Like, I could go to everybody and be like, “I have the Hidden Immunity Idol. We can all just take naps.” But then I become a target. So t"&amp;"oday we have to babysit Tina all the time. She looked in the right spot, but it was gone because I moved it to a safe place.")</f>
        <v>S27 Tyson (5/6): The idea was a few people would follow Tina around in case she found the idol, but we don’t have to. Like, I could go to everybody and be like, “I have the Hidden Immunity Idol. We can all just take naps.” But then I become a target. So today we have to babysit Tina all the time. She looked in the right spot, but it was gone because I moved it to a safe place.</v>
      </c>
      <c r="AD26" s="4"/>
      <c r="AE26" s="3" t="str">
        <f>IFERROR(__xludf.DUMMYFUNCTION("""COMPUTED_VALUE"""),"S26 Cochran (4/7): Corinne is adamant that we not target Reynold and Eddie, which I don't fully understand, but if Sherri goes, you know, no sweat off my back. Sherri is an easy vote and, you know, her elimination would lock the Favorites numbers in a way"&amp;" that would be irreversible. What doesn't bode well is the fact that Corinne and Phillip hate each other and they have a suspicion of each other that’s unhealthy and if the Favorites don't come together, that’s basically admitting to the world, Fans inclu"&amp;"ded, that we're a dysfunctional group that doesn't completely trust each other, there are openings for them to enter, and that we're apt to fall apart, given, you know, the right catalyst.")</f>
        <v>S26 Cochran (4/7): Corinne is adamant that we not target Reynold and Eddie, which I don't fully understand, but if Sherri goes, you know, no sweat off my back. Sherri is an easy vote and, you know, her elimination would lock the Favorites numbers in a way that would be irreversible. What doesn't bode well is the fact that Corinne and Phillip hate each other and they have a suspicion of each other that’s unhealthy and if the Favorites don't come together, that’s basically admitting to the world, Fans included, that we're a dysfunctional group that doesn't completely trust each other, there are openings for them to enter, and that we're apt to fall apart, given, you know, the right catalyst.</v>
      </c>
      <c r="AF26" s="4"/>
      <c r="AG26" s="3" t="str">
        <f>IFERROR(__xludf.DUMMYFUNCTION("""COMPUTED_VALUE"""),"S25 Denise (1/2): Abi was sitting by the fire with Michael and as we're overhearing it, it's just more of the same. She just continues the reign of negative, grumpy Abi.")</f>
        <v>S25 Denise (1/2): Abi was sitting by the fire with Michael and as we're overhearing it, it's just more of the same. She just continues the reign of negative, grumpy Abi.</v>
      </c>
      <c r="AH26" s="4"/>
      <c r="AI26" s="3" t="str">
        <f>IFERROR(__xludf.DUMMYFUNCTION("""COMPUTED_VALUE"""),"S24 Kim (1/1): It sucks that he has the advantage in the Immunity Challenge. It's about as big of a disaster as could have happened at the auction today. That would be the absolute worst is if he goes and wins immunity and then also has an Immunity Idol o"&amp;"n top of that. It means disaster. He's going to be like, you know, (chuckles) scary. Who knows what he can pull off? He's a really smart guy. So hopefully, we can get rid of him before he does something too crazy that sends me home.")</f>
        <v>S24 Kim (1/1): It sucks that he has the advantage in the Immunity Challenge. It's about as big of a disaster as could have happened at the auction today. That would be the absolute worst is if he goes and wins immunity and then also has an Immunity Idol on top of that. It means disaster. He's going to be like, you know, (chuckles) scary. Who knows what he can pull off? He's a really smart guy. So hopefully, we can get rid of him before he does something too crazy that sends me home.</v>
      </c>
      <c r="AJ26" s="4"/>
      <c r="AK26" s="3" t="str">
        <f>IFERROR(__xludf.DUMMYFUNCTION("""COMPUTED_VALUE"""),"S23 Sophie (5/6): We woke up and we go to Tree Mail, and there's just more food than I've eaten this whole entire time and I-I couldn't help myself. I was hopping up and down like a bunny. After 39 days of deprivation, having this one day where we suddenl"&amp;"y get everything, it's amazing. I think we're all really proud of ourselves today. I think we really are, realizing that, you know, we did it. Nobody can vote us out.")</f>
        <v>S23 Sophie (5/6): We woke up and we go to Tree Mail, and there's just more food than I've eaten this whole entire time and I-I couldn't help myself. I was hopping up and down like a bunny. After 39 days of deprivation, having this one day where we suddenly get everything, it's amazing. I think we're all really proud of ourselves today. I think we really are, realizing that, you know, we did it. Nobody can vote us out.</v>
      </c>
      <c r="AL26" s="4"/>
      <c r="AM26" s="3" t="str">
        <f>IFERROR(__xludf.DUMMYFUNCTION("""COMPUTED_VALUE"""),"S22 Rob (4/8): Phillip is lobbying for Kristina all of a sudden. I'm like, “Hey, dumb ass! Aren't you in my alliance? Don't you work for me? Now you're telling me who I should grant favors to?” Big mistake, Phillip.")</f>
        <v>S22 Rob (4/8): Phillip is lobbying for Kristina all of a sudden. I'm like, “Hey, dumb ass! Aren't you in my alliance? Don't you work for me? Now you're telling me who I should grant favors to?” Big mistake, Phillip.</v>
      </c>
      <c r="AN26" s="4"/>
      <c r="AO26" s="3" t="str">
        <f>IFERROR(__xludf.DUMMYFUNCTION("""COMPUTED_VALUE"""),"S21 Fabio (4/5): I guess we'll move on. You can't hold grudges out here. You can't be super ticked off at somebody ‘cause it’ll come back to get you. So I think the best thing I could do is just try to win immunity.")</f>
        <v>S21 Fabio (4/5): I guess we'll move on. You can't hold grudges out here. You can't be super ticked off at somebody ‘cause it’ll come back to get you. So I think the best thing I could do is just try to win immunity.</v>
      </c>
      <c r="AP26" s="4"/>
      <c r="AQ26" s="3"/>
      <c r="AR26" s="4"/>
      <c r="AS26" s="3"/>
      <c r="AT26" s="4"/>
      <c r="AU26" s="3"/>
      <c r="AV26" s="4"/>
      <c r="AW26" s="3"/>
      <c r="AX26" s="4"/>
      <c r="AY26" s="3"/>
      <c r="AZ26" s="4"/>
      <c r="BA26" s="3"/>
      <c r="BB26" s="4"/>
      <c r="BC26" s="3"/>
      <c r="BD26" s="4"/>
      <c r="BE26" s="3"/>
      <c r="BF26" s="4"/>
      <c r="BG26" s="3"/>
      <c r="BH26" s="4"/>
      <c r="BI26" s="3"/>
      <c r="BJ26" s="4"/>
      <c r="BK26" s="3" t="str">
        <f>IFERROR(__xludf.DUMMYFUNCTION("""COMPUTED_VALUE"""),"S10 Tom (1/5): We’ve been in Palau, now, um, for weeks and weeks, and really have seen nothing but the wilderness of Palau. This was my opportunity to meet the people. To be respected by them and then to return that respect. It’s just another gift that I "&amp;"bring home.")</f>
        <v>S10 Tom (1/5): We’ve been in Palau, now, um, for weeks and weeks, and really have seen nothing but the wilderness of Palau. This was my opportunity to meet the people. To be respected by them and then to return that respect. It’s just another gift that I bring home.</v>
      </c>
      <c r="BL26" s="4"/>
      <c r="BM26" s="3" t="str">
        <f>IFERROR(__xludf.DUMMYFUNCTION("""COMPUTED_VALUE"""),"S09 Chris (6/6): Yeah, things have changed. Um, there's dissension in the ranks. The-the women are not tight, and the women come across cocky, confident. Uh, they have since the merge, since Rory went home, and it got to Scout the way the other girls were"&amp;" coming across-- you know, the-the cocky way Ami presents herself. Me and Chad, we're doing our best. We're-- we’re playing it. We're tugging at their hearts. (scoffs) They are rolling in it! Scout bit. You question a woman's character, you question a wom"&amp;"an's ability, she'll snap your neck! You open up your heart, show a woman you're vulnerable, then they start thinking with their heart. That's when they open up that back door. That's what's happened this time.")</f>
        <v>S09 Chris (6/6): Yeah, things have changed. Um, there's dissension in the ranks. The-the women are not tight, and the women come across cocky, confident. Uh, they have since the merge, since Rory went home, and it got to Scout the way the other girls were coming across-- you know, the-the cocky way Ami presents herself. Me and Chad, we're doing our best. We're-- we’re playing it. We're tugging at their hearts. (scoffs) They are rolling in it! Scout bit. You question a woman's character, you question a woman's ability, she'll snap your neck! You open up your heart, show a woman you're vulnerable, then they start thinking with their heart. That's when they open up that back door. That's what's happened this time.</v>
      </c>
      <c r="BN26" s="4"/>
      <c r="BO26" s="3" t="str">
        <f>IFERROR(__xludf.DUMMYFUNCTION("""COMPUTED_VALUE"""),"S08 Amber (1/2): I was a little nervous because I made a deal with Lex and Kathy that they could come to the end with me, Big Tom and Rob, but I couldn't tell Rupert and Jenna that.")</f>
        <v>S08 Amber (1/2): I was a little nervous because I made a deal with Lex and Kathy that they could come to the end with me, Big Tom and Rob, but I couldn't tell Rupert and Jenna that.</v>
      </c>
      <c r="BP26" s="4"/>
      <c r="BQ26" s="3" t="str">
        <f>IFERROR(__xludf.DUMMYFUNCTION("""COMPUTED_VALUE"""),"S07 Sandra (3/3): When I first saw the Outcast tribe, I was, like, “No way!” And then to see Burton as their leader-- he's so strong-- and everyone, I know, was probably full of anger and energy.")</f>
        <v>S07 Sandra (3/3): When I first saw the Outcast tribe, I was, like, “No way!” And then to see Burton as their leader-- he's so strong-- and everyone, I know, was probably full of anger and energy.</v>
      </c>
      <c r="BR26" s="4"/>
      <c r="BS26" s="3"/>
      <c r="BT26" s="4"/>
      <c r="BU26" s="3"/>
      <c r="BV26" s="4"/>
      <c r="BW26" s="3"/>
      <c r="BX26" s="4"/>
      <c r="BY26" s="3"/>
      <c r="BZ26" s="4"/>
      <c r="CA26" s="3"/>
      <c r="CB26" s="4"/>
      <c r="CC26" s="3"/>
      <c r="CD26" s="4"/>
    </row>
    <row r="27">
      <c r="A27" s="3"/>
      <c r="B27" s="4"/>
      <c r="C27" s="3" t="str">
        <f>IFERROR(__xludf.DUMMYFUNCTION("""COMPUTED_VALUE"""),"S40 Tony (3/16): I picked up a rock behind a big root, and there was a little package. I grabbed that little package, and I ran full force into the jungle to a nice spot where I knew I was safe to look at it. I open it up. I peel it open. And then, sure e"&amp;"nough, it’s a idol. I am so excited. I really didn’t think I was gonna find an idol this season because of the way I was playing. But say hello to my little friend (shows HII). This is season 40. These are all veterans, so you gotta, you gotta think of ev"&amp;"erything. And I woke up early in the morning. I made sure I was the first one looking. That’s somebody that knows how to play the game Survivor. So now I got the real deal. (kisses HII) I love it so much.")</f>
        <v>S40 Tony (3/16): I picked up a rock behind a big root, and there was a little package. I grabbed that little package, and I ran full force into the jungle to a nice spot where I knew I was safe to look at it. I open it up. I peel it open. And then, sure enough, it’s a idol. I am so excited. I really didn’t think I was gonna find an idol this season because of the way I was playing. But say hello to my little friend (shows HII). This is season 40. These are all veterans, so you gotta, you gotta think of everything. And I woke up early in the morning. I made sure I was the first one looking. That’s somebody that knows how to play the game Survivor. So now I got the real deal. (kisses HII) I love it so much.</v>
      </c>
      <c r="D27" s="4"/>
      <c r="E27" s="3"/>
      <c r="F27" s="4"/>
      <c r="G27" s="3"/>
      <c r="H27" s="4"/>
      <c r="I27" s="3"/>
      <c r="J27" s="4"/>
      <c r="K27" s="3"/>
      <c r="L27" s="4"/>
      <c r="M27" s="3" t="str">
        <f>IFERROR(__xludf.DUMMYFUNCTION("""COMPUTED_VALUE"""),"S35 Ben (8/8): If this don’t work, I might be screwed. It’s a game of russian roulette. I’ve just put one round in the chamber, spun it, and hopefully the hammer doesn’t go down on me tonight.")</f>
        <v>S35 Ben (8/8): If this don’t work, I might be screwed. It’s a game of russian roulette. I’ve just put one round in the chamber, spun it, and hopefully the hammer doesn’t go down on me tonight.</v>
      </c>
      <c r="N27" s="4"/>
      <c r="O27" s="3" t="str">
        <f>IFERROR(__xludf.DUMMYFUNCTION("""COMPUTED_VALUE"""),"S34 Sarah (4/7): I feel pretty good with Cirie. I think it completely calmed her and smoothed over the situation, but in the event that they want to flip the script, I could jump ship next vote and go back and work with Troyzan and Brad and Sierra and Tai"&amp;", because I want to go with whatever side can get me further in the game. I find myself sitting in the middle, which again, works perfect for me. So I’m going to let the plans develop… and then I’m going to pick a side.")</f>
        <v>S34 Sarah (4/7): I feel pretty good with Cirie. I think it completely calmed her and smoothed over the situation, but in the event that they want to flip the script, I could jump ship next vote and go back and work with Troyzan and Brad and Sierra and Tai, because I want to go with whatever side can get me further in the game. I find myself sitting in the middle, which again, works perfect for me. So I’m going to let the plans develop… and then I’m going to pick a side.</v>
      </c>
      <c r="P27" s="4"/>
      <c r="Q27" s="3" t="str">
        <f>IFERROR(__xludf.DUMMYFUNCTION("""COMPUTED_VALUE"""),"S33 Adam (9/10): I need Zeke and the Gen Xers to get through this Tribal Council, but they're back and forth on who to vote for, and if they can't get it together, then I need my Plan B, which is to see if I can get Taylor to target somebody else.")</f>
        <v>S33 Adam (9/10): I need Zeke and the Gen Xers to get through this Tribal Council, but they're back and forth on who to vote for, and if they can't get it together, then I need my Plan B, which is to see if I can get Taylor to target somebody else.</v>
      </c>
      <c r="R27" s="4"/>
      <c r="S27" s="3" t="str">
        <f>IFERROR(__xludf.DUMMYFUNCTION("""COMPUTED_VALUE"""),"S32 Michele (3/6): I do feel reintegrated into the group, and that actually says a lot about my ability to keep people’s faith in me, just by staying happy, staying humble, staying sane and hopefully my loyalty will make them want to keep me for a little "&amp;"bit longer.")</f>
        <v>S32 Michele (3/6): I do feel reintegrated into the group, and that actually says a lot about my ability to keep people’s faith in me, just by staying happy, staying humble, staying sane and hopefully my loyalty will make them want to keep me for a little bit longer.</v>
      </c>
      <c r="T27" s="4"/>
      <c r="U27" s="3" t="str">
        <f>IFERROR(__xludf.DUMMYFUNCTION("""COMPUTED_VALUE"""),"S31 Jeremy (2/3): Stephen does not look good. I feel bad for him. His stomach is messed up, and his feet are swollen. He looks so bad, he looks so bad. I’m hoping he's okay ‘cause I need some loyalty around me, and Stephen is an honest guy. I love Survivo"&amp;"r, but it’s a tough game. Every day, it’s tough. We’re freezing, the wind is cold, and the shelter is horrible. It doesn’t hold up against the elements out here. You can’t ever get warm, so we’re just huddled up together. It sucks. We need something, you "&amp;"know? If we can get warm and get everything dry for one day, we’ll be alright.")</f>
        <v>S31 Jeremy (2/3): Stephen does not look good. I feel bad for him. His stomach is messed up, and his feet are swollen. He looks so bad, he looks so bad. I’m hoping he's okay ‘cause I need some loyalty around me, and Stephen is an honest guy. I love Survivor, but it’s a tough game. Every day, it’s tough. We’re freezing, the wind is cold, and the shelter is horrible. It doesn’t hold up against the elements out here. You can’t ever get warm, so we’re just huddled up together. It sucks. We need something, you know? If we can get warm and get everything dry for one day, we’ll be alright.</v>
      </c>
      <c r="V27" s="4"/>
      <c r="W27" s="3" t="str">
        <f>IFERROR(__xludf.DUMMYFUNCTION("""COMPUTED_VALUE"""),"S30 Mike (1/8): Joe winning this reward was devastating because probably getting a clue to the Hidden Immunity Idol on the reward. The kid's amazing, man. I don't know how I'm gonna beat him. So this is where the rubber meets the road.")</f>
        <v>S30 Mike (1/8): Joe winning this reward was devastating because probably getting a clue to the Hidden Immunity Idol on the reward. The kid's amazing, man. I don't know how I'm gonna beat him. So this is where the rubber meets the road.</v>
      </c>
      <c r="X27" s="4"/>
      <c r="Y27" s="3" t="str">
        <f>IFERROR(__xludf.DUMMYFUNCTION("""COMPUTED_VALUE"""),"S29 Natalie (3/10): Jon is always bringing up any excuse to talk about wine and how he wants to, I don't know, be some kind of wine specialist in the future and move to Vegas and... I don't know what it is. But he is always trying to pretend like he knows"&amp;" everything and the arrogance or the entitlement Jon has... Honestly, every time he talks about wine, I just want to be like, “Shut up!” It was torture, basically. (smirks)")</f>
        <v>S29 Natalie (3/10): Jon is always bringing up any excuse to talk about wine and how he wants to, I don't know, be some kind of wine specialist in the future and move to Vegas and... I don't know what it is. But he is always trying to pretend like he knows everything and the arrogance or the entitlement Jon has... Honestly, every time he talks about wine, I just want to be like, “Shut up!” It was torture, basically. (smirks)</v>
      </c>
      <c r="Z27" s="4"/>
      <c r="AA27" s="3" t="str">
        <f>IFERROR(__xludf.DUMMYFUNCTION("""COMPUTED_VALUE"""),"S28 Tony (1/7): When I first started this game, I wasn’t having fun with my tribe members. Now I’m out here with the new Solana tribe and I’m having fun with everybody. Day 17 and I’m having the time of my life. But it’s kinda boring to be honest with you"&amp;" because there’s no scrambling going on, there’s no trickery going on, there’s no spying. And that’s fun for me, y’know?")</f>
        <v>S28 Tony (1/7): When I first started this game, I wasn’t having fun with my tribe members. Now I’m out here with the new Solana tribe and I’m having fun with everybody. Day 17 and I’m having the time of my life. But it’s kinda boring to be honest with you because there’s no scrambling going on, there’s no trickery going on, there’s no spying. And that’s fun for me, y’know?</v>
      </c>
      <c r="AB27" s="4"/>
      <c r="AC27" s="3" t="str">
        <f>IFERROR(__xludf.DUMMYFUNCTION("""COMPUTED_VALUE"""),"S27 Tyson (6/6): Tonight, it’s more complicated than I thought it was going to be. The thing is-is we can’t split the votes because then Monica feels like she’s on bottom. And she’s a real wildcard, that girl. You never know what she’s gonna do and that’s"&amp;" what makes her dangerous.")</f>
        <v>S27 Tyson (6/6): Tonight, it’s more complicated than I thought it was going to be. The thing is-is we can’t split the votes because then Monica feels like she’s on bottom. And she’s a real wildcard, that girl. You never know what she’s gonna do and that’s what makes her dangerous.</v>
      </c>
      <c r="AD27" s="4"/>
      <c r="AE27" s="3" t="str">
        <f>IFERROR(__xludf.DUMMYFUNCTION("""COMPUTED_VALUE"""),"S26 Cochran (5/7): Dawn just approached me very frantic saying that Corinne let it be known that apparently she’s rallied this group of troops together that gives her the numbers and gives her post-merge control of the game.")</f>
        <v>S26 Cochran (5/7): Dawn just approached me very frantic saying that Corinne let it be known that apparently she’s rallied this group of troops together that gives her the numbers and gives her post-merge control of the game.</v>
      </c>
      <c r="AF27" s="4"/>
      <c r="AG27" s="3" t="str">
        <f>IFERROR(__xludf.DUMMYFUNCTION("""COMPUTED_VALUE"""),"S25 Denise (2/2): Between Michael, and Malcolm, and Lisa, and I, we have our solid four. Abi is the one going next, unless she miraculously wins immunity, which I doubt. I highly doubt it. But if she does somehow have immunity, Jonathan's made it this far"&amp;". He's a great player. Our next bet would probably be we'd vote out Jonathan.")</f>
        <v>S25 Denise (2/2): Between Michael, and Malcolm, and Lisa, and I, we have our solid four. Abi is the one going next, unless she miraculously wins immunity, which I doubt. I highly doubt it. But if she does somehow have immunity, Jonathan's made it this far. He's a great player. Our next bet would probably be we'd vote out Jonathan.</v>
      </c>
      <c r="AH27" s="4"/>
      <c r="AI27" s="3" t="str">
        <f>IFERROR(__xludf.DUMMYFUNCTION("""COMPUTED_VALUE"""),"S24 Kim (1/6): Tribal was really interesting tonight. Troy threw my name out, definitely throws me a curveball in this game, like, I was not planning on being a target so early on. I kind of feel like tonight sealed the deal a little bit with the women's "&amp;"alliance. I think that everybody feels kind of married to our alliance, and locked in, so I'm just trying to stay calm and keep everybody happy and hopefully get rid of Troy by the next Tribal Council.")</f>
        <v>S24 Kim (1/6): Tribal was really interesting tonight. Troy threw my name out, definitely throws me a curveball in this game, like, I was not planning on being a target so early on. I kind of feel like tonight sealed the deal a little bit with the women's alliance. I think that everybody feels kind of married to our alliance, and locked in, so I'm just trying to stay calm and keep everybody happy and hopefully get rid of Troy by the next Tribal Council.</v>
      </c>
      <c r="AJ27" s="4"/>
      <c r="AK27" s="3" t="str">
        <f>IFERROR(__xludf.DUMMYFUNCTION("""COMPUTED_VALUE"""),"S23 Sophie (6/6): I talked to Coach a bit about how to handle Albert. I'd like Albert, to live up in Tribal Council, to being a bit squirrelly, a bit wormy. I thought today more and more about my emotional breakdown at Tribal. I want to keep my composure "&amp;"tonight. The last thing I want to do is seem like this complete, you know, nut job, you know, crazy emotional crying, because I think that's somebody who doesn't deserve to go to the end. So I'm going to try to go in, um, perhaps a bit more logically than"&amp;" emotionally.")</f>
        <v>S23 Sophie (6/6): I talked to Coach a bit about how to handle Albert. I'd like Albert, to live up in Tribal Council, to being a bit squirrelly, a bit wormy. I thought today more and more about my emotional breakdown at Tribal. I want to keep my composure tonight. The last thing I want to do is seem like this complete, you know, nut job, you know, crazy emotional crying, because I think that's somebody who doesn't deserve to go to the end. So I'm going to try to go in, um, perhaps a bit more logically than emotionally.</v>
      </c>
      <c r="AL27" s="4"/>
      <c r="AM27" s="3" t="str">
        <f>IFERROR(__xludf.DUMMYFUNCTION("""COMPUTED_VALUE"""),"S22 Rob (5/8): If he felt secure, why would he ever want to keep Kristina? So Phillip knows where he's standing.")</f>
        <v>S22 Rob (5/8): If he felt secure, why would he ever want to keep Kristina? So Phillip knows where he's standing.</v>
      </c>
      <c r="AN27" s="4"/>
      <c r="AO27" s="3" t="str">
        <f>IFERROR(__xludf.DUMMYFUNCTION("""COMPUTED_VALUE"""),"S21 Fabio (5/5): Chase the whole time has said, “Yeah, I know Jane has to go. I know Jane has to go.” And now when it's actually time to do it, he's all thinking about it, and you-you can tell he doesn't want to let her go, and it's like, dude, if he , li"&amp;"ke, doesn't vote her out or something it could go down as his worst decision.")</f>
        <v>S21 Fabio (5/5): Chase the whole time has said, “Yeah, I know Jane has to go. I know Jane has to go.” And now when it's actually time to do it, he's all thinking about it, and you-you can tell he doesn't want to let her go, and it's like, dude, if he , like, doesn't vote her out or something it could go down as his worst decision.</v>
      </c>
      <c r="AP27" s="4"/>
      <c r="AQ27" s="3"/>
      <c r="AR27" s="4"/>
      <c r="AS27" s="3"/>
      <c r="AT27" s="4"/>
      <c r="AU27" s="3"/>
      <c r="AV27" s="4"/>
      <c r="AW27" s="3"/>
      <c r="AX27" s="4"/>
      <c r="AY27" s="3"/>
      <c r="AZ27" s="4"/>
      <c r="BA27" s="3"/>
      <c r="BB27" s="4"/>
      <c r="BC27" s="3"/>
      <c r="BD27" s="4"/>
      <c r="BE27" s="3"/>
      <c r="BF27" s="4"/>
      <c r="BG27" s="3"/>
      <c r="BH27" s="4"/>
      <c r="BI27" s="3"/>
      <c r="BJ27" s="4"/>
      <c r="BK27" s="3" t="str">
        <f>IFERROR(__xludf.DUMMYFUNCTION("""COMPUTED_VALUE"""),"S10 Tom (2/5): We just came back from this feast, and Janu says, “Oh, I want to try just one more,” and reaches out and takes some of the food.")</f>
        <v>S10 Tom (2/5): We just came back from this feast, and Janu says, “Oh, I want to try just one more,” and reaches out and takes some of the food.</v>
      </c>
      <c r="BL27" s="4"/>
      <c r="BM27" s="3" t="str">
        <f>IFERROR(__xludf.DUMMYFUNCTION("""COMPUTED_VALUE"""),"S09 Chris (1/6): As soon as I got back to camp, I narced out Scout and Twila. Uh, let them know that they had conspired with me and Chad for an alliance and, I just, you know, I just mixed things up as soon as we got back. It's going to be a mess.")</f>
        <v>S09 Chris (1/6): As soon as I got back to camp, I narced out Scout and Twila. Uh, let them know that they had conspired with me and Chad for an alliance and, I just, you know, I just mixed things up as soon as we got back. It's going to be a mess.</v>
      </c>
      <c r="BN27" s="4"/>
      <c r="BO27" s="3" t="str">
        <f>IFERROR(__xludf.DUMMYFUNCTION("""COMPUTED_VALUE"""),"S08 Amber (2/2): We've got our work cut out for us because we have so many deals going along with so many people. We have deals with Lex and Kathy. We have deals with Rupert and Jenna. We have a deal with Big Tom. Who the hell knows what's going on with A"&amp;"licia? It's-it's insane. My mind is like freaking out right now.")</f>
        <v>S08 Amber (2/2): We've got our work cut out for us because we have so many deals going along with so many people. We have deals with Lex and Kathy. We have deals with Rupert and Jenna. We have a deal with Big Tom. Who the hell knows what's going on with Alicia? It's-it's insane. My mind is like freaking out right now.</v>
      </c>
      <c r="BP27" s="4"/>
      <c r="BQ27" s="3" t="str">
        <f>IFERROR(__xludf.DUMMYFUNCTION("""COMPUTED_VALUE"""),"S07 Sandra (1/3): The person I was most worried about coming back in the game was Burton. I was like, ""Well, if he comes back to the Drake tribe, will he be pissed off at everybody? Is he gonna let bygones be bygones? What's his attitude going to be like"&amp;"?""")</f>
        <v>S07 Sandra (1/3): The person I was most worried about coming back in the game was Burton. I was like, "Well, if he comes back to the Drake tribe, will he be pissed off at everybody? Is he gonna let bygones be bygones? What's his attitude going to be like?"</v>
      </c>
      <c r="BR27" s="4"/>
      <c r="BS27" s="3"/>
      <c r="BT27" s="4"/>
      <c r="BU27" s="3"/>
      <c r="BV27" s="4"/>
      <c r="BW27" s="3"/>
      <c r="BX27" s="4"/>
      <c r="BY27" s="3"/>
      <c r="BZ27" s="4"/>
      <c r="CA27" s="3"/>
      <c r="CB27" s="4"/>
      <c r="CC27" s="3"/>
      <c r="CD27" s="4"/>
    </row>
    <row r="28">
      <c r="A28" s="3"/>
      <c r="B28" s="4"/>
      <c r="C28" s="3" t="str">
        <f>IFERROR(__xludf.DUMMYFUNCTION("""COMPUTED_VALUE"""),"S40 Tony (4/16): Sarah wanted to put on a fashion show, but I want to do damage, man. I want to play the game. Jeremy was my target at the last Tribal. Jeremy’s very likable. I can’t go to the end with him, so there’s no point in keeping him around. So, o"&amp;"bviously, I need to go undercover right now.")</f>
        <v>S40 Tony (4/16): Sarah wanted to put on a fashion show, but I want to do damage, man. I want to play the game. Jeremy was my target at the last Tribal. Jeremy’s very likable. I can’t go to the end with him, so there’s no point in keeping him around. So, obviously, I need to go undercover right now.</v>
      </c>
      <c r="D28" s="4"/>
      <c r="E28" s="3"/>
      <c r="F28" s="4"/>
      <c r="G28" s="3"/>
      <c r="H28" s="4"/>
      <c r="I28" s="3"/>
      <c r="J28" s="4"/>
      <c r="K28" s="3"/>
      <c r="L28" s="4"/>
      <c r="M28" s="3" t="str">
        <f>IFERROR(__xludf.DUMMYFUNCTION("""COMPUTED_VALUE"""),"S35 Ben (1/5): Freakin’ Ryan has the idol, and I couldn’t be more ecstatic at this point because now I know Cole doesn’t have it. Information is key in this game and so all this trust getting put into me is going to help me later on in the game, too. But "&amp;"this proves that Ryan is out here to play and win a million dollars, so I’ll just have to keep an eye on that because right now this seven has to stick together.")</f>
        <v>S35 Ben (1/5): Freakin’ Ryan has the idol, and I couldn’t be more ecstatic at this point because now I know Cole doesn’t have it. Information is key in this game and so all this trust getting put into me is going to help me later on in the game, too. But this proves that Ryan is out here to play and win a million dollars, so I’ll just have to keep an eye on that because right now this seven has to stick together.</v>
      </c>
      <c r="N28" s="4"/>
      <c r="O28" s="3" t="str">
        <f>IFERROR(__xludf.DUMMYFUNCTION("""COMPUTED_VALUE"""),"S34 Sarah (5/7): I feel good with Zeke. We’ve been together since Day 1. And right now we’re staying with the girls, but at the end of the day, I don’t trust them, I trust Zeke.")</f>
        <v>S34 Sarah (5/7): I feel good with Zeke. We’ve been together since Day 1. And right now we’re staying with the girls, but at the end of the day, I don’t trust them, I trust Zeke.</v>
      </c>
      <c r="P28" s="4"/>
      <c r="Q28" s="3" t="str">
        <f>IFERROR(__xludf.DUMMYFUNCTION("""COMPUTED_VALUE"""),"S33 Adam (10/10): Hannah is telling me that I just need to relax and that everything is going to be okay. But I know for a fact that my position in this game is very tenuous. Now the good news is I have the Hidden Immunity Idol. So I could play it, and kn"&amp;"ow that I'm still going to be here tomorrow. But if I use it and I have the numbers, I look like a chump. (in frustration) Oh, I don't know what to do.")</f>
        <v>S33 Adam (10/10): Hannah is telling me that I just need to relax and that everything is going to be okay. But I know for a fact that my position in this game is very tenuous. Now the good news is I have the Hidden Immunity Idol. So I could play it, and know that I'm still going to be here tomorrow. But if I use it and I have the numbers, I look like a chump. (in frustration) Oh, I don't know what to do.</v>
      </c>
      <c r="R28" s="4"/>
      <c r="S28" s="3" t="str">
        <f>IFERROR(__xludf.DUMMYFUNCTION("""COMPUTED_VALUE"""),"S32 Michele (4/6): I was originally on board when we were voting Jason, but now they decided they want Julia out. It freakin’ sucks. In a perfect world, I would love to go further with Julia. I mean, I trust her wholeheartedly, and, you know, she’s proved"&amp;" herself to me over and over and over again, and we’ve been together since Day 1, so I don’t want to have to write down the name of my biggest ally.")</f>
        <v>S32 Michele (4/6): I was originally on board when we were voting Jason, but now they decided they want Julia out. It freakin’ sucks. In a perfect world, I would love to go further with Julia. I mean, I trust her wholeheartedly, and, you know, she’s proved herself to me over and over and over again, and we’ve been together since Day 1, so I don’t want to have to write down the name of my biggest ally.</v>
      </c>
      <c r="T28" s="4"/>
      <c r="U28" s="3" t="str">
        <f>IFERROR(__xludf.DUMMYFUNCTION("""COMPUTED_VALUE"""),"S31 Jeremy (3/3): Some people are saying maybe they want to vote Stephen out because of his advantage. I don’t feel like that’s a great idea right now. I have two idols but I need Stephen. Stephen at least has my back. I want Stephen to stay. Stephen trus"&amp;"ts me.")</f>
        <v>S31 Jeremy (3/3): Some people are saying maybe they want to vote Stephen out because of his advantage. I don’t feel like that’s a great idea right now. I have two idols but I need Stephen. Stephen at least has my back. I want Stephen to stay. Stephen trusts me.</v>
      </c>
      <c r="V28" s="4"/>
      <c r="W28" s="3" t="str">
        <f>IFERROR(__xludf.DUMMYFUNCTION("""COMPUTED_VALUE"""),"S30 Mike (2/8): I'm actually sitting in the chair with my eyes halfway open to see what's going on, acting like I'm sleeping. Joe and Tyler get up and go around the corner. They bring the dishes like they're going down the river. I knew today was going to"&amp;" be a mad dash because I figured there was a Hidden Immunity Idol clue at the reward. The whole time I'm tracking them down the beach from tree to tree. I'm like Spy vs. Spy. I'm jumping in bushes. I'm climbing up this tree. I'm peeking through the leaves"&amp;", you know, trying to stay camouflaged where they can't see me.")</f>
        <v>S30 Mike (2/8): I'm actually sitting in the chair with my eyes halfway open to see what's going on, acting like I'm sleeping. Joe and Tyler get up and go around the corner. They bring the dishes like they're going down the river. I knew today was going to be a mad dash because I figured there was a Hidden Immunity Idol clue at the reward. The whole time I'm tracking them down the beach from tree to tree. I'm like Spy vs. Spy. I'm jumping in bushes. I'm climbing up this tree. I'm peeking through the leaves, you know, trying to stay camouflaged where they can't see me.</v>
      </c>
      <c r="X28" s="4"/>
      <c r="Y28" s="3" t="str">
        <f>IFERROR(__xludf.DUMMYFUNCTION("""COMPUTED_VALUE"""),"S29 Natalie (4/10): Jon should not trust me but I'm happy that he does. The fact that he told me that he found an idol on Exile is amazing 'cause I've become like the best friend now for him. (crosses fingers) So, getting Jon out now is really important. "&amp;"I just have to figure out how to do all this and if I could pull it off that would be amazing.")</f>
        <v>S29 Natalie (4/10): Jon should not trust me but I'm happy that he does. The fact that he told me that he found an idol on Exile is amazing 'cause I've become like the best friend now for him. (crosses fingers) So, getting Jon out now is really important. I just have to figure out how to do all this and if I could pull it off that would be amazing.</v>
      </c>
      <c r="Z28" s="4"/>
      <c r="AA28" s="3" t="str">
        <f>IFERROR(__xludf.DUMMYFUNCTION("""COMPUTED_VALUE"""),"S28 Tony (2/7): The feeling that I have with this idol, I feel like it’s an extra person in my alliance. We have five, plus the idol. If any of my tribe, the Solana Five, need it, I’ll help them out. So I think we’re in pretty good shape.")</f>
        <v>S28 Tony (2/7): The feeling that I have with this idol, I feel like it’s an extra person in my alliance. We have five, plus the idol. If any of my tribe, the Solana Five, need it, I’ll help them out. So I think we’re in pretty good shape.</v>
      </c>
      <c r="AB28" s="4"/>
      <c r="AC28" s="3" t="str">
        <f>IFERROR(__xludf.DUMMYFUNCTION("""COMPUTED_VALUE"""),"S27 Tyson (1/4): Now that Katie has an Immunity Idol clue, doesn’t worry me at all because I officially have the Hidden Immunity Idol and Katie is pretty much a non-factor. So, the only thing I’m thinking about is how to make my next move. And I think a l"&amp;"ot of people are okay with making moves as long as they’re not the bad guy, so I’m gonna have to take another one for the team and be the bad guy again.")</f>
        <v>S27 Tyson (1/4): Now that Katie has an Immunity Idol clue, doesn’t worry me at all because I officially have the Hidden Immunity Idol and Katie is pretty much a non-factor. So, the only thing I’m thinking about is how to make my next move. And I think a lot of people are okay with making moves as long as they’re not the bad guy, so I’m gonna have to take another one for the team and be the bad guy again.</v>
      </c>
      <c r="AD28" s="4"/>
      <c r="AE28" s="3" t="str">
        <f>IFERROR(__xludf.DUMMYFUNCTION("""COMPUTED_VALUE"""),"S26 Cochran (6/7): Corinne, who I thought didn't have a strategic bone in her body, she's positioned herself in a way that we have been basically acquiescing to every single demand she's made. So it's a sobering situation, and if we don't come up with a p"&amp;"lan, it could be devastating to my game and the games of my allies.")</f>
        <v>S26 Cochran (6/7): Corinne, who I thought didn't have a strategic bone in her body, she's positioned herself in a way that we have been basically acquiescing to every single demand she's made. So it's a sobering situation, and if we don't come up with a plan, it could be devastating to my game and the games of my allies.</v>
      </c>
      <c r="AF28" s="4"/>
      <c r="AG28" s="3" t="str">
        <f>IFERROR(__xludf.DUMMYFUNCTION("""COMPUTED_VALUE"""),"S25 Denise (1/1): It is not a cultural thing. It's-it’s her personality. And there wasn't a single one of us sitting there that didn't go, ""And now you've just given us the very reason we need to vote you out,"" because it's this histrionic, dramatic, pa"&amp;"ssive-aggressive martyr. It's not culture, it's just-- it’s the culture of Abi.")</f>
        <v>S25 Denise (1/1): It is not a cultural thing. It's-it’s her personality. And there wasn't a single one of us sitting there that didn't go, "And now you've just given us the very reason we need to vote you out," because it's this histrionic, dramatic, passive-aggressive martyr. It's not culture, it's just-- it’s the culture of Abi.</v>
      </c>
      <c r="AH28" s="4"/>
      <c r="AI28" s="3" t="str">
        <f>IFERROR(__xludf.DUMMYFUNCTION("""COMPUTED_VALUE"""),"S24 Kim (2/6): The reward was awesome, but I can't decide if I'm enjoying it or not. (laughs)")</f>
        <v>S24 Kim (2/6): The reward was awesome, but I can't decide if I'm enjoying it or not. (laughs)</v>
      </c>
      <c r="AJ28" s="4"/>
      <c r="AK28" s="3"/>
      <c r="AL28" s="4"/>
      <c r="AM28" s="3" t="str">
        <f>IFERROR(__xludf.DUMMYFUNCTION("""COMPUTED_VALUE"""),"S22 Rob (6/8): Man, we can't win a challenge. It's tough already, and Phillip, he's never one to shy away from a moment in the sun. I mean, at this point, there's, like, an utter malice towards him that's palpable.")</f>
        <v>S22 Rob (6/8): Man, we can't win a challenge. It's tough already, and Phillip, he's never one to shy away from a moment in the sun. I mean, at this point, there's, like, an utter malice towards him that's palpable.</v>
      </c>
      <c r="AN28" s="4"/>
      <c r="AO28" s="3" t="str">
        <f>IFERROR(__xludf.DUMMYFUNCTION("""COMPUTED_VALUE"""),"S21 Fabio (1/14): After last night's Tribal Council, realizing that Sash, Holly, and Chase are pretty tight, you know, I definitely think it's in my best interest to break them up.")</f>
        <v>S21 Fabio (1/14): After last night's Tribal Council, realizing that Sash, Holly, and Chase are pretty tight, you know, I definitely think it's in my best interest to break them up.</v>
      </c>
      <c r="AP28" s="4"/>
      <c r="AQ28" s="3"/>
      <c r="AR28" s="4"/>
      <c r="AS28" s="3"/>
      <c r="AT28" s="4"/>
      <c r="AU28" s="3"/>
      <c r="AV28" s="4"/>
      <c r="AW28" s="3"/>
      <c r="AX28" s="4"/>
      <c r="AY28" s="3"/>
      <c r="AZ28" s="4"/>
      <c r="BA28" s="3"/>
      <c r="BB28" s="4"/>
      <c r="BC28" s="3"/>
      <c r="BD28" s="4"/>
      <c r="BE28" s="3"/>
      <c r="BF28" s="4"/>
      <c r="BG28" s="3"/>
      <c r="BH28" s="4"/>
      <c r="BI28" s="3"/>
      <c r="BJ28" s="4"/>
      <c r="BK28" s="3" t="str">
        <f>IFERROR(__xludf.DUMMYFUNCTION("""COMPUTED_VALUE"""),"S10 Tom (3/5): The big decision that we’re facing right now is who’s going home tonight?")</f>
        <v>S10 Tom (3/5): The big decision that we’re facing right now is who’s going home tonight?</v>
      </c>
      <c r="BL28" s="4"/>
      <c r="BM28" s="3" t="str">
        <f>IFERROR(__xludf.DUMMYFUNCTION("""COMPUTED_VALUE"""),"S09 Chris (2/6): Eliza's mom will probably be leaving soon, and, uh, everybody's doing a little something that maybe she can pass on to our loved ones. Something for them to remember us by and let ‘em know we're thinking about them.")</f>
        <v>S09 Chris (2/6): Eliza's mom will probably be leaving soon, and, uh, everybody's doing a little something that maybe she can pass on to our loved ones. Something for them to remember us by and let ‘em know we're thinking about them.</v>
      </c>
      <c r="BN28" s="4"/>
      <c r="BO28" s="3" t="str">
        <f>IFERROR(__xludf.DUMMYFUNCTION("""COMPUTED_VALUE"""),"S08 Amber (1/1): Well, not only did Tribal suck, 'cause it always sucks, but it poured on us the entire time. I'm freezing cold. And especially for me, I had to suffer two votes. So... I'm just happy to still be here.")</f>
        <v>S08 Amber (1/1): Well, not only did Tribal suck, 'cause it always sucks, but it poured on us the entire time. I'm freezing cold. And especially for me, I had to suffer two votes. So... I'm just happy to still be here.</v>
      </c>
      <c r="BP28" s="4"/>
      <c r="BQ28" s="3" t="str">
        <f>IFERROR(__xludf.DUMMYFUNCTION("""COMPUTED_VALUE"""),"S07 Sandra (2/3): And then the apologies started. ""Burton we're so sorry we voted for you."" That's what we wanted to hear, and you know what? We're glad he's here, because he's so strong. We're gonna go further.")</f>
        <v>S07 Sandra (2/3): And then the apologies started. "Burton we're so sorry we voted for you." That's what we wanted to hear, and you know what? We're glad he's here, because he's so strong. We're gonna go further.</v>
      </c>
      <c r="BR28" s="4"/>
      <c r="BS28" s="3"/>
      <c r="BT28" s="4"/>
      <c r="BU28" s="3"/>
      <c r="BV28" s="4"/>
      <c r="BW28" s="3"/>
      <c r="BX28" s="4"/>
      <c r="BY28" s="3"/>
      <c r="BZ28" s="4"/>
      <c r="CA28" s="3"/>
      <c r="CB28" s="4"/>
      <c r="CC28" s="3"/>
      <c r="CD28" s="4"/>
    </row>
    <row r="29">
      <c r="A29" s="3"/>
      <c r="B29" s="4"/>
      <c r="C29" s="3" t="str">
        <f>IFERROR(__xludf.DUMMYFUNCTION("""COMPUTED_VALUE"""),"S40 Tony (5/16): What I have to do is pretend that I’m on a side that I’m really not. I’m undercover, so I can keep infiltrated in the group that I really want out… which is Jeremy, Michele, Denise and Kim.")</f>
        <v>S40 Tony (5/16): What I have to do is pretend that I’m on a side that I’m really not. I’m undercover, so I can keep infiltrated in the group that I really want out… which is Jeremy, Michele, Denise and Kim.</v>
      </c>
      <c r="D29" s="4"/>
      <c r="E29" s="3"/>
      <c r="F29" s="4"/>
      <c r="G29" s="3"/>
      <c r="H29" s="4"/>
      <c r="I29" s="3"/>
      <c r="J29" s="4"/>
      <c r="K29" s="3"/>
      <c r="L29" s="4"/>
      <c r="M29" s="3" t="str">
        <f>IFERROR(__xludf.DUMMYFUNCTION("""COMPUTED_VALUE"""),"S35 Ben (2/5): I’m aligned with Lauren, but I am going to need to trust someone to come on board with Lauren and I to help us, because thinking more about the fact that Ryan has an idol, I realized that’s pretty dangerous.")</f>
        <v>S35 Ben (2/5): I’m aligned with Lauren, but I am going to need to trust someone to come on board with Lauren and I to help us, because thinking more about the fact that Ryan has an idol, I realized that’s pretty dangerous.</v>
      </c>
      <c r="N29" s="4"/>
      <c r="O29" s="3" t="str">
        <f>IFERROR(__xludf.DUMMYFUNCTION("""COMPUTED_VALUE"""),"S34 Sarah (6/7): Just because Andrea’s got a little bit of power now, she’s talking about potentially taking out Zeke this vote. I’m definitely not down for it. I need Zeke for a few more votes, but I really need to keep my mouth shut, because if I start "&amp;"scrambling around to try to save Zeke, I’m going to get in hot water.")</f>
        <v>S34 Sarah (6/7): Just because Andrea’s got a little bit of power now, she’s talking about potentially taking out Zeke this vote. I’m definitely not down for it. I need Zeke for a few more votes, but I really need to keep my mouth shut, because if I start scrambling around to try to save Zeke, I’m going to get in hot water.</v>
      </c>
      <c r="P29" s="4"/>
      <c r="Q29" s="3" t="str">
        <f>IFERROR(__xludf.DUMMYFUNCTION("""COMPUTED_VALUE"""),"S33 Adam (1/2): Going into Tribal Council, Jay and Taylor blew up my spot, and then they gunned for me, and when they gunned for me, all bets were off. Even if I am at the bottom of Gen X, it certainly feels a lot better than being out of the game, which "&amp;"is where you tried to put me.")</f>
        <v>S33 Adam (1/2): Going into Tribal Council, Jay and Taylor blew up my spot, and then they gunned for me, and when they gunned for me, all bets were off. Even if I am at the bottom of Gen X, it certainly feels a lot better than being out of the game, which is where you tried to put me.</v>
      </c>
      <c r="R29" s="4"/>
      <c r="S29" s="3" t="str">
        <f>IFERROR(__xludf.DUMMYFUNCTION("""COMPUTED_VALUE"""),"S32 Michele (5/6): You know, earlier I told everyone I was going to vote for Julia to keep everyone happy and to lock in that I’m with them a 100%, but if Jason and Julia really do have Cydney, then the Tai vote could work out and it would also save Julia"&amp;", which is great, because it’s been killing me to think that I would have to go against her.")</f>
        <v>S32 Michele (5/6): You know, earlier I told everyone I was going to vote for Julia to keep everyone happy and to lock in that I’m with them a 100%, but if Jason and Julia really do have Cydney, then the Tai vote could work out and it would also save Julia, which is great, because it’s been killing me to think that I would have to go against her.</v>
      </c>
      <c r="T29" s="4"/>
      <c r="U29" s="3" t="str">
        <f>IFERROR(__xludf.DUMMYFUNCTION("""COMPUTED_VALUE"""),"S31 Jeremy (1/1): I know that Stephen will have my back, and I think Stephen wants to take me all the way to the end, and I like that. I needed that. When you make moves like that, a big move like that, I know there’s going to be a huge target on me now a"&amp;"fter doing it, but this game is so crazy, I feel like everybody’s still in it, so I have wiggle room to make the next move.")</f>
        <v>S31 Jeremy (1/1): I know that Stephen will have my back, and I think Stephen wants to take me all the way to the end, and I like that. I needed that. When you make moves like that, a big move like that, I know there’s going to be a huge target on me now after doing it, but this game is so crazy, I feel like everybody’s still in it, so I have wiggle room to make the next move.</v>
      </c>
      <c r="V29" s="4"/>
      <c r="W29" s="3" t="str">
        <f>IFERROR(__xludf.DUMMYFUNCTION("""COMPUTED_VALUE"""),"S30 Mike (3/8): Why would Joe be showing Tyler a Hidden Immunity Idol clue?! Unless he's trying to woo him over!")</f>
        <v>S30 Mike (3/8): Why would Joe be showing Tyler a Hidden Immunity Idol clue?! Unless he's trying to woo him over!</v>
      </c>
      <c r="X29" s="4"/>
      <c r="Y29" s="3" t="str">
        <f>IFERROR(__xludf.DUMMYFUNCTION("""COMPUTED_VALUE"""),"S29 Natalie (5/10): Jon is very confident. He thinks that it's going to be a really easy cakewalk to the final three 'cause he's got Missy around his finger. He thinks that Baylor is not going to do anything to mess up her mom's plans. He's got his girlfr"&amp;"iend wrapped around his finger and he thinks that I'm just going to do whatever he wants. The thing is, even though he's obnoxious, Jon's played a really good game. So, the more and more I'm thinking of the jury, I'm like, “Why risk even going to final th"&amp;"ree with somebody like Jon?” 'Cause if he wins, I will literally kill myself.")</f>
        <v>S29 Natalie (5/10): Jon is very confident. He thinks that it's going to be a really easy cakewalk to the final three 'cause he's got Missy around his finger. He thinks that Baylor is not going to do anything to mess up her mom's plans. He's got his girlfriend wrapped around his finger and he thinks that I'm just going to do whatever he wants. The thing is, even though he's obnoxious, Jon's played a really good game. So, the more and more I'm thinking of the jury, I'm like, “Why risk even going to final three with somebody like Jon?” 'Cause if he wins, I will literally kill myself.</v>
      </c>
      <c r="Z29" s="4"/>
      <c r="AA29" s="3" t="str">
        <f>IFERROR(__xludf.DUMMYFUNCTION("""COMPUTED_VALUE"""),"S28 Tony (3/7): Wow, there’s a Hidden Immunity Idol with special powers?! I mean, it’s powerful enough on its own, but now it’s special powers? There’s only one way to find out what these special powers can be, and I guess that person that finds that idol"&amp;" is the only person that’s going to know what those special powers are. Of course I’m going to go look for it. I’ll spend, two, three, four days looking for it!")</f>
        <v>S28 Tony (3/7): Wow, there’s a Hidden Immunity Idol with special powers?! I mean, it’s powerful enough on its own, but now it’s special powers? There’s only one way to find out what these special powers can be, and I guess that person that finds that idol is the only person that’s going to know what those special powers are. Of course I’m going to go look for it. I’ll spend, two, three, four days looking for it!</v>
      </c>
      <c r="AB29" s="4"/>
      <c r="AC29" s="3" t="str">
        <f>IFERROR(__xludf.DUMMYFUNCTION("""COMPUTED_VALUE"""),"S27 Tyson (2/4): The safe bet right now is to take Laura M. out before she gets further in the game and then collaborates with someone with her daughter because then there’s two votes that you’re worrying about instead of just one.")</f>
        <v>S27 Tyson (2/4): The safe bet right now is to take Laura M. out before she gets further in the game and then collaborates with someone with her daughter because then there’s two votes that you’re worrying about instead of just one.</v>
      </c>
      <c r="AD29" s="4"/>
      <c r="AE29" s="3" t="str">
        <f>IFERROR(__xludf.DUMMYFUNCTION("""COMPUTED_VALUE"""),"S26 Cochran (7/7): You know, it's disconcerting that my fate in this game right now rests in the hands of somebody like Sherri who’s just desperate for some sort of footing in this game. And you have Erik, the ice cream scooper, a guy who doesn’t like str"&amp;"ategy and somebody who’s basically proven himself previously to be incompetent at playing this game.")</f>
        <v>S26 Cochran (7/7): You know, it's disconcerting that my fate in this game right now rests in the hands of somebody like Sherri who’s just desperate for some sort of footing in this game. And you have Erik, the ice cream scooper, a guy who doesn’t like strategy and somebody who’s basically proven himself previously to be incompetent at playing this game.</v>
      </c>
      <c r="AF29" s="4"/>
      <c r="AG29" s="3" t="str">
        <f>IFERROR(__xludf.DUMMYFUNCTION("""COMPUTED_VALUE"""),"S25 Denise (1/5): It's going to be a painful afternoon. It's like the first date with the kid who, like, pulled your hair all time in kindergarten, or, like, spit in your lunch, and then suddenly, you're on a date. And it's like, “Wow… okay.” So I'm just "&amp;"going to make nice.")</f>
        <v>S25 Denise (1/5): It's going to be a painful afternoon. It's like the first date with the kid who, like, pulled your hair all time in kindergarten, or, like, spit in your lunch, and then suddenly, you're on a date. And it's like, “Wow… okay.” So I'm just going to make nice.</v>
      </c>
      <c r="AH29" s="4"/>
      <c r="AI29" s="3" t="str">
        <f>IFERROR(__xludf.DUMMYFUNCTION("""COMPUTED_VALUE"""),"S24 Kim (3/6): The food was incredible and I'm trying to block camp out, but it's really hard. Mostly, ‘cause I'm scared right now with what just happened with that Reward Challenge.")</f>
        <v>S24 Kim (3/6): The food was incredible and I'm trying to block camp out, but it's really hard. Mostly, ‘cause I'm scared right now with what just happened with that Reward Challenge.</v>
      </c>
      <c r="AJ29" s="4"/>
      <c r="AK29" s="3"/>
      <c r="AL29" s="4"/>
      <c r="AM29" s="3" t="str">
        <f>IFERROR(__xludf.DUMMYFUNCTION("""COMPUTED_VALUE"""),"S22 Rob (7/8): Apparently, Kristina has been snooping around about the idol. She's dangerous. As much as everybody else hates Phillip and doesn't trust Phillip, he's less of a threat to me than Kristina is. I don't want to give it away that I have the ido"&amp;"l. I want them to think Kristina has it so we're going to split the vote. We're going to throw three votes on Kristina, two votes on Phillip and if everybody does what they're told, Kristina will be voted out.")</f>
        <v>S22 Rob (7/8): Apparently, Kristina has been snooping around about the idol. She's dangerous. As much as everybody else hates Phillip and doesn't trust Phillip, he's less of a threat to me than Kristina is. I don't want to give it away that I have the idol. I want them to think Kristina has it so we're going to split the vote. We're going to throw three votes on Kristina, two votes on Phillip and if everybody does what they're told, Kristina will be voted out.</v>
      </c>
      <c r="AN29" s="4"/>
      <c r="AO29" s="3" t="str">
        <f>IFERROR(__xludf.DUMMYFUNCTION("""COMPUTED_VALUE"""),"S21 Fabio (2/14): I'm not very comfortable going to Tribal Council without a necklace right now. But I gotta be cool right now. I can't let on that I'm playing the game.")</f>
        <v>S21 Fabio (2/14): I'm not very comfortable going to Tribal Council without a necklace right now. But I gotta be cool right now. I can't let on that I'm playing the game.</v>
      </c>
      <c r="AP29" s="4"/>
      <c r="AQ29" s="3"/>
      <c r="AR29" s="4"/>
      <c r="AS29" s="3"/>
      <c r="AT29" s="4"/>
      <c r="AU29" s="3"/>
      <c r="AV29" s="4"/>
      <c r="AW29" s="3"/>
      <c r="AX29" s="4"/>
      <c r="AY29" s="3"/>
      <c r="AZ29" s="4"/>
      <c r="BA29" s="3"/>
      <c r="BB29" s="4"/>
      <c r="BC29" s="3"/>
      <c r="BD29" s="4"/>
      <c r="BE29" s="3"/>
      <c r="BF29" s="4"/>
      <c r="BG29" s="3"/>
      <c r="BH29" s="4"/>
      <c r="BI29" s="3"/>
      <c r="BJ29" s="4"/>
      <c r="BK29" s="3" t="str">
        <f>IFERROR(__xludf.DUMMYFUNCTION("""COMPUTED_VALUE"""),"S10 Tom (4/5): From Day 2, Katie, Ian, myself and Stephenie had all decided that we’d try to run this as a final four, and we all agreed that should we get split into different tribes, every man for himself, but look out for each other when we do get back"&amp;" together. The problem with that right now is Jenn and Gregg, who have since joined Ian, Katie, and I, and have become five, are adamant that Stephenie goes home.")</f>
        <v>S10 Tom (4/5): From Day 2, Katie, Ian, myself and Stephenie had all decided that we’d try to run this as a final four, and we all agreed that should we get split into different tribes, every man for himself, but look out for each other when we do get back together. The problem with that right now is Jenn and Gregg, who have since joined Ian, Katie, and I, and have become five, are adamant that Stephenie goes home.</v>
      </c>
      <c r="BL29" s="4"/>
      <c r="BM29" s="3" t="str">
        <f>IFERROR(__xludf.DUMMYFUNCTION("""COMPUTED_VALUE"""),"S09 Chris (3/6): Julie's pretty much been my informant and she informed me that they're flower power again; girls strong. Julie let me know that, uh, my head's on the chopping block and that, uh, I have to win immunity to stay in the game.")</f>
        <v>S09 Chris (3/6): Julie's pretty much been my informant and she informed me that they're flower power again; girls strong. Julie let me know that, uh, my head's on the chopping block and that, uh, I have to win immunity to stay in the game.</v>
      </c>
      <c r="BN29" s="4"/>
      <c r="BO29" s="3" t="str">
        <f>IFERROR(__xludf.DUMMYFUNCTION("""COMPUTED_VALUE"""),"S08 Amber (1/2): Alicia's very emotional, and when something upsets her, she becomes a huge grump around the camp. She's just being a big baby about it. People are observing it. People are getting annoyed with it. People will vote you out sooner because t"&amp;"hey don't want to live with it.")</f>
        <v>S08 Amber (1/2): Alicia's very emotional, and when something upsets her, she becomes a huge grump around the camp. She's just being a big baby about it. People are observing it. People are getting annoyed with it. People will vote you out sooner because they don't want to live with it.</v>
      </c>
      <c r="BP29" s="4"/>
      <c r="BQ29" s="3" t="str">
        <f>IFERROR(__xludf.DUMMYFUNCTION("""COMPUTED_VALUE"""),"S07 Sandra (3/3): We rolled in, and there was a feast just waiting for us on a table. Ribs, bread, cheese, oranges, nuts, everything, the works… and we just tore down.")</f>
        <v>S07 Sandra (3/3): We rolled in, and there was a feast just waiting for us on a table. Ribs, bread, cheese, oranges, nuts, everything, the works… and we just tore down.</v>
      </c>
      <c r="BR29" s="4"/>
      <c r="BS29" s="3"/>
      <c r="BT29" s="4"/>
      <c r="BU29" s="3"/>
      <c r="BV29" s="4"/>
      <c r="BW29" s="3"/>
      <c r="BX29" s="4"/>
      <c r="BY29" s="3"/>
      <c r="BZ29" s="4"/>
      <c r="CA29" s="3"/>
      <c r="CB29" s="4"/>
      <c r="CC29" s="3"/>
      <c r="CD29" s="4"/>
    </row>
    <row r="30">
      <c r="A30" s="3"/>
      <c r="B30" s="4"/>
      <c r="C30" s="3" t="str">
        <f>IFERROR(__xludf.DUMMYFUNCTION("""COMPUTED_VALUE"""),"S40 Tony (6/16): I have to continuously pretend I’m on their side, because that’s the only way we can blindside them. In my real job, I never went undercover like this. The real world is way more dangerous than getting blindsided on Survivor, so, right no"&amp;"w, I’m having all the fun out here on Survivor land.")</f>
        <v>S40 Tony (6/16): I have to continuously pretend I’m on their side, because that’s the only way we can blindside them. In my real job, I never went undercover like this. The real world is way more dangerous than getting blindsided on Survivor, so, right now, I’m having all the fun out here on Survivor land.</v>
      </c>
      <c r="D30" s="4"/>
      <c r="E30" s="3"/>
      <c r="F30" s="4"/>
      <c r="G30" s="3"/>
      <c r="H30" s="4"/>
      <c r="I30" s="3"/>
      <c r="J30" s="4"/>
      <c r="K30" s="3"/>
      <c r="L30" s="4"/>
      <c r="M30" s="3" t="str">
        <f>IFERROR(__xludf.DUMMYFUNCTION("""COMPUTED_VALUE"""),"S35 Ben (3/5): I chose Devon because Devon’s just got a good soul. He really does. He’s got a good heart. I want him to trust me, and I want him on my side.")</f>
        <v>S35 Ben (3/5): I chose Devon because Devon’s just got a good soul. He really does. He’s got a good heart. I want him to trust me, and I want him on my side.</v>
      </c>
      <c r="N30" s="4"/>
      <c r="O30" s="3" t="str">
        <f>IFERROR(__xludf.DUMMYFUNCTION("""COMPUTED_VALUE"""),"S34 Sarah (7/7): Tonight is now about Sierra versus Zeke. This vote for our alliance is a huge decision, because right now it’s 6 to 4. We vote out one of our own, it’s 5 to 4. One person flips over, they’ve got the numbers. But at the same time, if I pre"&amp;"ss the issue of keeping Zeke, they’re going to think I have an ulterior motive, they’re not going to trust me, and trust is everything in this game, so I don’t know what I’m going to do, but I have a feeling the deciding vote is going to come down to Mich"&amp;"aela and me.")</f>
        <v>S34 Sarah (7/7): Tonight is now about Sierra versus Zeke. This vote for our alliance is a huge decision, because right now it’s 6 to 4. We vote out one of our own, it’s 5 to 4. One person flips over, they’ve got the numbers. But at the same time, if I press the issue of keeping Zeke, they’re going to think I have an ulterior motive, they’re not going to trust me, and trust is everything in this game, so I don’t know what I’m going to do, but I have a feeling the deciding vote is going to come down to Michaela and me.</v>
      </c>
      <c r="P30" s="4"/>
      <c r="Q30" s="3" t="str">
        <f>IFERROR(__xludf.DUMMYFUNCTION("""COMPUTED_VALUE"""),"S33 Adam (2/2): I'm worried that I might be playing too aggressively, that I might be playing too hard, but I have to prove my loyalty to my alliance, because I have a much stronger bond with Gen X than I certainly ever will with Jay at this point.")</f>
        <v>S33 Adam (2/2): I'm worried that I might be playing too aggressively, that I might be playing too hard, but I have to prove my loyalty to my alliance, because I have a much stronger bond with Gen X than I certainly ever will with Jay at this point.</v>
      </c>
      <c r="R30" s="4"/>
      <c r="S30" s="3" t="str">
        <f>IFERROR(__xludf.DUMMYFUNCTION("""COMPUTED_VALUE"""),"S32 Michele (6/6): A lot is riding on tonight's Tribal for me. I have a decision to make regarding my relationship with Julia and my alliance. I don’t want to backstab either side. I’m struggling to decide what action needs to be taken. It can really affe"&amp;"ct your game mentally and emotionally. All I can do is fight and play my game.")</f>
        <v>S32 Michele (6/6): A lot is riding on tonight's Tribal for me. I have a decision to make regarding my relationship with Julia and my alliance. I don’t want to backstab either side. I’m struggling to decide what action needs to be taken. It can really affect your game mentally and emotionally. All I can do is fight and play my game.</v>
      </c>
      <c r="T30" s="4"/>
      <c r="U30" s="3" t="str">
        <f>IFERROR(__xludf.DUMMYFUNCTION("""COMPUTED_VALUE"""),"S31 Jeremy (1/4): I didn’t want Stephen gone. Now, I feel like I’m in trouble. I don’t feel comfortable with anything. These voting blocs just keep moving and I don’t like that feeling. I like to be in the middle of everything and know what’s going on.")</f>
        <v>S31 Jeremy (1/4): I didn’t want Stephen gone. Now, I feel like I’m in trouble. I don’t feel comfortable with anything. These voting blocs just keep moving and I don’t like that feeling. I like to be in the middle of everything and know what’s going on.</v>
      </c>
      <c r="V30" s="4"/>
      <c r="W30" s="3" t="str">
        <f>IFERROR(__xludf.DUMMYFUNCTION("""COMPUTED_VALUE"""),"S30 Mike (4/8): Joe just takes off by himself. He's out looking for the idol right now. Well no one else... is watching Joe. I gotta find Joe before he finds the idol so that... (deep sigh) we can send this guy home and it's not me. Because I honestly fee"&amp;"l that once Joe is out of the game, if I don't have something in my back pocket, I'm the next one to go home. So, going to look for Joe.")</f>
        <v>S30 Mike (4/8): Joe just takes off by himself. He's out looking for the idol right now. Well no one else... is watching Joe. I gotta find Joe before he finds the idol so that... (deep sigh) we can send this guy home and it's not me. Because I honestly feel that once Joe is out of the game, if I don't have something in my back pocket, I'm the next one to go home. So, going to look for Joe.</v>
      </c>
      <c r="X30" s="4"/>
      <c r="Y30" s="3" t="str">
        <f>IFERROR(__xludf.DUMMYFUNCTION("""COMPUTED_VALUE"""),"S29 Natalie (6/10): I literally thought we could get out Jon tonight and he won immunity so we have to come up with a Plan B and fast because we have no Plan B right now. I'm just feeling kinda just like, “Oh my God! Now what do I do?”")</f>
        <v>S29 Natalie (6/10): I literally thought we could get out Jon tonight and he won immunity so we have to come up with a Plan B and fast because we have no Plan B right now. I'm just feeling kinda just like, “Oh my God! Now what do I do?”</v>
      </c>
      <c r="Z30" s="4"/>
      <c r="AA30" s="3" t="str">
        <f>IFERROR(__xludf.DUMMYFUNCTION("""COMPUTED_VALUE"""),"S28 Tony (4/7): We might be in some trouble. Six against five is pretty tough, so the only hope that I had, personally, was Sarah ‘cause Sarah was an old Aparri and, uh, she swore on her badge to me, telling me that she wants to be with me. But my biggest"&amp;" fear is that if Sarah doesn’t flip, we’re done; I’m done. I don’t want to be done.")</f>
        <v>S28 Tony (4/7): We might be in some trouble. Six against five is pretty tough, so the only hope that I had, personally, was Sarah ‘cause Sarah was an old Aparri and, uh, she swore on her badge to me, telling me that she wants to be with me. But my biggest fear is that if Sarah doesn’t flip, we’re done; I’m done. I don’t want to be done.</v>
      </c>
      <c r="AB30" s="4"/>
      <c r="AC30" s="3" t="str">
        <f>IFERROR(__xludf.DUMMYFUNCTION("""COMPUTED_VALUE"""),"S27 Tyson (3/4): Right now, it’s a shifting game partly because people assume there’s a Hidden Immunity Idol out there. Also, because I’m the biggest threat in the game. I’m like the Big Bad Wolf, almost. People aren’t liking me-- they like me just fine r"&amp;"ight here, but the second I vote ‘em out, they hate me. And so I need to get Ciera on board about voting her mom out.")</f>
        <v>S27 Tyson (3/4): Right now, it’s a shifting game partly because people assume there’s a Hidden Immunity Idol out there. Also, because I’m the biggest threat in the game. I’m like the Big Bad Wolf, almost. People aren’t liking me-- they like me just fine right here, but the second I vote ‘em out, they hate me. And so I need to get Ciera on board about voting her mom out.</v>
      </c>
      <c r="AD30" s="4"/>
      <c r="AE30" s="3" t="str">
        <f>IFERROR(__xludf.DUMMYFUNCTION("""COMPUTED_VALUE"""),"S26 Cochran (1/4): We get to the reward location and there's this brilliant waterfall forty or so feet tall, and we're going to have to rappel down it. I'm going to have to rappel down it. This is not something I do. I rarely leave my apartment, I rarely "&amp;"leave twitter and the fact that I'm going to be flung down some waterfall on a rope, I don't even know the mechanics of it. I have no idea what's going on.")</f>
        <v>S26 Cochran (1/4): We get to the reward location and there's this brilliant waterfall forty or so feet tall, and we're going to have to rappel down it. I'm going to have to rappel down it. This is not something I do. I rarely leave my apartment, I rarely leave twitter and the fact that I'm going to be flung down some waterfall on a rope, I don't even know the mechanics of it. I have no idea what's going on.</v>
      </c>
      <c r="AF30" s="4"/>
      <c r="AG30" s="3" t="str">
        <f>IFERROR(__xludf.DUMMYFUNCTION("""COMPUTED_VALUE"""),"S25 Denise (2/5): It-- it's like, I just want to get to the end of the day, and so I'm going to let her strategize. I'm going to let her talk about how she's a swing vote.")</f>
        <v>S25 Denise (2/5): It-- it's like, I just want to get to the end of the day, and so I'm going to let her strategize. I'm going to let her talk about how she's a swing vote.</v>
      </c>
      <c r="AH30" s="4"/>
      <c r="AI30" s="3" t="str">
        <f>IFERROR(__xludf.DUMMYFUNCTION("""COMPUTED_VALUE"""),"S24 Kim (4/6): You know, I think my choice to not choose Kat today was the first decision that I have made that was not strategic, and I think I'm paying for it now.")</f>
        <v>S24 Kim (4/6): You know, I think my choice to not choose Kat today was the first decision that I have made that was not strategic, and I think I'm paying for it now.</v>
      </c>
      <c r="AJ30" s="4"/>
      <c r="AK30" s="3"/>
      <c r="AL30" s="4"/>
      <c r="AM30" s="3" t="str">
        <f>IFERROR(__xludf.DUMMYFUNCTION("""COMPUTED_VALUE"""),"S22 Rob (8/8): Grant, he wants to get rid of Phillip tonight, and those girls are obsessed with getting Phillip out. So it quite conceivably could be that somebody within my alliance might be willing to flip and vote out Phillip. Hopefully, all these guys"&amp;" get nice in line like they should and do as they're told. If not, I'm not in control of my tribe after all.")</f>
        <v>S22 Rob (8/8): Grant, he wants to get rid of Phillip tonight, and those girls are obsessed with getting Phillip out. So it quite conceivably could be that somebody within my alliance might be willing to flip and vote out Phillip. Hopefully, all these guys get nice in line like they should and do as they're told. If not, I'm not in control of my tribe after all.</v>
      </c>
      <c r="AN30" s="4"/>
      <c r="AO30" s="3" t="str">
        <f>IFERROR(__xludf.DUMMYFUNCTION("""COMPUTED_VALUE"""),"S21 Fabio (3/14): I won again! It was awesome, man. Going into it, I knew that if I didn't win, I was not safe. But I got my necklace, and I'm loving it, man. I've always known that I was gonna wait to the last minute to be aggressive. I chose to just fol"&amp;"low people, go with their plan. Right now, I've got to figure things out and swing ‘em my way, and my number one plan would be to talk to Chase and Sash to get Holly out first.")</f>
        <v>S21 Fabio (3/14): I won again! It was awesome, man. Going into it, I knew that if I didn't win, I was not safe. But I got my necklace, and I'm loving it, man. I've always known that I was gonna wait to the last minute to be aggressive. I chose to just follow people, go with their plan. Right now, I've got to figure things out and swing ‘em my way, and my number one plan would be to talk to Chase and Sash to get Holly out first.</v>
      </c>
      <c r="AP30" s="4"/>
      <c r="AQ30" s="3"/>
      <c r="AR30" s="4"/>
      <c r="AS30" s="3"/>
      <c r="AT30" s="4"/>
      <c r="AU30" s="3"/>
      <c r="AV30" s="4"/>
      <c r="AW30" s="3"/>
      <c r="AX30" s="4"/>
      <c r="AY30" s="3"/>
      <c r="AZ30" s="4"/>
      <c r="BA30" s="3"/>
      <c r="BB30" s="4"/>
      <c r="BC30" s="3"/>
      <c r="BD30" s="4"/>
      <c r="BE30" s="3"/>
      <c r="BF30" s="4"/>
      <c r="BG30" s="3"/>
      <c r="BH30" s="4"/>
      <c r="BI30" s="3"/>
      <c r="BJ30" s="4"/>
      <c r="BK30" s="3" t="str">
        <f>IFERROR(__xludf.DUMMYFUNCTION("""COMPUTED_VALUE"""),"S10 Tom (5/5): As things seem now within the tribe, Stephenie appears to be going home tonight. So, it’s-it’s not… where my heart is, but anything can happen.")</f>
        <v>S10 Tom (5/5): As things seem now within the tribe, Stephenie appears to be going home tonight. So, it’s-it’s not… where my heart is, but anything can happen.</v>
      </c>
      <c r="BL30" s="4"/>
      <c r="BM30" s="3" t="str">
        <f>IFERROR(__xludf.DUMMYFUNCTION("""COMPUTED_VALUE"""),"S09 Chris (4/6): I'm going to win immunity, guaranteed. That's the prediction. I'll make it right now. Daugherty's going to win immunity. It's a fact.")</f>
        <v>S09 Chris (4/6): I'm going to win immunity, guaranteed. That's the prediction. I'll make it right now. Daugherty's going to win immunity. It's a fact.</v>
      </c>
      <c r="BN30" s="4"/>
      <c r="BO30" s="3" t="str">
        <f>IFERROR(__xludf.DUMMYFUNCTION("""COMPUTED_VALUE"""),"S08 Amber (2/2): We really wanted to stay at the restaurant for as long as we possibly could, 'cause we just dreaded coming back here with all the bugs and the really long night. So, we told Rupert, ""Keep drinking as much as you want. We're just going to"&amp;" lay here on the table and use these napkins as pillows and enjoy it.""")</f>
        <v>S08 Amber (2/2): We really wanted to stay at the restaurant for as long as we possibly could, 'cause we just dreaded coming back here with all the bugs and the really long night. So, we told Rupert, "Keep drinking as much as you want. We're just going to lay here on the table and use these napkins as pillows and enjoy it."</v>
      </c>
      <c r="BP30" s="4"/>
      <c r="BQ30" s="3" t="str">
        <f>IFERROR(__xludf.DUMMYFUNCTION("""COMPUTED_VALUE"""),"S07 Sandra (1/1): Me and Christa definitely do feel vulnerable, because Burton and Rupert are the only ones that bring anything from in the ocean to us to eat-- fish, stingray, whatever.")</f>
        <v>S07 Sandra (1/1): Me and Christa definitely do feel vulnerable, because Burton and Rupert are the only ones that bring anything from in the ocean to us to eat-- fish, stingray, whatever.</v>
      </c>
      <c r="BR30" s="4"/>
      <c r="BS30" s="3"/>
      <c r="BT30" s="4"/>
      <c r="BU30" s="3"/>
      <c r="BV30" s="4"/>
      <c r="BW30" s="3"/>
      <c r="BX30" s="4"/>
      <c r="BY30" s="3"/>
      <c r="BZ30" s="4"/>
      <c r="CA30" s="3"/>
      <c r="CB30" s="4"/>
      <c r="CC30" s="3"/>
      <c r="CD30" s="4"/>
    </row>
    <row r="31">
      <c r="A31" s="3"/>
      <c r="B31" s="4"/>
      <c r="C31" s="3" t="str">
        <f>IFERROR(__xludf.DUMMYFUNCTION("""COMPUTED_VALUE"""),"S40 Tony (7/16): This morning, I looked in my bag and I seen something like this in my bag (shows rolled scroll to camera). And I know I didn’t put it in there. So I gotta see what it is. I’m hoping it’s an advantage from the Edge. So I’m gonna read it ri"&amp;"ght now. I ran far away from camp, so nobody knows I’m gone. And here it is right now. Oh, my God. “Extortion.” Oh, my-- first word I read is “extortion.” This is great. The first word I saw that popped out to me was “extortion.” I’m like, “Yes! Yes, I’m "&amp;"gonna extort somebody.” ‘Cause, in real life, I can’t do that. But I know it sounds like fun. When I watch in the movies, the mobsters extort people for money or they’re gonna break your legs or they break your kneecaps if you don’t give me this and that."&amp;" So I’m s-- I’m excited. (reads) “This is the Extortion Advantage. This blocks a player from participating in the next Immunity Challenge, and prohibits them from voting at the next Tribal Council… unless the player is able to meet the payment demands.” T"&amp;"his is illegal, man. (reads) “If the demand is not paid before the next Immunity Challenge, they will not participate and they will not vote.” That’s a extremely powerful advantage, and I can’t wait to use it. And then I’m reading more and I’m reading mor"&amp;"e and then it says… (reads) “This advantage is being played against you.” (disappointed, drops parchment) “This advantage is playing on you.” (reads) “The demand is six Fire Tokens.” Six tokens? I’ll tell you what, man, if-if this in real life, you’re doi"&amp;"ng some prison time. This is extortion, Code 2C-something. I know it’s a criminal code that-- extortion is illegal in the States. I don’t know why it’s not illegal here in Fiji. This is, this ludicrous. I got three tokens. They want six. I’m being extorte"&amp;"d for six tokens. That’s double of what I have. And they’re saying if the person cannot come up with the extortion payment, they don’t get to play in the Immunity Challenge, so they have no shot at winning immunity. And at Tribal, they can’t vote. My dead"&amp;"line is before the Immunity Challenge. So if we get Tree Mail and it says it’s time for Immunity Challenge, I have to have the tokens in place, ready to pay up the vig.")</f>
        <v>S40 Tony (7/16): This morning, I looked in my bag and I seen something like this in my bag (shows rolled scroll to camera). And I know I didn’t put it in there. So I gotta see what it is. I’m hoping it’s an advantage from the Edge. So I’m gonna read it right now. I ran far away from camp, so nobody knows I’m gone. And here it is right now. Oh, my God. “Extortion.” Oh, my-- first word I read is “extortion.” This is great. The first word I saw that popped out to me was “extortion.” I’m like, “Yes! Yes, I’m gonna extort somebody.” ‘Cause, in real life, I can’t do that. But I know it sounds like fun. When I watch in the movies, the mobsters extort people for money or they’re gonna break your legs or they break your kneecaps if you don’t give me this and that. So I’m s-- I’m excited. (reads) “This is the Extortion Advantage. This blocks a player from participating in the next Immunity Challenge, and prohibits them from voting at the next Tribal Council… unless the player is able to meet the payment demands.” This is illegal, man. (reads) “If the demand is not paid before the next Immunity Challenge, they will not participate and they will not vote.” That’s a extremely powerful advantage, and I can’t wait to use it. And then I’m reading more and I’m reading more and then it says… (reads) “This advantage is being played against you.” (disappointed, drops parchment) “This advantage is playing on you.” (reads) “The demand is six Fire Tokens.” Six tokens? I’ll tell you what, man, if-if this in real life, you’re doing some prison time. This is extortion, Code 2C-something. I know it’s a criminal code that-- extortion is illegal in the States. I don’t know why it’s not illegal here in Fiji. This is, this ludicrous. I got three tokens. They want six. I’m being extorted for six tokens. That’s double of what I have. And they’re saying if the person cannot come up with the extortion payment, they don’t get to play in the Immunity Challenge, so they have no shot at winning immunity. And at Tribal, they can’t vote. My deadline is before the Immunity Challenge. So if we get Tree Mail and it says it’s time for Immunity Challenge, I have to have the tokens in place, ready to pay up the vig.</v>
      </c>
      <c r="D31" s="4"/>
      <c r="E31" s="3"/>
      <c r="F31" s="4"/>
      <c r="G31" s="3"/>
      <c r="H31" s="4"/>
      <c r="I31" s="3"/>
      <c r="J31" s="4"/>
      <c r="K31" s="3"/>
      <c r="L31" s="4"/>
      <c r="M31" s="3" t="str">
        <f>IFERROR(__xludf.DUMMYFUNCTION("""COMPUTED_VALUE"""),"S35 Ben (4/5): Old Lauren pulled it out and beat Cole, so couldn’t be happier. You know, it was very important that Cole did not win immunity today because Cole is the biggest Immunity Challenge threat here. We’re getting the main target out, our hard tar"&amp;"get, but there’s a big fear of a Hidden Immunity Idol, and that is why we can’t just place all our votes on one Healer, so we have to split the votes into a four and three.")</f>
        <v>S35 Ben (4/5): Old Lauren pulled it out and beat Cole, so couldn’t be happier. You know, it was very important that Cole did not win immunity today because Cole is the biggest Immunity Challenge threat here. We’re getting the main target out, our hard target, but there’s a big fear of a Hidden Immunity Idol, and that is why we can’t just place all our votes on one Healer, so we have to split the votes into a four and three.</v>
      </c>
      <c r="N31" s="4"/>
      <c r="O31" s="3" t="str">
        <f>IFERROR(__xludf.DUMMYFUNCTION("""COMPUTED_VALUE"""),"S34 Sarah (1/3): Brad and Sierra need to be split up, and when Sierra told me about this advantage, it actually makes me want to keep her now because she’s given me information and she wants to work with me. So the door is opening for her to stay in this "&amp;"game and Brad’s game is over.")</f>
        <v>S34 Sarah (1/3): Brad and Sierra need to be split up, and when Sierra told me about this advantage, it actually makes me want to keep her now because she’s given me information and she wants to work with me. So the door is opening for her to stay in this game and Brad’s game is over.</v>
      </c>
      <c r="P31" s="4"/>
      <c r="Q31" s="3" t="str">
        <f>IFERROR(__xludf.DUMMYFUNCTION("""COMPUTED_VALUE"""),"S33 Adam (1/2): Oh, man, Taylor and Jay dragged my name through the mud, and now everybody knows about my advantage. I want Jay out of this game so badly I can taste his blood in my mouth.")</f>
        <v>S33 Adam (1/2): Oh, man, Taylor and Jay dragged my name through the mud, and now everybody knows about my advantage. I want Jay out of this game so badly I can taste his blood in my mouth.</v>
      </c>
      <c r="R31" s="4"/>
      <c r="S31" s="3" t="str">
        <f>IFERROR(__xludf.DUMMYFUNCTION("""COMPUTED_VALUE"""),"S32 Michele (1/4): You know, Jason kind of hit me and Cyd real hard. And, like, I do think it would be smart to go to to the end with him, but I don’t want to put doubt at all in my alliance, so that’s why I voted Julia, because there is no better way to "&amp;"show my loyalty than to vote out my biggest ally in this game.")</f>
        <v>S32 Michele (1/4): You know, Jason kind of hit me and Cyd real hard. And, like, I do think it would be smart to go to to the end with him, but I don’t want to put doubt at all in my alliance, so that’s why I voted Julia, because there is no better way to show my loyalty than to vote out my biggest ally in this game.</v>
      </c>
      <c r="T31" s="4"/>
      <c r="U31" s="3" t="str">
        <f>IFERROR(__xludf.DUMMYFUNCTION("""COMPUTED_VALUE"""),"S31 Jeremy (2/4): So Val said, “It’s a boy.” I’ma have a son. That’s wild. But, um, I don’t want anybody to know right now. They don’t need to know.")</f>
        <v>S31 Jeremy (2/4): So Val said, “It’s a boy.” I’ma have a son. That’s wild. But, um, I don’t want anybody to know right now. They don’t need to know.</v>
      </c>
      <c r="V31" s="4"/>
      <c r="W31" s="3" t="str">
        <f>IFERROR(__xludf.DUMMYFUNCTION("""COMPUTED_VALUE"""),"S30 Mike (5/8): Sure enough, I roll up and I find Joe, and it dawns on me that I want a bigger target on Joe's back. Boom! I didn't see him grab an idol. I didn't see him put an idol in his pocket. So I head to the river.")</f>
        <v>S30 Mike (5/8): Sure enough, I roll up and I find Joe, and it dawns on me that I want a bigger target on Joe's back. Boom! I didn't see him grab an idol. I didn't see him put an idol in his pocket. So I head to the river.</v>
      </c>
      <c r="X31" s="4"/>
      <c r="Y31" s="3" t="str">
        <f>IFERROR(__xludf.DUMMYFUNCTION("""COMPUTED_VALUE"""),"S29 Natalie (7/10): Jon wins immunity and I was just so mad. I feel like everything that I was doing for the last couple of days is just down the drain and it makes me really depressed at this point.")</f>
        <v>S29 Natalie (7/10): Jon wins immunity and I was just so mad. I feel like everything that I was doing for the last couple of days is just down the drain and it makes me really depressed at this point.</v>
      </c>
      <c r="Z31" s="4"/>
      <c r="AA31" s="3" t="str">
        <f>IFERROR(__xludf.DUMMYFUNCTION("""COMPUTED_VALUE"""),"S28 Tony (5/7): As it stands right now, there’s a group of five which is my alliance and there’s a group of six where it’s half Brain and half Beauty and then you have Sarah. That makes the sixth person. We need one person to come on our side and it’ll fl"&amp;"ip the script and make it six my side, and five their side. So Sarah... I’m hoping Sarah’s the missing link to this.")</f>
        <v>S28 Tony (5/7): As it stands right now, there’s a group of five which is my alliance and there’s a group of six where it’s half Brain and half Beauty and then you have Sarah. That makes the sixth person. We need one person to come on our side and it’ll flip the script and make it six my side, and five their side. So Sarah... I’m hoping Sarah’s the missing link to this.</v>
      </c>
      <c r="AB31" s="4"/>
      <c r="AC31" s="3" t="str">
        <f>IFERROR(__xludf.DUMMYFUNCTION("""COMPUTED_VALUE"""),"S27 Tyson (4/4): It was so perfect. We had it until we told Ciera that we were voting her mom. That was the mistake. Ciera, smarter than we thought originally, is making moves as well. And so, it’s a little tricky, but it’s gotta be Laura because letting "&amp;"a couple get farther in the game is too dangerous ‘cause they can swing everything with just one vote. I need to get the votes back on Laura and get ‘em to stick with the plan and vote Laura out.")</f>
        <v>S27 Tyson (4/4): It was so perfect. We had it until we told Ciera that we were voting her mom. That was the mistake. Ciera, smarter than we thought originally, is making moves as well. And so, it’s a little tricky, but it’s gotta be Laura because letting a couple get farther in the game is too dangerous ‘cause they can swing everything with just one vote. I need to get the votes back on Laura and get ‘em to stick with the plan and vote Laura out.</v>
      </c>
      <c r="AD31" s="4"/>
      <c r="AE31" s="3" t="str">
        <f>IFERROR(__xludf.DUMMYFUNCTION("""COMPUTED_VALUE"""),"S26 Cochran (2/4): I watched my tribemates go down the waterfall. It wasn't much consolation because I had no idea what they were doing, but I'm learning to embrace it. This is the same guy that was afraid to take off his shirt the last time I played Surv"&amp;"ivor. Now I'm flying down a waterfall after winning a challenge. It was fantastic. Still a little bit nerve-wracking. I kind of slid on some mossy rocks and bungled the, you know, the job a little bit but I loved it.")</f>
        <v>S26 Cochran (2/4): I watched my tribemates go down the waterfall. It wasn't much consolation because I had no idea what they were doing, but I'm learning to embrace it. This is the same guy that was afraid to take off his shirt the last time I played Survivor. Now I'm flying down a waterfall after winning a challenge. It was fantastic. Still a little bit nerve-wracking. I kind of slid on some mossy rocks and bungled the, you know, the job a little bit but I loved it.</v>
      </c>
      <c r="AF31" s="4"/>
      <c r="AG31" s="3" t="str">
        <f>IFERROR(__xludf.DUMMYFUNCTION("""COMPUTED_VALUE"""),"S25 Denise (3/5): She keeps talking about having a Hidden Immunity Idol. None of us believes she has one, not even for-for a minute. But it's just trying to get through the afternoon and-and make it as tolerable as it can be. I wanna hang myself, gouge my"&amp;" eyes out. If I could have, like, needles that could just (gestures stabbing motion) right into my eardrums, I’d be good for the afternoon.")</f>
        <v>S25 Denise (3/5): She keeps talking about having a Hidden Immunity Idol. None of us believes she has one, not even for-for a minute. But it's just trying to get through the afternoon and-and make it as tolerable as it can be. I wanna hang myself, gouge my eyes out. If I could have, like, needles that could just (gestures stabbing motion) right into my eardrums, I’d be good for the afternoon.</v>
      </c>
      <c r="AH31" s="4"/>
      <c r="AI31" s="3" t="str">
        <f>IFERROR(__xludf.DUMMYFUNCTION("""COMPUTED_VALUE"""),"S24 Kim (5/6): I have no experience with catching pigs, but the pig coming into camp is awesome for me right now. It breaks tension and I can already feel, like, walls coming down. That pig is cute. I'm sorry, I'm not killing that pig. We could definitely"&amp;" keep it as a pet.")</f>
        <v>S24 Kim (5/6): I have no experience with catching pigs, but the pig coming into camp is awesome for me right now. It breaks tension and I can already feel, like, walls coming down. That pig is cute. I'm sorry, I'm not killing that pig. We could definitely keep it as a pet.</v>
      </c>
      <c r="AJ31" s="4"/>
      <c r="AK31" s="3"/>
      <c r="AL31" s="4"/>
      <c r="AM31" s="3" t="str">
        <f>IFERROR(__xludf.DUMMYFUNCTION("""COMPUTED_VALUE"""),"S22 Rob (1/5): Tribal Council is always a miserable night all around. On top of it, Phillip is bugging everyone, including myself. He's completely off his rocker, walking around in his pink panties. Nobody trusts him. As long as Phillip is aggravating eve"&amp;"rybody so much it takes all of the heat off of me, so in a way, maybe he needs to stay.")</f>
        <v>S22 Rob (1/5): Tribal Council is always a miserable night all around. On top of it, Phillip is bugging everyone, including myself. He's completely off his rocker, walking around in his pink panties. Nobody trusts him. As long as Phillip is aggravating everybody so much it takes all of the heat off of me, so in a way, maybe he needs to stay.</v>
      </c>
      <c r="AN31" s="4"/>
      <c r="AO31" s="3" t="str">
        <f>IFERROR(__xludf.DUMMYFUNCTION("""COMPUTED_VALUE"""),"S21 Fabio (4/14): I'm gonna have to try to make a case for Dan not being the biggest threat, and the best person for me to do that with is Sash. I gotta have a one-on-one, me and Sash, without Chase coming up and saying, ""What are you guys talking about?"&amp;""" Because he does that and it's annoying!")</f>
        <v>S21 Fabio (4/14): I'm gonna have to try to make a case for Dan not being the biggest threat, and the best person for me to do that with is Sash. I gotta have a one-on-one, me and Sash, without Chase coming up and saying, "What are you guys talking about?" Because he does that and it's annoying!</v>
      </c>
      <c r="AP31" s="4"/>
      <c r="AQ31" s="3"/>
      <c r="AR31" s="4"/>
      <c r="AS31" s="3"/>
      <c r="AT31" s="4"/>
      <c r="AU31" s="3"/>
      <c r="AV31" s="4"/>
      <c r="AW31" s="3"/>
      <c r="AX31" s="4"/>
      <c r="AY31" s="3"/>
      <c r="AZ31" s="4"/>
      <c r="BA31" s="3"/>
      <c r="BB31" s="4"/>
      <c r="BC31" s="3"/>
      <c r="BD31" s="4"/>
      <c r="BE31" s="3"/>
      <c r="BF31" s="4"/>
      <c r="BG31" s="3"/>
      <c r="BH31" s="4"/>
      <c r="BI31" s="3"/>
      <c r="BJ31" s="4"/>
      <c r="BK31" s="3" t="str">
        <f>IFERROR(__xludf.DUMMYFUNCTION("""COMPUTED_VALUE"""),"S10 Tom (1/7): There’s a reason why Stephenie has survived as long as she has. She’s got great instincts. I really see her as one of the supreme players. Now she’s looking for her way, though, to stay in the game, being the true Survivor that she has demo"&amp;"nstrated herself to be, um… she’s going to start working on things and that’s a problem. Probably the safest thing for all is for Stephenie to leave. I think I’m in the same position where I’m gonna be the threat and they’re gonna come after me.")</f>
        <v>S10 Tom (1/7): There’s a reason why Stephenie has survived as long as she has. She’s got great instincts. I really see her as one of the supreme players. Now she’s looking for her way, though, to stay in the game, being the true Survivor that she has demonstrated herself to be, um… she’s going to start working on things and that’s a problem. Probably the safest thing for all is for Stephenie to leave. I think I’m in the same position where I’m gonna be the threat and they’re gonna come after me.</v>
      </c>
      <c r="BL31" s="4"/>
      <c r="BM31" s="3" t="str">
        <f>IFERROR(__xludf.DUMMYFUNCTION("""COMPUTED_VALUE"""),"S09 Chris (5/6): It's like being in a tornado. It is crazy. I don't even have to do something to change the tide of the game. There's six women living with me-- they'll change it themselves. It can be set in stone who's going home, and five minutes later,"&amp;" I'm not going home and I ain't done a damn thing to change it. I'm just sitting there by the fire. So I make my way out to get some wood and Twila says to me while we're filling this crate, ""You know, you can change this game completely."" So I'm thinki"&amp;"ng, ""I'm all ears, Twila.""")</f>
        <v>S09 Chris (5/6): It's like being in a tornado. It is crazy. I don't even have to do something to change the tide of the game. There's six women living with me-- they'll change it themselves. It can be set in stone who's going home, and five minutes later, I'm not going home and I ain't done a damn thing to change it. I'm just sitting there by the fire. So I make my way out to get some wood and Twila says to me while we're filling this crate, "You know, you can change this game completely." So I'm thinking, "I'm all ears, Twila."</v>
      </c>
      <c r="BN31" s="4"/>
      <c r="BO31" s="3" t="str">
        <f>IFERROR(__xludf.DUMMYFUNCTION("""COMPUTED_VALUE"""),"S08 Amber (1/1): Shii Ann is talking about getting out Jenna. I don't know necessarily if I'm going to, you know, 100% go along with it, but I'm going to entertain the idea, because this is the All-Star. It's, uh, hardcore. You've got to play this game, I"&amp;" think, more intense than you did before.")</f>
        <v>S08 Amber (1/1): Shii Ann is talking about getting out Jenna. I don't know necessarily if I'm going to, you know, 100% go along with it, but I'm going to entertain the idea, because this is the All-Star. It's, uh, hardcore. You've got to play this game, I think, more intense than you did before.</v>
      </c>
      <c r="BP31" s="4"/>
      <c r="BQ31" s="3" t="str">
        <f>IFERROR(__xludf.DUMMYFUNCTION("""COMPUTED_VALUE"""),"S07 Sandra (1/1): The vibe at the camp is that everybody's agreed upon Darrah going home. Maybe Burton figured out that there was a way between him and Jon to get together and outmaneuver us three. But I don't see it happening. I just can't see it happeni"&amp;"ng, because all along they've said, ""It's going to be the strong five and we'll separate from there.""")</f>
        <v>S07 Sandra (1/1): The vibe at the camp is that everybody's agreed upon Darrah going home. Maybe Burton figured out that there was a way between him and Jon to get together and outmaneuver us three. But I don't see it happening. I just can't see it happening, because all along they've said, "It's going to be the strong five and we'll separate from there."</v>
      </c>
      <c r="BR31" s="4"/>
      <c r="BS31" s="3"/>
      <c r="BT31" s="4"/>
      <c r="BU31" s="3"/>
      <c r="BV31" s="4"/>
      <c r="BW31" s="3"/>
      <c r="BX31" s="4"/>
      <c r="BY31" s="3"/>
      <c r="BZ31" s="4"/>
      <c r="CA31" s="3"/>
      <c r="CB31" s="4"/>
      <c r="CC31" s="3"/>
      <c r="CD31" s="4"/>
    </row>
    <row r="32">
      <c r="A32" s="3"/>
      <c r="B32" s="4"/>
      <c r="C32" s="3" t="str">
        <f>IFERROR(__xludf.DUMMYFUNCTION("""COMPUTED_VALUE"""),"S40 Tony (8/16): Denise comes with the Tree Mail, and, sure enough, it’s an Immunity Challenge. And I’m like, “Not only are they extorting me for Fire Tokens, they’re also putting a time limit on it.” Th-they’re like, “You need to pay this extortion fee r"&amp;"ight before the Immunity Challenge.” So I’m like, “The pressure’s on.” So, my plan in my head is to approach my fake alliance and tell ‘em I’m in trouble and they need to help me so I can help them with the vote.")</f>
        <v>S40 Tony (8/16): Denise comes with the Tree Mail, and, sure enough, it’s an Immunity Challenge. And I’m like, “Not only are they extorting me for Fire Tokens, they’re also putting a time limit on it.” Th-they’re like, “You need to pay this extortion fee right before the Immunity Challenge.” So I’m like, “The pressure’s on.” So, my plan in my head is to approach my fake alliance and tell ‘em I’m in trouble and they need to help me so I can help them with the vote.</v>
      </c>
      <c r="D32" s="4"/>
      <c r="E32" s="3"/>
      <c r="F32" s="4"/>
      <c r="G32" s="3"/>
      <c r="H32" s="4"/>
      <c r="I32" s="3"/>
      <c r="J32" s="4"/>
      <c r="K32" s="3"/>
      <c r="L32" s="4"/>
      <c r="M32" s="3" t="str">
        <f>IFERROR(__xludf.DUMMYFUNCTION("""COMPUTED_VALUE"""),"S35 Ben (5/5): I’m not trying to be a dictator here, but for my game, I don’t want Joe gone because everyone already can’t stand the guy. Unfortunately, some people, they’re playing with their heart and their morals. In Survivor, heart and morals don’t ge"&amp;"t you a million dollars.")</f>
        <v>S35 Ben (5/5): I’m not trying to be a dictator here, but for my game, I don’t want Joe gone because everyone already can’t stand the guy. Unfortunately, some people, they’re playing with their heart and their morals. In Survivor, heart and morals don’t get you a million dollars.</v>
      </c>
      <c r="N32" s="4"/>
      <c r="O32" s="3" t="str">
        <f>IFERROR(__xludf.DUMMYFUNCTION("""COMPUTED_VALUE"""),"S34 Sarah (2/3): So originally, I didn’t want to vote Sierra out, but Brad won immunity, and if Sierra goes, it is not all bad, because Sierra has told me about this Legacy Advantage and that she would will it to me if she leaves. Now the only trick is, I"&amp;" need to confirm that Sierra thinks I’m good with her to ensure that she gives it to me. I don’t want to vote her out, but this isn’t about making friends. This is about winning a million dollars.")</f>
        <v>S34 Sarah (2/3): So originally, I didn’t want to vote Sierra out, but Brad won immunity, and if Sierra goes, it is not all bad, because Sierra has told me about this Legacy Advantage and that she would will it to me if she leaves. Now the only trick is, I need to confirm that Sierra thinks I’m good with her to ensure that she gives it to me. I don’t want to vote her out, but this isn’t about making friends. This is about winning a million dollars.</v>
      </c>
      <c r="P32" s="4"/>
      <c r="Q32" s="3" t="str">
        <f>IFERROR(__xludf.DUMMYFUNCTION("""COMPUTED_VALUE"""),"S33 Adam (2/2): To get a letter from home… (sighs) I don't know that anyone will ever know what that meant. The other four saw that it meant a lot to me, but they don't know that my mom was diagnosed with cancer. And one of the hardest parts out here… is "&amp;"the fear… (cries) at any point… it's not gonna be good news for me. So every day that I know my mom's doing okay… and every day that I stay here that I make it further in the game, that I get closer to that loved one's visit and closer to the end, is anot"&amp;"her big win. Just that little piece, it's enough to keep me going, to get me through these last two weeks of the game.")</f>
        <v>S33 Adam (2/2): To get a letter from home… (sighs) I don't know that anyone will ever know what that meant. The other four saw that it meant a lot to me, but they don't know that my mom was diagnosed with cancer. And one of the hardest parts out here… is the fear… (cries) at any point… it's not gonna be good news for me. So every day that I know my mom's doing okay… and every day that I stay here that I make it further in the game, that I get closer to that loved one's visit and closer to the end, is another big win. Just that little piece, it's enough to keep me going, to get me through these last two weeks of the game.</v>
      </c>
      <c r="R32" s="4"/>
      <c r="S32" s="3" t="str">
        <f>IFERROR(__xludf.DUMMYFUNCTION("""COMPUTED_VALUE"""),"S32 Michele (2/4): Me, Jason and Tai went to the wildlife sanctuary, and we had this wonderful picnic set up. I was in heaven.")</f>
        <v>S32 Michele (2/4): Me, Jason and Tai went to the wildlife sanctuary, and we had this wonderful picnic set up. I was in heaven.</v>
      </c>
      <c r="T32" s="4"/>
      <c r="U32" s="3" t="str">
        <f>IFERROR(__xludf.DUMMYFUNCTION("""COMPUTED_VALUE"""),"S31 Jeremy (3/4): I was planning on voting out Joe, and then Tasha tells me this talk about an all-girls alliance. (pauses) Oh, my God!")</f>
        <v>S31 Jeremy (3/4): I was planning on voting out Joe, and then Tasha tells me this talk about an all-girls alliance. (pauses) Oh, my God!</v>
      </c>
      <c r="V32" s="4"/>
      <c r="W32" s="3" t="str">
        <f>IFERROR(__xludf.DUMMYFUNCTION("""COMPUTED_VALUE"""),"S30 Mike (6/8): I just basically screamed out, “Hey, man. Good job on finding the idol.” He tries to play it off and, you know, I'm not gonna let him play it off. Like, I'm going to say that I believe that he found it, that I saw him put it in his pocket."&amp;" The whole nine.")</f>
        <v>S30 Mike (6/8): I just basically screamed out, “Hey, man. Good job on finding the idol.” He tries to play it off and, you know, I'm not gonna let him play it off. Like, I'm going to say that I believe that he found it, that I saw him put it in his pocket. The whole nine.</v>
      </c>
      <c r="X32" s="4"/>
      <c r="Y32" s="3" t="str">
        <f>IFERROR(__xludf.DUMMYFUNCTION("""COMPUTED_VALUE"""),"S29 Natalie (8/10): I've been feeling completely helpless to do anything at this point. But I just realized, “Oh my God!” I could totally flip the entire game.")</f>
        <v>S29 Natalie (8/10): I've been feeling completely helpless to do anything at this point. But I just realized, “Oh my God!” I could totally flip the entire game.</v>
      </c>
      <c r="Z32" s="4"/>
      <c r="AA32" s="3" t="str">
        <f>IFERROR(__xludf.DUMMYFUNCTION("""COMPUTED_VALUE"""),"S28 Tony (6/7): My goal is to make Sarah believe that I want to sit at the Top Two with her, just like we mentioned. Two cops sitting in front of the jury. So I’m gonna promise her, I’m gonna guarantee her, I’m gonna do whatever it takes to reassure her t"&amp;"hat I’m not lying to her, that I really want her to come on our side and move forward with the game as opposed with the other tribe.")</f>
        <v>S28 Tony (6/7): My goal is to make Sarah believe that I want to sit at the Top Two with her, just like we mentioned. Two cops sitting in front of the jury. So I’m gonna promise her, I’m gonna guarantee her, I’m gonna do whatever it takes to reassure her that I’m not lying to her, that I really want her to come on our side and move forward with the game as opposed with the other tribe.</v>
      </c>
      <c r="AB32" s="4"/>
      <c r="AC32" s="3" t="str">
        <f>IFERROR(__xludf.DUMMYFUNCTION("""COMPUTED_VALUE"""),"S27 Tyson (1/5): Ciera writing her mom’s name down was the hardest voting position of the game so far. By doing that, she’s actually shown a bit of loyalty. But at the same time, it makes me a little scared of her. I can see that she’s playing the game pr"&amp;"etty hard. I think she’s underestimated by a lot of people and she’s going to be dangerous.")</f>
        <v>S27 Tyson (1/5): Ciera writing her mom’s name down was the hardest voting position of the game so far. By doing that, she’s actually shown a bit of loyalty. But at the same time, it makes me a little scared of her. I can see that she’s playing the game pretty hard. I think she’s underestimated by a lot of people and she’s going to be dangerous.</v>
      </c>
      <c r="AD32" s="4"/>
      <c r="AE32" s="3" t="str">
        <f>IFERROR(__xludf.DUMMYFUNCTION("""COMPUTED_VALUE"""),"S26 Cochran (3/4): Reynold, Eddie and Michael must not know me that well, if they think that emphasizing the testosterone unity between us and-- we're men, we're men and we hate women and we're going to, you know, slap each other with towels in the locker"&amp;" room and chug beers. That doesn't work with me. That doesn't appeal to me at all. I won't be engaging in any sort of masculine tomfoolery with these numbskulls.")</f>
        <v>S26 Cochran (3/4): Reynold, Eddie and Michael must not know me that well, if they think that emphasizing the testosterone unity between us and-- we're men, we're men and we hate women and we're going to, you know, slap each other with towels in the locker room and chug beers. That doesn't work with me. That doesn't appeal to me at all. I won't be engaging in any sort of masculine tomfoolery with these numbskulls.</v>
      </c>
      <c r="AF32" s="4"/>
      <c r="AG32" s="3" t="str">
        <f>IFERROR(__xludf.DUMMYFUNCTION("""COMPUTED_VALUE"""),"S25 Denise (4/5): This morning I got up and as soon as I moved, it just-- there's sharp incredible stinging. Um, it was like my neck, my whole neck was on fire (points to left side of neck) right here. Like, this hurts to just even lift my arm or to move "&amp;"my neck. So I don't know if I'm having an allergic reaction to something that bit me. I've got, like, fang marks somewhere in my neck here, so clearly it wasn't a mosquito. (holds back tears) I'm trying to tell myself to suck it up ‘cause you have three d"&amp;"ays left. Like, seriously. If it's just an allergic reaction that’ll pass, then we're good, but I just don't know what it is. I don't know if it was a spider. It could have been a little lizard. There are tarantulas out here. We've seen scorpions. We've s"&amp;"een a snake, you know, going up the tree. You forget that, you know, there's stuff everywhere out here. So I'm just hoping it-it passes. It's-it’s not gonna kill me, but it's really, really painful right now.")</f>
        <v>S25 Denise (4/5): This morning I got up and as soon as I moved, it just-- there's sharp incredible stinging. Um, it was like my neck, my whole neck was on fire (points to left side of neck) right here. Like, this hurts to just even lift my arm or to move my neck. So I don't know if I'm having an allergic reaction to something that bit me. I've got, like, fang marks somewhere in my neck here, so clearly it wasn't a mosquito. (holds back tears) I'm trying to tell myself to suck it up ‘cause you have three days left. Like, seriously. If it's just an allergic reaction that’ll pass, then we're good, but I just don't know what it is. I don't know if it was a spider. It could have been a little lizard. There are tarantulas out here. We've seen scorpions. We've seen a snake, you know, going up the tree. You forget that, you know, there's stuff everywhere out here. So I'm just hoping it-it passes. It's-it’s not gonna kill me, but it's really, really painful right now.</v>
      </c>
      <c r="AH32" s="4"/>
      <c r="AI32" s="3" t="str">
        <f>IFERROR(__xludf.DUMMYFUNCTION("""COMPUTED_VALUE"""),"S24 Kim (6/6): The plan is tonight to give Troy five votes and Christina two. I think splitting votes is always hard because you don't know who is with you and you don’t know who’s not. So you’ve got five people voting for Troy. If two of them flip, all o"&amp;"f a sudden, Troy's back (chuckles) in tonight. I won't believe Troyzan is going home until the moment he stands in front of Jeff and Jeff snuffs his torch. I just-- he's, like, full of craziness and surprises. I mean, he's just playing so hard. Who knows "&amp;"what's about to happen?")</f>
        <v>S24 Kim (6/6): The plan is tonight to give Troy five votes and Christina two. I think splitting votes is always hard because you don't know who is with you and you don’t know who’s not. So you’ve got five people voting for Troy. If two of them flip, all of a sudden, Troy's back (chuckles) in tonight. I won't believe Troyzan is going home until the moment he stands in front of Jeff and Jeff snuffs his torch. I just-- he's, like, full of craziness and surprises. I mean, he's just playing so hard. Who knows what's about to happen?</v>
      </c>
      <c r="AJ32" s="4"/>
      <c r="AK32" s="3"/>
      <c r="AL32" s="4"/>
      <c r="AM32" s="3" t="str">
        <f>IFERROR(__xludf.DUMMYFUNCTION("""COMPUTED_VALUE"""),"S22 Rob (2/5): I'm good at puzzles so this could be a turning point for this tribe, you know? There's no way they can take this win away from us.")</f>
        <v>S22 Rob (2/5): I'm good at puzzles so this could be a turning point for this tribe, you know? There's no way they can take this win away from us.</v>
      </c>
      <c r="AN32" s="4"/>
      <c r="AO32" s="3" t="str">
        <f>IFERROR(__xludf.DUMMYFUNCTION("""COMPUTED_VALUE"""),"S21 Fabio (5/14): Tonight at Tribal Council, you know, I felt comfortable because I had the necklace around my neck. And tomorrow night, for me to, uh, feel secure, I'm gonna have to have the Immunity Necklace again because I really don't know what's goin"&amp;"g through Chase and Sash's mind at this point.")</f>
        <v>S21 Fabio (5/14): Tonight at Tribal Council, you know, I felt comfortable because I had the necklace around my neck. And tomorrow night, for me to, uh, feel secure, I'm gonna have to have the Immunity Necklace again because I really don't know what's going through Chase and Sash's mind at this point.</v>
      </c>
      <c r="AP32" s="4"/>
      <c r="AQ32" s="3"/>
      <c r="AR32" s="4"/>
      <c r="AS32" s="3"/>
      <c r="AT32" s="4"/>
      <c r="AU32" s="3"/>
      <c r="AV32" s="4"/>
      <c r="AW32" s="3"/>
      <c r="AX32" s="4"/>
      <c r="AY32" s="3"/>
      <c r="AZ32" s="4"/>
      <c r="BA32" s="3"/>
      <c r="BB32" s="4"/>
      <c r="BC32" s="3"/>
      <c r="BD32" s="4"/>
      <c r="BE32" s="3"/>
      <c r="BF32" s="4"/>
      <c r="BG32" s="3"/>
      <c r="BH32" s="4"/>
      <c r="BI32" s="3"/>
      <c r="BJ32" s="4"/>
      <c r="BK32" s="3" t="str">
        <f>IFERROR(__xludf.DUMMYFUNCTION("""COMPUTED_VALUE"""),"S10 Tom (2/7): I said, “Listen, my game was revealed because I was playing real hard for the tribe.” I said, “Don’t hold it against me now and don’t make me pay for coming out so strong early.” And I’m just hoping that these people don’t hold it against m"&amp;"e to that level that, uh, I’m finished.")</f>
        <v>S10 Tom (2/7): I said, “Listen, my game was revealed because I was playing real hard for the tribe.” I said, “Don’t hold it against me now and don’t make me pay for coming out so strong early.” And I’m just hoping that these people don’t hold it against me to that level that, uh, I’m finished.</v>
      </c>
      <c r="BL32" s="4"/>
      <c r="BM32" s="3" t="str">
        <f>IFERROR(__xludf.DUMMYFUNCTION("""COMPUTED_VALUE"""),"S09 Chris (6/6): Am I willing to do it? Damn right I'm willing to do it! I'll turn the tide, I'll take the risk right now! So I talked to Eliza.")</f>
        <v>S09 Chris (6/6): Am I willing to do it? Damn right I'm willing to do it! I'll turn the tide, I'll take the risk right now! So I talked to Eliza.</v>
      </c>
      <c r="BN32" s="4"/>
      <c r="BO32" s="3" t="str">
        <f>IFERROR(__xludf.DUMMYFUNCTION("""COMPUTED_VALUE"""),"S08 Amber (1/7): I was under the assumption that the game would be easier in the end because I knew we had our strategy set in the beginning and that we weren't really going to have to worry too much about it in the end, but I was completely wrong. Of cou"&amp;"rse, I don't blame him he's worried, you know, if he is the target, he's the next one to go, but then I'm sure I'll be soon after, but it's out of our control right now.")</f>
        <v>S08 Amber (1/7): I was under the assumption that the game would be easier in the end because I knew we had our strategy set in the beginning and that we weren't really going to have to worry too much about it in the end, but I was completely wrong. Of course, I don't blame him he's worried, you know, if he is the target, he's the next one to go, but then I'm sure I'll be soon after, but it's out of our control right now.</v>
      </c>
      <c r="BP32" s="4"/>
      <c r="BQ32" s="3" t="str">
        <f>IFERROR(__xludf.DUMMYFUNCTION("""COMPUTED_VALUE"""),"S07 Sandra (1/5): When we got back to camp, I kept thinking, ""You know what? They're not coming and enjoy Rupert's fish. Screw that."" So, I got up to camp first, and I grabbed the bucketful of fish, and it was so damn heavy, and I tripped on a vine, and"&amp;" I spilled all the fish. And I started arguing with Jon to the point where it saved me, because they never pointed the finger at me as to being the one dumping the fish. Now I'm in a bind. If I was to tell her, she'd run off to them, and there's no doubt "&amp;"in my mind that I got three days left.")</f>
        <v>S07 Sandra (1/5): When we got back to camp, I kept thinking, "You know what? They're not coming and enjoy Rupert's fish. Screw that." So, I got up to camp first, and I grabbed the bucketful of fish, and it was so damn heavy, and I tripped on a vine, and I spilled all the fish. And I started arguing with Jon to the point where it saved me, because they never pointed the finger at me as to being the one dumping the fish. Now I'm in a bind. If I was to tell her, she'd run off to them, and there's no doubt in my mind that I got three days left.</v>
      </c>
      <c r="BR32" s="4"/>
      <c r="BS32" s="3"/>
      <c r="BT32" s="4"/>
      <c r="BU32" s="3"/>
      <c r="BV32" s="4"/>
      <c r="BW32" s="3"/>
      <c r="BX32" s="4"/>
      <c r="BY32" s="3"/>
      <c r="BZ32" s="4"/>
      <c r="CA32" s="3"/>
      <c r="CB32" s="4"/>
      <c r="CC32" s="3"/>
      <c r="CD32" s="4"/>
    </row>
    <row r="33">
      <c r="A33" s="3"/>
      <c r="B33" s="4"/>
      <c r="C33" s="3" t="str">
        <f>IFERROR(__xludf.DUMMYFUNCTION("""COMPUTED_VALUE"""),"S40 Tony (9/16): And then she comes clean and says, “Tony, I spent my tokens on a advantage.” I said, “Wow, that’s great, Michele. How much did it cost you?” She said, “Four Fire Tokens.” I’m like, “Whoa, the price of milk just went up.” How-- what’s goin"&amp;"g on here? I’m getting extorted six tokens. She just paid four tokens for an advantage. It-it’s-- I guess it’s inflation on Survivor island. Inflation just… (stammers) I don’t know what Survivor’s doing to me to-- this time around.")</f>
        <v>S40 Tony (9/16): And then she comes clean and says, “Tony, I spent my tokens on a advantage.” I said, “Wow, that’s great, Michele. How much did it cost you?” She said, “Four Fire Tokens.” I’m like, “Whoa, the price of milk just went up.” How-- what’s going on here? I’m getting extorted six tokens. She just paid four tokens for an advantage. It-it’s-- I guess it’s inflation on Survivor island. Inflation just… (stammers) I don’t know what Survivor’s doing to me to-- this time around.</v>
      </c>
      <c r="D33" s="4"/>
      <c r="E33" s="3"/>
      <c r="F33" s="4"/>
      <c r="G33" s="3"/>
      <c r="H33" s="4"/>
      <c r="I33" s="3"/>
      <c r="J33" s="4"/>
      <c r="K33" s="3"/>
      <c r="L33" s="4"/>
      <c r="M33" s="3" t="str">
        <f>IFERROR(__xludf.DUMMYFUNCTION("""COMPUTED_VALUE"""),"S35 Ben (1/6): It is impossible to live with Joe. I’m sick of being called King Arthur. I’m sick of, uh, trying to keep everyone in line and straight, but right now if I need to keep Joe, I’ll do it.")</f>
        <v>S35 Ben (1/6): It is impossible to live with Joe. I’m sick of being called King Arthur. I’m sick of, uh, trying to keep everyone in line and straight, but right now if I need to keep Joe, I’ll do it.</v>
      </c>
      <c r="N33" s="4"/>
      <c r="O33" s="3" t="str">
        <f>IFERROR(__xludf.DUMMYFUNCTION("""COMPUTED_VALUE"""),"S34 Sarah (3/3): So now, according to Sierra, Tai and Michaela might be voting out Andrea, which is news to me. I need them to help me vote Sierra out, because I need that advantage.")</f>
        <v>S34 Sarah (3/3): So now, according to Sierra, Tai and Michaela might be voting out Andrea, which is news to me. I need them to help me vote Sierra out, because I need that advantage.</v>
      </c>
      <c r="P33" s="4"/>
      <c r="Q33" s="3" t="str">
        <f>IFERROR(__xludf.DUMMYFUNCTION("""COMPUTED_VALUE"""),"S33 Adam (1/2): I have an advantage in this game that allows me to steal a reward from another player. And I was very tempted to use it, especially because David didn't earn this one, but I felt like it was the best decision for me to hang on to my advant"&amp;"age and save it for another day.")</f>
        <v>S33 Adam (1/2): I have an advantage in this game that allows me to steal a reward from another player. And I was very tempted to use it, especially because David didn't earn this one, but I felt like it was the best decision for me to hang on to my advantage and save it for another day.</v>
      </c>
      <c r="R33" s="4"/>
      <c r="S33" s="3" t="str">
        <f>IFERROR(__xludf.DUMMYFUNCTION("""COMPUTED_VALUE"""),"S32 Michele (3/4): I think Jason wants to seem a little bit softer than he is. I want to think that he’s enjoying the animals and doing it for his kids, but when the machete and the axe situation happened, I saw that evil side come out. So if Jason doesn’"&amp;"t win immunity, best-case scenario for me would be get Jason out next.")</f>
        <v>S32 Michele (3/4): I think Jason wants to seem a little bit softer than he is. I want to think that he’s enjoying the animals and doing it for his kids, but when the machete and the axe situation happened, I saw that evil side come out. So if Jason doesn’t win immunity, best-case scenario for me would be get Jason out next.</v>
      </c>
      <c r="T33" s="4"/>
      <c r="U33" s="3" t="str">
        <f>IFERROR(__xludf.DUMMYFUNCTION("""COMPUTED_VALUE"""),"S31 Jeremy (4/4): If those girls take over the game, me and Spencer, we’re all done. Our games are over. So having Tasha on my side is crucial right now.")</f>
        <v>S31 Jeremy (4/4): If those girls take over the game, me and Spencer, we’re all done. Our games are over. So having Tasha on my side is crucial right now.</v>
      </c>
      <c r="V33" s="4"/>
      <c r="W33" s="3" t="str">
        <f>IFERROR(__xludf.DUMMYFUNCTION("""COMPUTED_VALUE"""),"S30 Mike (7/8): I've been running around looking for this idol all day, and, uh, I'm down to a little termite nest trying to get a little bit of, uh, sustenance in my belly. Help me keep going looking for this idol. Still no luck finding the idol for Mike"&amp;". This is such a mind-beating exhausting game. It's tough. It's a tough part of the game. But I got to find it, have to find it. So... I got work to do. This is not an easy task. Don't think you're going to come out here and you're just going to find an i"&amp;"dol and it's that easy because you can't. You have to keep searching, keep looking in every nook, every cranny. People who find idols in this game are the people who are working hardest in this game.")</f>
        <v>S30 Mike (7/8): I've been running around looking for this idol all day, and, uh, I'm down to a little termite nest trying to get a little bit of, uh, sustenance in my belly. Help me keep going looking for this idol. Still no luck finding the idol for Mike. This is such a mind-beating exhausting game. It's tough. It's a tough part of the game. But I got to find it, have to find it. So... I got work to do. This is not an easy task. Don't think you're going to come out here and you're just going to find an idol and it's that easy because you can't. You have to keep searching, keep looking in every nook, every cranny. People who find idols in this game are the people who are working hardest in this game.</v>
      </c>
      <c r="X33" s="4"/>
      <c r="Y33" s="3" t="str">
        <f>IFERROR(__xludf.DUMMYFUNCTION("""COMPUTED_VALUE"""),"S29 Natalie (9/10): Right now, the plan is split votes. Me, Jon, and Jaclyn are voting for Keith. But if I flip, and Keith and I both vote Alec, Alec would go home instead. That way Keith’s still here, he'll be loyal to me and I could use him to blindside"&amp;" Jon. If I do this and betray Jon, would be my biggest move yet. The only scary thing for me then is dealing with everything when I come back to camp because Jon is going to be really pissed.")</f>
        <v>S29 Natalie (9/10): Right now, the plan is split votes. Me, Jon, and Jaclyn are voting for Keith. But if I flip, and Keith and I both vote Alec, Alec would go home instead. That way Keith’s still here, he'll be loyal to me and I could use him to blindside Jon. If I do this and betray Jon, would be my biggest move yet. The only scary thing for me then is dealing with everything when I come back to camp because Jon is going to be really pissed.</v>
      </c>
      <c r="Z33" s="4"/>
      <c r="AA33" s="3" t="str">
        <f>IFERROR(__xludf.DUMMYFUNCTION("""COMPUTED_VALUE"""),"S28 Tony (7/7): When Sarah’s telling me, “Let me think about it, let me make my decision at Tribal Council.” Are you kidding me?! I couldn’t believe she said that! And I look at her and you know what? They were right. I talked to Sarah and I got a good, s"&amp;"trong feeling that she’s not coming on our side. So one thing’s for sure. If I feel a little iffy-iffy, that idol’s being played. I’m not going home with the idol.")</f>
        <v>S28 Tony (7/7): When Sarah’s telling me, “Let me think about it, let me make my decision at Tribal Council.” Are you kidding me?! I couldn’t believe she said that! And I look at her and you know what? They were right. I talked to Sarah and I got a good, strong feeling that she’s not coming on our side. So one thing’s for sure. If I feel a little iffy-iffy, that idol’s being played. I’m not going home with the idol.</v>
      </c>
      <c r="AB33" s="4"/>
      <c r="AC33" s="3" t="str">
        <f>IFERROR(__xludf.DUMMYFUNCTION("""COMPUTED_VALUE"""),"S27 Tyson (2/5): With seven people in the game right now, the next vote and the vote after that are going to be the most important. I have to get past this next vote. So the wisest thing I can do right now, from my perspective, is keep everybody against K"&amp;"atie.")</f>
        <v>S27 Tyson (2/5): With seven people in the game right now, the next vote and the vote after that are going to be the most important. I have to get past this next vote. So the wisest thing I can do right now, from my perspective, is keep everybody against Katie.</v>
      </c>
      <c r="AD33" s="4"/>
      <c r="AE33" s="3" t="str">
        <f>IFERROR(__xludf.DUMMYFUNCTION("""COMPUTED_VALUE"""),"S26 Cochran (4/4): Frankly, I was a little bit turned off that Andrea was so willing to abandon what I think was the smartest aggressive move in taking out Malcolm tonight. She's completely changed her mind. Now suddenly, we have to go for the safe vote w"&amp;"hich would be to vote out Michael because Michael, unlike anybody else, has proven, you know, time and time again in Tribal Council, not to have an idol.")</f>
        <v>S26 Cochran (4/4): Frankly, I was a little bit turned off that Andrea was so willing to abandon what I think was the smartest aggressive move in taking out Malcolm tonight. She's completely changed her mind. Now suddenly, we have to go for the safe vote which would be to vote out Michael because Michael, unlike anybody else, has proven, you know, time and time again in Tribal Council, not to have an idol.</v>
      </c>
      <c r="AF33" s="4"/>
      <c r="AG33" s="3" t="str">
        <f>IFERROR(__xludf.DUMMYFUNCTION("""COMPUTED_VALUE"""),"S25 Denise (5/5): Knowing that Malcolm won and it wasn't Abi, was a huge relief. Tonight is a slam dunk. There’s no other name that I'll be writing down other than Abi's, and the torture of dealing with her will be done.")</f>
        <v>S25 Denise (5/5): Knowing that Malcolm won and it wasn't Abi, was a huge relief. Tonight is a slam dunk. There’s no other name that I'll be writing down other than Abi's, and the torture of dealing with her will be done.</v>
      </c>
      <c r="AH33" s="4"/>
      <c r="AI33" s="3" t="str">
        <f>IFERROR(__xludf.DUMMYFUNCTION("""COMPUTED_VALUE"""),"S24 Kim (1/7): It's really good that Troy is gone. I, like, physically feel relieved. Like, I feel, like… you know when you have a pit in your stomach and then it goes away? That's how I feel now that Troy is gone.")</f>
        <v>S24 Kim (1/7): It's really good that Troy is gone. I, like, physically feel relieved. Like, I feel, like… you know when you have a pit in your stomach and then it goes away? That's how I feel now that Troy is gone.</v>
      </c>
      <c r="AJ33" s="4"/>
      <c r="AK33" s="3"/>
      <c r="AL33" s="4"/>
      <c r="AM33" s="3" t="str">
        <f>IFERROR(__xludf.DUMMYFUNCTION("""COMPUTED_VALUE"""),"S22 Rob (3/5): Then Grant set a block for me. I was gonna take it out and put it in-- down my pants but I was like, “If I do that it's too obvious I have it on me.” I was like, “How can I get this whole thing over there so that I can make him come back to"&amp;" the camp?” So when Grant turned the other way he set a pick for me and I went around the outside. It was like a well-choreographed football play.")</f>
        <v>S22 Rob (3/5): Then Grant set a block for me. I was gonna take it out and put it in-- down my pants but I was like, “If I do that it's too obvious I have it on me.” I was like, “How can I get this whole thing over there so that I can make him come back to the camp?” So when Grant turned the other way he set a pick for me and I went around the outside. It was like a well-choreographed football play.</v>
      </c>
      <c r="AN33" s="4"/>
      <c r="AO33" s="3" t="str">
        <f>IFERROR(__xludf.DUMMYFUNCTION("""COMPUTED_VALUE"""),"S21 Fabio (6/14): It feels good to have gotten this far. It's kind of a big deal, man. It's an accomplishment, you know? And now I've just got to be thinking of this next challenge and how the million dollars is actually on the line this time. It feels go"&amp;"od to even be in a position to compete in something like that.")</f>
        <v>S21 Fabio (6/14): It feels good to have gotten this far. It's kind of a big deal, man. It's an accomplishment, you know? And now I've just got to be thinking of this next challenge and how the million dollars is actually on the line this time. It feels good to even be in a position to compete in something like that.</v>
      </c>
      <c r="AP33" s="4"/>
      <c r="AQ33" s="3"/>
      <c r="AR33" s="4"/>
      <c r="AS33" s="3"/>
      <c r="AT33" s="4"/>
      <c r="AU33" s="3"/>
      <c r="AV33" s="4"/>
      <c r="AW33" s="3"/>
      <c r="AX33" s="4"/>
      <c r="AY33" s="3"/>
      <c r="AZ33" s="4"/>
      <c r="BA33" s="3"/>
      <c r="BB33" s="4"/>
      <c r="BC33" s="3"/>
      <c r="BD33" s="4"/>
      <c r="BE33" s="3"/>
      <c r="BF33" s="4"/>
      <c r="BG33" s="3"/>
      <c r="BH33" s="4"/>
      <c r="BI33" s="3"/>
      <c r="BJ33" s="4"/>
      <c r="BK33" s="3" t="str">
        <f>IFERROR(__xludf.DUMMYFUNCTION("""COMPUTED_VALUE"""),"S10 Tom (3/7): A Tree Mail came in a little-- it looks like a purse or a, uh, a money folder, and we really think today might be the day where they give you x amount of money and we get to spend it on, mostly, food and drinks. So the fact that it says “mo"&amp;"stly” to me means that there may be some other things. Right now I think I need a little, uh, food for the soul, and, uh, anything from home would-would-would serve that purpose.")</f>
        <v>S10 Tom (3/7): A Tree Mail came in a little-- it looks like a purse or a, uh, a money folder, and we really think today might be the day where they give you x amount of money and we get to spend it on, mostly, food and drinks. So the fact that it says “mostly” to me means that there may be some other things. Right now I think I need a little, uh, food for the soul, and, uh, anything from home would-would-would serve that purpose.</v>
      </c>
      <c r="BL33" s="4"/>
      <c r="BM33" s="3" t="str">
        <f>IFERROR(__xludf.DUMMYFUNCTION("""COMPUTED_VALUE"""),"S09 Chris (1/9): The bitterness started as soon as we got back to camp. I'm living with five wildcats right now. (chuckles) It's gonna be good.")</f>
        <v>S09 Chris (1/9): The bitterness started as soon as we got back to camp. I'm living with five wildcats right now. (chuckles) It's gonna be good.</v>
      </c>
      <c r="BN33" s="4"/>
      <c r="BO33" s="3" t="str">
        <f>IFERROR(__xludf.DUMMYFUNCTION("""COMPUTED_VALUE"""),"S08 Amber (2/7): I can't really complain about my first date with Rob. You know, I was thinking about after the game, you know, I wonder what we'll do, probably go out to dinner, you know, maybe go to the movies, maybe he'll bring me flowers, who knows? B"&amp;"ut on our first date, yeah, we did go to the movies, we did get some popcorn, and he gave me a car instead of flowers. Let's see, flowers, a car, flowers, a car? I'll take the car.")</f>
        <v>S08 Amber (2/7): I can't really complain about my first date with Rob. You know, I was thinking about after the game, you know, I wonder what we'll do, probably go out to dinner, you know, maybe go to the movies, maybe he'll bring me flowers, who knows? But on our first date, yeah, we did go to the movies, we did get some popcorn, and he gave me a car instead of flowers. Let's see, flowers, a car, flowers, a car? I'll take the car.</v>
      </c>
      <c r="BP33" s="4"/>
      <c r="BQ33" s="3" t="str">
        <f>IFERROR(__xludf.DUMMYFUNCTION("""COMPUTED_VALUE"""),"S07 Sandra (2/5): Me and Christa have been looking for ways to just put stuff in Tijuana's head, because right now we feel like Tijuana has the power to make a move either against us or with us. My only hope is for them to realize that they cannot trust J"&amp;"on and Burton.")</f>
        <v>S07 Sandra (2/5): Me and Christa have been looking for ways to just put stuff in Tijuana's head, because right now we feel like Tijuana has the power to make a move either against us or with us. My only hope is for them to realize that they cannot trust Jon and Burton.</v>
      </c>
      <c r="BR33" s="4"/>
      <c r="BS33" s="3"/>
      <c r="BT33" s="4"/>
      <c r="BU33" s="3"/>
      <c r="BV33" s="4"/>
      <c r="BW33" s="3"/>
      <c r="BX33" s="4"/>
      <c r="BY33" s="3"/>
      <c r="BZ33" s="4"/>
      <c r="CA33" s="3"/>
      <c r="CB33" s="4"/>
      <c r="CC33" s="3"/>
      <c r="CD33" s="4"/>
    </row>
    <row r="34">
      <c r="A34" s="3"/>
      <c r="B34" s="4"/>
      <c r="C34" s="3" t="str">
        <f>IFERROR(__xludf.DUMMYFUNCTION("""COMPUTED_VALUE"""),"S40 Tony (10/16): Jeremy gave me one Fire Token. So now I have four tokens. I need two more, because I can’t vote if I can’t come up with these six tokens. So I’m thinking I have to go to my real alliance members.")</f>
        <v>S40 Tony (10/16): Jeremy gave me one Fire Token. So now I have four tokens. I need two more, because I can’t vote if I can’t come up with these six tokens. So I’m thinking I have to go to my real alliance members.</v>
      </c>
      <c r="D34" s="4"/>
      <c r="E34" s="3"/>
      <c r="F34" s="4"/>
      <c r="G34" s="3"/>
      <c r="H34" s="4"/>
      <c r="I34" s="3"/>
      <c r="J34" s="4"/>
      <c r="K34" s="3"/>
      <c r="L34" s="4"/>
      <c r="M34" s="3" t="str">
        <f>IFERROR(__xludf.DUMMYFUNCTION("""COMPUTED_VALUE"""),"S35 Ben (2/6): It was the start to a new day and what better way to start your day from hearing from your family? So sitting up there with my wife and my two kids, you know, I know it’s a letter, but you can hear her talking those words, you know? And Wya"&amp;"tt wrote me a letter, too, and… (chuckles) and his writing is getting better. And, uh, I love my wife. I love her to death. She changed my life. She saved my life. When you go through combat and you come back, a lot of people have a hard time doing it, an"&amp;"d I owe her the world. She’s why I’m out here. I’m-I’m here to play the game. My family just gave me the gas and the fuel I needed to play this game.")</f>
        <v>S35 Ben (2/6): It was the start to a new day and what better way to start your day from hearing from your family? So sitting up there with my wife and my two kids, you know, I know it’s a letter, but you can hear her talking those words, you know? And Wyatt wrote me a letter, too, and… (chuckles) and his writing is getting better. And, uh, I love my wife. I love her to death. She changed my life. She saved my life. When you go through combat and you come back, a lot of people have a hard time doing it, and I owe her the world. She’s why I’m out here. I’m-I’m here to play the game. My family just gave me the gas and the fuel I needed to play this game.</v>
      </c>
      <c r="N34" s="4"/>
      <c r="O34" s="3" t="str">
        <f>IFERROR(__xludf.DUMMYFUNCTION("""COMPUTED_VALUE"""),"S34 Sarah (1/4): Last night at Tribal, taking out Sierra was good, because she told me about this Legacy Advantage. She said, in the event that she is voted out, she’s going to will it to me. So at Tribal Council, as her name comes up, I look at her in sh"&amp;"ock, like… (shocked face) “I can’t believe you’re going,” and, uh, it worked (shows Legacy Advantage to camera), and Sierra willed me her advantage.")</f>
        <v>S34 Sarah (1/4): Last night at Tribal, taking out Sierra was good, because she told me about this Legacy Advantage. She said, in the event that she is voted out, she’s going to will it to me. So at Tribal Council, as her name comes up, I look at her in shock, like… (shocked face) “I can’t believe you’re going,” and, uh, it worked (shows Legacy Advantage to camera), and Sierra willed me her advantage.</v>
      </c>
      <c r="P34" s="4"/>
      <c r="Q34" s="3" t="str">
        <f>IFERROR(__xludf.DUMMYFUNCTION("""COMPUTED_VALUE"""),"S33 Adam (2/2): Hannah wants to vote for Zeke tonight, but I'm not confident about the plan tonight because I have been sitting back a little bit and allowing Hannah to run the show a little bit. And Hannah is a nervous girl, and it makes me nervous.")</f>
        <v>S33 Adam (2/2): Hannah wants to vote for Zeke tonight, but I'm not confident about the plan tonight because I have been sitting back a little bit and allowing Hannah to run the show a little bit. And Hannah is a nervous girl, and it makes me nervous.</v>
      </c>
      <c r="R34" s="4"/>
      <c r="S34" s="3" t="str">
        <f>IFERROR(__xludf.DUMMYFUNCTION("""COMPUTED_VALUE"""),"S32 Michele (4/4): Little did I know that Tai has my head on the chopping block and is putting in their heads that he wants me out. But I was kind of on a tight time limit to talk to people who I haven’t talked to, so tonight for me at Tribal, I’m going t"&amp;"o do some damage control and hope that Jason can go and I can last another day in this game.")</f>
        <v>S32 Michele (4/4): Little did I know that Tai has my head on the chopping block and is putting in their heads that he wants me out. But I was kind of on a tight time limit to talk to people who I haven’t talked to, so tonight for me at Tribal, I’m going to do some damage control and hope that Jason can go and I can last another day in this game.</v>
      </c>
      <c r="T34" s="4"/>
      <c r="U34" s="3" t="str">
        <f>IFERROR(__xludf.DUMMYFUNCTION("""COMPUTED_VALUE"""),"S31 Jeremy (1/3): If the girls are all saying, like, “Let’s get out Keith, let’s get out Keith.” You know, that’s an option. But, um, I have buyer’s remorse right now ‘cause we should have kept Joe and got rid of, uh, Abi. I might be mad about going on th"&amp;"at reward today, like, listen, I’m going to eat on Day 39. Give me that breakfast and, like, let me tell everybody on the jury why I deserve that million dollars. That’s all I want.")</f>
        <v>S31 Jeremy (1/3): If the girls are all saying, like, “Let’s get out Keith, let’s get out Keith.” You know, that’s an option. But, um, I have buyer’s remorse right now ‘cause we should have kept Joe and got rid of, uh, Abi. I might be mad about going on that reward today, like, listen, I’m going to eat on Day 39. Give me that breakfast and, like, let me tell everybody on the jury why I deserve that million dollars. That’s all I want.</v>
      </c>
      <c r="V34" s="4"/>
      <c r="W34" s="3" t="str">
        <f>IFERROR(__xludf.DUMMYFUNCTION("""COMPUTED_VALUE"""),"S30 Mike (8/8): This is what we do, baby. We do the happy dance. We do the happy dance. Are you kidding me right now? You're feeling like everything's going against you, you keep digging within yourself, when you have nothing left. And this, this right he"&amp;"re, this is what you find. And you know what? Not going to share it, because I need that protection for myself and right now I have a chance to get rid of Joe. So if Joe doesn't win individual immunity, Joe has to go. And that's just plain and simple.")</f>
        <v>S30 Mike (8/8): This is what we do, baby. We do the happy dance. We do the happy dance. Are you kidding me right now? You're feeling like everything's going against you, you keep digging within yourself, when you have nothing left. And this, this right here, this is what you find. And you know what? Not going to share it, because I need that protection for myself and right now I have a chance to get rid of Joe. So if Joe doesn't win individual immunity, Joe has to go. And that's just plain and simple.</v>
      </c>
      <c r="X34" s="4"/>
      <c r="Y34" s="3" t="str">
        <f>IFERROR(__xludf.DUMMYFUNCTION("""COMPUTED_VALUE"""),"S29 Natalie (10/10): The thing is, I don't know if it's even worth it me getting in trouble with my alliance. So I'm gonna have to make a decision, I guess, tonight. Ultimately, is just deciding if I have the balls or not.")</f>
        <v>S29 Natalie (10/10): The thing is, I don't know if it's even worth it me getting in trouble with my alliance. So I'm gonna have to make a decision, I guess, tonight. Ultimately, is just deciding if I have the balls or not.</v>
      </c>
      <c r="Z34" s="4"/>
      <c r="AA34" s="3" t="str">
        <f>IFERROR(__xludf.DUMMYFUNCTION("""COMPUTED_VALUE"""),"S28 Tony (1/6): I am so pissed off that we didn’t win that challenge today where we could’ve went and eaten a nice juicy steak. But you know what they say? It’s better to be pissed off than to be (expletive censor) on.")</f>
        <v>S28 Tony (1/6): I am so pissed off that we didn’t win that challenge today where we could’ve went and eaten a nice juicy steak. But you know what they say? It’s better to be pissed off than to be (expletive censor) on.</v>
      </c>
      <c r="AB34" s="4"/>
      <c r="AC34" s="3" t="str">
        <f>IFERROR(__xludf.DUMMYFUNCTION("""COMPUTED_VALUE"""),"S27 Tyson (3/5): I was hoping to make it to six before I made my move and really locked the game down, but I may have to lock it down earlier. I trust Monica and I trust Gervase. Ciera’s the major wildcard here. I hope Ciera’s telling the truth, but in th"&amp;"e end, it makes more sense for me to go that direction anyways because I need Caleb and Hayden out and the sooner, the better.")</f>
        <v>S27 Tyson (3/5): I was hoping to make it to six before I made my move and really locked the game down, but I may have to lock it down earlier. I trust Monica and I trust Gervase. Ciera’s the major wildcard here. I hope Ciera’s telling the truth, but in the end, it makes more sense for me to go that direction anyways because I need Caleb and Hayden out and the sooner, the better.</v>
      </c>
      <c r="AD34" s="4"/>
      <c r="AE34" s="3" t="str">
        <f>IFERROR(__xludf.DUMMYFUNCTION("""COMPUTED_VALUE"""),"S26 Cochran (1/5): Reynold, Dawn, Erik, Phillip and I walked into our reward resort and we were greeted by a table filled to the brim with all sorts of shrimp kabobs, beef kabobs, fried chicken, calamari. There was more food than we could possibly eat. Ap"&amp;"parently, protein is important in one’s diet, and this is the sort of energy I need to go-- to go into challenges and continue being the challenge monster I think I’ve proven myself to be.")</f>
        <v>S26 Cochran (1/5): Reynold, Dawn, Erik, Phillip and I walked into our reward resort and we were greeted by a table filled to the brim with all sorts of shrimp kabobs, beef kabobs, fried chicken, calamari. There was more food than we could possibly eat. Apparently, protein is important in one’s diet, and this is the sort of energy I need to go-- to go into challenges and continue being the challenge monster I think I’ve proven myself to be.</v>
      </c>
      <c r="AF34" s="4"/>
      <c r="AG34" s="3" t="str">
        <f>IFERROR(__xludf.DUMMYFUNCTION("""COMPUTED_VALUE"""),"S25 Denise: I am one stubborn, determined woman. The taste of blood is in the water. I'm going to make it happen.")</f>
        <v>S25 Denise: I am one stubborn, determined woman. The taste of blood is in the water. I'm going to make it happen.</v>
      </c>
      <c r="AH34" s="4"/>
      <c r="AI34" s="3" t="str">
        <f>IFERROR(__xludf.DUMMYFUNCTION("""COMPUTED_VALUE"""),"S24 Kim (2/7): I felt like that was a really selfish decision for Kat not to take Tarzan and Christina. I don't know how angry they're gonna be but I'm gonna have to do major damage control back at camp.")</f>
        <v>S24 Kim (2/7): I felt like that was a really selfish decision for Kat not to take Tarzan and Christina. I don't know how angry they're gonna be but I'm gonna have to do major damage control back at camp.</v>
      </c>
      <c r="AJ34" s="4"/>
      <c r="AK34" s="3"/>
      <c r="AL34" s="4"/>
      <c r="AM34" s="3" t="str">
        <f>IFERROR(__xludf.DUMMYFUNCTION("""COMPUTED_VALUE"""),"S22 Rob (4/5): I'm going to go switch this with the clue that I already have. And give him the first clue and keep this one. So we gotta move. Today's a good day. What can I say? Not only did we win immunity and reward, but I got very lucky and had someon"&amp;"e hand me the clue to the Hidden Immunity Idol and I just went to go hide it for him. Unbeknownst to Grant, I ran to my stash and my original Hidden Immunity Idol clue that I had buried, swapped them out and put the original clue in my hand in place of th"&amp;"e one that he thinks that we took out of the coffee. That first clue is so ridiculous. It says something about, like, “Looking in the sand and under a rock or maybe in a tree, dig for it, climb for it.” Who knows? There's no way they're finding anything w"&amp;"ith it.")</f>
        <v>S22 Rob (4/5): I'm going to go switch this with the clue that I already have. And give him the first clue and keep this one. So we gotta move. Today's a good day. What can I say? Not only did we win immunity and reward, but I got very lucky and had someone hand me the clue to the Hidden Immunity Idol and I just went to go hide it for him. Unbeknownst to Grant, I ran to my stash and my original Hidden Immunity Idol clue that I had buried, swapped them out and put the original clue in my hand in place of the one that he thinks that we took out of the coffee. That first clue is so ridiculous. It says something about, like, “Looking in the sand and under a rock or maybe in a tree, dig for it, climb for it.” Who knows? There's no way they're finding anything with it.</v>
      </c>
      <c r="AN34" s="4"/>
      <c r="AO34" s="3" t="str">
        <f>IFERROR(__xludf.DUMMYFUNCTION("""COMPUTED_VALUE"""),"S21 Fabio (7/14): I'm loving this, man! I mean, I won the Final Immunity Challenge, and I get to come back to camp and watch the three of them gotta plead their case for why I should take them to the final three. Of course Sash and Chase and Holly are all"&amp;" nervous, panicky people anyway. So it's going to be fun watching them sweat about this one. I'm just going to let it play out.")</f>
        <v>S21 Fabio (7/14): I'm loving this, man! I mean, I won the Final Immunity Challenge, and I get to come back to camp and watch the three of them gotta plead their case for why I should take them to the final three. Of course Sash and Chase and Holly are all nervous, panicky people anyway. So it's going to be fun watching them sweat about this one. I'm just going to let it play out.</v>
      </c>
      <c r="AP34" s="4"/>
      <c r="AQ34" s="3"/>
      <c r="AR34" s="4"/>
      <c r="AS34" s="3"/>
      <c r="AT34" s="4"/>
      <c r="AU34" s="3"/>
      <c r="AV34" s="4"/>
      <c r="AW34" s="3"/>
      <c r="AX34" s="4"/>
      <c r="AY34" s="3"/>
      <c r="AZ34" s="4"/>
      <c r="BA34" s="3"/>
      <c r="BB34" s="4"/>
      <c r="BC34" s="3"/>
      <c r="BD34" s="4"/>
      <c r="BE34" s="3"/>
      <c r="BF34" s="4"/>
      <c r="BG34" s="3"/>
      <c r="BH34" s="4"/>
      <c r="BI34" s="3"/>
      <c r="BJ34" s="4"/>
      <c r="BK34" s="3" t="str">
        <f>IFERROR(__xludf.DUMMYFUNCTION("""COMPUTED_VALUE"""),"S10 Tom (4/7): I know that a lot of the tribe members are going to be like, “This may be our last chance to take him out. Let’s do it right now.” So I’m prepared for that. Um… my only protection is to keep the five tight, and I’ve also got to bring in Car"&amp;"yn as a confidante. If there’s a little trouble brewing for me, I want Caryn to think that I’m looking out for her interests, she’s looking out for mine.")</f>
        <v>S10 Tom (4/7): I know that a lot of the tribe members are going to be like, “This may be our last chance to take him out. Let’s do it right now.” So I’m prepared for that. Um… my only protection is to keep the five tight, and I’ve also got to bring in Caryn as a confidante. If there’s a little trouble brewing for me, I want Caryn to think that I’m looking out for her interests, she’s looking out for mine.</v>
      </c>
      <c r="BL34" s="4"/>
      <c r="BM34" s="3" t="str">
        <f>IFERROR(__xludf.DUMMYFUNCTION("""COMPUTED_VALUE"""),"S09 Chris (2/9): We all got to shower. They didn't leave me no hot water… bitches.")</f>
        <v>S09 Chris (2/9): We all got to shower. They didn't leave me no hot water… bitches.</v>
      </c>
      <c r="BN34" s="4"/>
      <c r="BO34" s="3" t="str">
        <f>IFERROR(__xludf.DUMMYFUNCTION("""COMPUTED_VALUE"""),"S08 Amber (3/7): When you come back from Reward Challenges, you always feel guilty. So to come back from another Reward Challenge with a car, it was pretty rough.")</f>
        <v>S08 Amber (3/7): When you come back from Reward Challenges, you always feel guilty. So to come back from another Reward Challenge with a car, it was pretty rough.</v>
      </c>
      <c r="BP34" s="4"/>
      <c r="BQ34" s="3" t="str">
        <f>IFERROR(__xludf.DUMMYFUNCTION("""COMPUTED_VALUE"""),"S07 Sandra (3/5): And Tijuana just looked at us and just listened to the whole thing. And she didn't comment on anything. Burton and Jon decided to go off on a walk. And a lot of the times, I sneak up, just to hear what's going on. That's how I always hav"&amp;"e a working knowledge of what's going on, what's going to happen next. And this time, when I saw them getting ready to go, I went over to Tijuana and I said, ""You gotta come with me now.""")</f>
        <v>S07 Sandra (3/5): And Tijuana just looked at us and just listened to the whole thing. And she didn't comment on anything. Burton and Jon decided to go off on a walk. And a lot of the times, I sneak up, just to hear what's going on. That's how I always have a working knowledge of what's going on, what's going to happen next. And this time, when I saw them getting ready to go, I went over to Tijuana and I said, "You gotta come with me now."</v>
      </c>
      <c r="BR34" s="4"/>
      <c r="BS34" s="3"/>
      <c r="BT34" s="4"/>
      <c r="BU34" s="3"/>
      <c r="BV34" s="4"/>
      <c r="BW34" s="3"/>
      <c r="BX34" s="4"/>
      <c r="BY34" s="3"/>
      <c r="BZ34" s="4"/>
      <c r="CA34" s="3"/>
      <c r="CB34" s="4"/>
      <c r="CC34" s="3"/>
      <c r="CD34" s="4"/>
    </row>
    <row r="35">
      <c r="A35" s="3"/>
      <c r="B35" s="4"/>
      <c r="C35" s="3" t="str">
        <f>IFERROR(__xludf.DUMMYFUNCTION("""COMPUTED_VALUE"""),"S40 Tony (11/16): So I go to Nick. I say, “Nick, I’m in trouble.” He said, “No problem, Tony. I’ll help you.” So then I said, “I need to talk it over with Ben.” Ben’s like, “Tony, I got you. I got your back.” And I have the six on me right now to pay the "&amp;"price for the extortion. I am loaded (shows tokens to camera). I am wealthy. So this is an official payment for that… disgusting disadvantage that somebody sent me. So I’m officially paying for it. I will compete in this Immunity Challenge. I will have a "&amp;"vote tonight.")</f>
        <v>S40 Tony (11/16): So I go to Nick. I say, “Nick, I’m in trouble.” He said, “No problem, Tony. I’ll help you.” So then I said, “I need to talk it over with Ben.” Ben’s like, “Tony, I got you. I got your back.” And I have the six on me right now to pay the price for the extortion. I am loaded (shows tokens to camera). I am wealthy. So this is an official payment for that… disgusting disadvantage that somebody sent me. So I’m officially paying for it. I will compete in this Immunity Challenge. I will have a vote tonight.</v>
      </c>
      <c r="D35" s="4"/>
      <c r="E35" s="3"/>
      <c r="F35" s="4"/>
      <c r="G35" s="3"/>
      <c r="H35" s="4"/>
      <c r="I35" s="3"/>
      <c r="J35" s="4"/>
      <c r="K35" s="3"/>
      <c r="L35" s="4"/>
      <c r="M35" s="3" t="str">
        <f>IFERROR(__xludf.DUMMYFUNCTION("""COMPUTED_VALUE"""),"S35 Ben (3/6): Out of nowhere, I see this “X” and it says, “Dig.” At first I think that there’s an idol underneath that rock. But there wasn’t. It’s a map of our island, and it’s a clue to where this Hidden Immunity Idol is sitting. It says, “Look for a c"&amp;"lay pot.” Oh, man, I’ve been looking since Day 1 to find these darn idols. Man, I lost it. You know, no way! And now the marine in me, when there is a mission or a task to be done, it-- it’s go time. Right now I have a map. I have an objective, and I’m go"&amp;"ing to go get the job done. My mission now is to get to this idol. You know, I’m sweeping the area like I would clearing a room. You have to keep a keen eye out for something that looks out of place. And I have to find this, but you have to keep a calm an"&amp;"d cool head, think quickly, but think clearly.")</f>
        <v>S35 Ben (3/6): Out of nowhere, I see this “X” and it says, “Dig.” At first I think that there’s an idol underneath that rock. But there wasn’t. It’s a map of our island, and it’s a clue to where this Hidden Immunity Idol is sitting. It says, “Look for a clay pot.” Oh, man, I’ve been looking since Day 1 to find these darn idols. Man, I lost it. You know, no way! And now the marine in me, when there is a mission or a task to be done, it-- it’s go time. Right now I have a map. I have an objective, and I’m going to go get the job done. My mission now is to get to this idol. You know, I’m sweeping the area like I would clearing a room. You have to keep a keen eye out for something that looks out of place. And I have to find this, but you have to keep a calm and cool head, think quickly, but think clearly.</v>
      </c>
      <c r="N35" s="4"/>
      <c r="O35" s="3" t="str">
        <f>IFERROR(__xludf.DUMMYFUNCTION("""COMPUTED_VALUE"""),"S34 Sarah (2/4): And now I have two advantages. The first one is a steal-a-vote, which amounts to two votes, and the second one is the Legacy. So this time, Game Changers, I’m shooting for the stars here, and if I had to pick, I want Andrea gone. I cannot"&amp;" stand the girl. However, it’s gotta be the right time.")</f>
        <v>S34 Sarah (2/4): And now I have two advantages. The first one is a steal-a-vote, which amounts to two votes, and the second one is the Legacy. So this time, Game Changers, I’m shooting for the stars here, and if I had to pick, I want Andrea gone. I cannot stand the girl. However, it’s gotta be the right time.</v>
      </c>
      <c r="P35" s="4"/>
      <c r="Q35" s="3" t="str">
        <f>IFERROR(__xludf.DUMMYFUNCTION("""COMPUTED_VALUE"""),"S33 Adam (1/5): My mom has stage four lung cancer, and I don't know what's going on with my mom. I don't know what's going on at home.")</f>
        <v>S33 Adam (1/5): My mom has stage four lung cancer, and I don't know what's going on with my mom. I don't know what's going on at home.</v>
      </c>
      <c r="R35" s="4"/>
      <c r="S35" s="3" t="str">
        <f>IFERROR(__xludf.DUMMYFUNCTION("""COMPUTED_VALUE"""),"S32 Michele (1/12): Tai voted both of his votes towards me, because, obviously, he wants to put me on the outs, and it’s kind of like a slap in the face. Fortunately, I kind of lucked out that Cydney did protect me, but I did get votes against me, so I do"&amp;"n’t know where I stand, and I could get voted out next.")</f>
        <v>S32 Michele (1/12): Tai voted both of his votes towards me, because, obviously, he wants to put me on the outs, and it’s kind of like a slap in the face. Fortunately, I kind of lucked out that Cydney did protect me, but I did get votes against me, so I don’t know where I stand, and I could get voted out next.</v>
      </c>
      <c r="T35" s="4"/>
      <c r="U35" s="3" t="str">
        <f>IFERROR(__xludf.DUMMYFUNCTION("""COMPUTED_VALUE"""),"S31 Jeremy (2/3): Is Abi a Scorpio? (smirks) ‘Cause Scorpios are crazy. I got two of them in my house. That’s why I drink. (laughs)")</f>
        <v>S31 Jeremy (2/3): Is Abi a Scorpio? (smirks) ‘Cause Scorpios are crazy. I got two of them in my house. That’s why I drink. (laughs)</v>
      </c>
      <c r="V35" s="4"/>
      <c r="W35" s="3" t="str">
        <f>IFERROR(__xludf.DUMMYFUNCTION("""COMPUTED_VALUE"""),"S30 Mike (1/5): Pulling Shirin in, 'cause no one would think that I would pull her in, is a perfect strategy to get rid of some of these other threats that are in this game.")</f>
        <v>S30 Mike (1/5): Pulling Shirin in, 'cause no one would think that I would pull her in, is a perfect strategy to get rid of some of these other threats that are in this game.</v>
      </c>
      <c r="X35" s="4"/>
      <c r="Y35" s="3" t="str">
        <f>IFERROR(__xludf.DUMMYFUNCTION("""COMPUTED_VALUE"""),"S29 Natalie (1/4): Just the way Tribal went, I knew I had to pretend to mess up and accidentally vote out Alec instead of Keith, and act my ass off to convince them that it was a mistake. It was a risk that I was willing to take, because I just didn't wan"&amp;"t Jon to have more power and control in this game right now than he needs. I mean, I think I sold it to them properly, but it's going to be scary. But Jon is on my hit list. He's been on my hit list since he sent Jeremy home. So, it's been a long time com"&amp;"ing, and I need to make some moves soon.")</f>
        <v>S29 Natalie (1/4): Just the way Tribal went, I knew I had to pretend to mess up and accidentally vote out Alec instead of Keith, and act my ass off to convince them that it was a mistake. It was a risk that I was willing to take, because I just didn't want Jon to have more power and control in this game right now than he needs. I mean, I think I sold it to them properly, but it's going to be scary. But Jon is on my hit list. He's been on my hit list since he sent Jeremy home. So, it's been a long time coming, and I need to make some moves soon.</v>
      </c>
      <c r="Z35" s="4"/>
      <c r="AA35" s="3" t="str">
        <f>IFERROR(__xludf.DUMMYFUNCTION("""COMPUTED_VALUE"""),"S28 Tony (2/6): Kass is telling me how she’s gonna be solid with us. She seems sincere, but she’s really hard to read because she doesn’t have any facial expressions. She’s just like a stone face. I can’t tell if she’s lying to me or not, and I’m a police"&amp;" officer. So I’m hoping she stays with us, but again, you always gotta prepare for the worst. Last night at Tribal, LJ and I played idols. But there’s a Hidden Immunity Idol with special powers around camp. That’s a needle in a haystack. But there’s nothi"&amp;"ng but time on this Island, so I went out there and I started looking in tree holes, climbing trees. I’m doing all kinds of stuff ‘cause I need to find that idol! It’s a security blanket that I would love to cover myself with.")</f>
        <v>S28 Tony (2/6): Kass is telling me how she’s gonna be solid with us. She seems sincere, but she’s really hard to read because she doesn’t have any facial expressions. She’s just like a stone face. I can’t tell if she’s lying to me or not, and I’m a police officer. So I’m hoping she stays with us, but again, you always gotta prepare for the worst. Last night at Tribal, LJ and I played idols. But there’s a Hidden Immunity Idol with special powers around camp. That’s a needle in a haystack. But there’s nothing but time on this Island, so I went out there and I started looking in tree holes, climbing trees. I’m doing all kinds of stuff ‘cause I need to find that idol! It’s a security blanket that I would love to cover myself with.</v>
      </c>
      <c r="AB35" s="4"/>
      <c r="AC35" s="3" t="str">
        <f>IFERROR(__xludf.DUMMYFUNCTION("""COMPUTED_VALUE"""),"S27 Tyson (4/5): Hayden and Caleb just pulled me aside and were like, “Ciera’s playing both sides.” And when I think about it, it makes sense, you know? Why wouldn’t she? She seems like a smart enough girl and I know she’s a good liar. In her mind, she’s "&amp;"probably thinking by piting the guys against each other, she can stick around a little longer and that was a smart move on her part. But now I’m feeling like she’s too sneaky and too smart and too deceiving to be in the game anymore.")</f>
        <v>S27 Tyson (4/5): Hayden and Caleb just pulled me aside and were like, “Ciera’s playing both sides.” And when I think about it, it makes sense, you know? Why wouldn’t she? She seems like a smart enough girl and I know she’s a good liar. In her mind, she’s probably thinking by piting the guys against each other, she can stick around a little longer and that was a smart move on her part. But now I’m feeling like she’s too sneaky and too smart and too deceiving to be in the game anymore.</v>
      </c>
      <c r="AD35" s="4"/>
      <c r="AE35" s="3" t="str">
        <f>IFERROR(__xludf.DUMMYFUNCTION("""COMPUTED_VALUE"""),"S26 Cochran (2/5): Dawn’s convinced that Andrea is going to flip over and vote her, Dawn out. How Dawn is so confident she’s the person that would be on the receiving end of this vote,um, is-is baffling to me. And it’s making me suspicious of Dawn, quite "&amp;"frankly.")</f>
        <v>S26 Cochran (2/5): Dawn’s convinced that Andrea is going to flip over and vote her, Dawn out. How Dawn is so confident she’s the person that would be on the receiving end of this vote,um, is-is baffling to me. And it’s making me suspicious of Dawn, quite frankly.</v>
      </c>
      <c r="AF35" s="4"/>
      <c r="AG35" s="3" t="str">
        <f>IFERROR(__xludf.DUMMYFUNCTION("""COMPUTED_VALUE"""),"S25 Denise (1/5): Oh, we have a challenge today which we-we weren't expecting. My fear is I will be the next one to go. We've had this solid four, but four can't go to three so I am desperate to win it because one of us is going to get the short end of th"&amp;"e stick, and I definitely don't want it to be me.")</f>
        <v>S25 Denise (1/5): Oh, we have a challenge today which we-we weren't expecting. My fear is I will be the next one to go. We've had this solid four, but four can't go to three so I am desperate to win it because one of us is going to get the short end of the stick, and I definitely don't want it to be me.</v>
      </c>
      <c r="AH35" s="4"/>
      <c r="AI35" s="3" t="str">
        <f>IFERROR(__xludf.DUMMYFUNCTION("""COMPUTED_VALUE"""),"S24 Kim (3/7): With 8 days left in this game, final three talk is happening all over the place. I feel like this may be my best option to go with Kat and Alicia who I feel, like, I can beat. They want to vote off Sabrina, but I've had an alliance with Sab"&amp;"rina since the beginning so I would be voting out someone that was previously in a top three with. But at the end of the day, if I don't think I can win against Sabrina, that would be stupid to take her to the final three with me.")</f>
        <v>S24 Kim (3/7): With 8 days left in this game, final three talk is happening all over the place. I feel like this may be my best option to go with Kat and Alicia who I feel, like, I can beat. They want to vote off Sabrina, but I've had an alliance with Sabrina since the beginning so I would be voting out someone that was previously in a top three with. But at the end of the day, if I don't think I can win against Sabrina, that would be stupid to take her to the final three with me.</v>
      </c>
      <c r="AJ35" s="4"/>
      <c r="AK35" s="3"/>
      <c r="AL35" s="4"/>
      <c r="AM35" s="3" t="str">
        <f>IFERROR(__xludf.DUMMYFUNCTION("""COMPUTED_VALUE"""),"S22 Rob (5/5): When Grant first came up to me I wasn't sure if he had saw me in the other woods so I had to, like, you know, pretend like I was nervous. I mean, this is really all for nothing because I already have the Immunity Idol, you know, but it's fu"&amp;"n for me. I have to entertain myself out here somehow. I had to hustle, you know, but you gotta hustle if you wanna make a dollar. Everybody knows that.")</f>
        <v>S22 Rob (5/5): When Grant first came up to me I wasn't sure if he had saw me in the other woods so I had to, like, you know, pretend like I was nervous. I mean, this is really all for nothing because I already have the Immunity Idol, you know, but it's fun for me. I have to entertain myself out here somehow. I had to hustle, you know, but you gotta hustle if you wanna make a dollar. Everybody knows that.</v>
      </c>
      <c r="AN35" s="4"/>
      <c r="AO35" s="3" t="str">
        <f>IFERROR(__xludf.DUMMYFUNCTION("""COMPUTED_VALUE"""),"S21 Fabio (8/14): I’ve had this feeling about Sash the whole time that he’s willing to tell anybody anything and it gets to me, you know? But at the same time, look at the position I'm in, and I'm just laughing like, “Dude, I can see right through you, an"&amp;"d you don't think I can.” And I go back to Chase, and I tell him, and he's immediately selling Sash out to me. It's almost like, if I just walked into a kitchen, turned the lights on and all these little cockroaches are trying to scramble to get out of th"&amp;"e way and to throw somebody else under the bus, you know?")</f>
        <v>S21 Fabio (8/14): I’ve had this feeling about Sash the whole time that he’s willing to tell anybody anything and it gets to me, you know? But at the same time, look at the position I'm in, and I'm just laughing like, “Dude, I can see right through you, and you don't think I can.” And I go back to Chase, and I tell him, and he's immediately selling Sash out to me. It's almost like, if I just walked into a kitchen, turned the lights on and all these little cockroaches are trying to scramble to get out of the way and to throw somebody else under the bus, you know?</v>
      </c>
      <c r="AP35" s="4"/>
      <c r="AQ35" s="3"/>
      <c r="AR35" s="4"/>
      <c r="AS35" s="3"/>
      <c r="AT35" s="4"/>
      <c r="AU35" s="3"/>
      <c r="AV35" s="4"/>
      <c r="AW35" s="3"/>
      <c r="AX35" s="4"/>
      <c r="AY35" s="3"/>
      <c r="AZ35" s="4"/>
      <c r="BA35" s="3"/>
      <c r="BB35" s="4"/>
      <c r="BC35" s="3"/>
      <c r="BD35" s="4"/>
      <c r="BE35" s="3"/>
      <c r="BF35" s="4"/>
      <c r="BG35" s="3"/>
      <c r="BH35" s="4"/>
      <c r="BI35" s="3"/>
      <c r="BJ35" s="4"/>
      <c r="BK35" s="3" t="str">
        <f>IFERROR(__xludf.DUMMYFUNCTION("""COMPUTED_VALUE"""),"S10 Tom (5/7): So it was a good move on my part to be friends with Caryn. Um… what happens, happens at this point. You know, you just, you play your cards as best you can. If I don’t win the Immunity Challenge, um, I’ll be ready to see my name written a f"&amp;"ew times.")</f>
        <v>S10 Tom (5/7): So it was a good move on my part to be friends with Caryn. Um… what happens, happens at this point. You know, you just, you play your cards as best you can. If I don’t win the Immunity Challenge, um, I’ll be ready to see my name written a few times.</v>
      </c>
      <c r="BL35" s="4"/>
      <c r="BM35" s="3" t="str">
        <f>IFERROR(__xludf.DUMMYFUNCTION("""COMPUTED_VALUE"""),"S09 Chris (3/9): We had a really good meal. Um, ate as much as we could… just great food.")</f>
        <v>S09 Chris (3/9): We had a really good meal. Um, ate as much as we could… just great food.</v>
      </c>
      <c r="BN35" s="4"/>
      <c r="BO35" s="3" t="str">
        <f>IFERROR(__xludf.DUMMYFUNCTION("""COMPUTED_VALUE"""),"S08 Amber (4/7): I had the choice whether or not to tell people that I had won the car, but I felt that holding that back from them just wasn't me.")</f>
        <v>S08 Amber (4/7): I had the choice whether or not to tell people that I had won the car, but I felt that holding that back from them just wasn't me.</v>
      </c>
      <c r="BP35" s="4"/>
      <c r="BQ35" s="3" t="str">
        <f>IFERROR(__xludf.DUMMYFUNCTION("""COMPUTED_VALUE"""),"S07 Sandra (4/5): The timing was perfect. It was better for her to hear with her own ears coming out of their mouths than for me to put things in her head and for her to have doubts. There's no doubts now.")</f>
        <v>S07 Sandra (4/5): The timing was perfect. It was better for her to hear with her own ears coming out of their mouths than for me to put things in her head and for her to have doubts. There's no doubts now.</v>
      </c>
      <c r="BR35" s="4"/>
      <c r="BS35" s="3"/>
      <c r="BT35" s="4"/>
      <c r="BU35" s="3"/>
      <c r="BV35" s="4"/>
      <c r="BW35" s="3"/>
      <c r="BX35" s="4"/>
      <c r="BY35" s="3"/>
      <c r="BZ35" s="4"/>
      <c r="CA35" s="3"/>
      <c r="CB35" s="4"/>
      <c r="CC35" s="3"/>
      <c r="CD35" s="4"/>
    </row>
    <row r="36">
      <c r="A36" s="3"/>
      <c r="B36" s="4"/>
      <c r="C36" s="3" t="str">
        <f>IFERROR(__xludf.DUMMYFUNCTION("""COMPUTED_VALUE"""),"S40 Tony (12/16): This is perfect. I won two Fire Tokens. I can pay my debt. And had I not played that immunity Challenge, Jeremy would have won that necklace. So, what’s happening today is we’re gonna be voting for Jeremy. I’m loving it.")</f>
        <v>S40 Tony (12/16): This is perfect. I won two Fire Tokens. I can pay my debt. And had I not played that immunity Challenge, Jeremy would have won that necklace. So, what’s happening today is we’re gonna be voting for Jeremy. I’m loving it.</v>
      </c>
      <c r="D36" s="4"/>
      <c r="E36" s="3"/>
      <c r="F36" s="4"/>
      <c r="G36" s="3"/>
      <c r="H36" s="4"/>
      <c r="I36" s="3"/>
      <c r="J36" s="4"/>
      <c r="K36" s="3"/>
      <c r="L36" s="4"/>
      <c r="M36" s="3" t="str">
        <f>IFERROR(__xludf.DUMMYFUNCTION("""COMPUTED_VALUE"""),"S35 Ben (4/6): I found an idol on Survivor. I’ve never been more happy in my entire life to wear a darn necklace of shells, you know? At this point the seven blowing up and my name has been thrown around. I’m being called King Arthur. So I need the idol, "&amp;"and I ain’t telling no one about it, ‘cause nobody around here can keep a darn secret. This gets me one step closer to a million, and I believe that my wife helped me find this idol. So thank you, honey. This one’s for you, and this one is from you.")</f>
        <v>S35 Ben (4/6): I found an idol on Survivor. I’ve never been more happy in my entire life to wear a darn necklace of shells, you know? At this point the seven blowing up and my name has been thrown around. I’m being called King Arthur. So I need the idol, and I ain’t telling no one about it, ‘cause nobody around here can keep a darn secret. This gets me one step closer to a million, and I believe that my wife helped me find this idol. So thank you, honey. This one’s for you, and this one is from you.</v>
      </c>
      <c r="N36" s="4"/>
      <c r="O36" s="3" t="str">
        <f>IFERROR(__xludf.DUMMYFUNCTION("""COMPUTED_VALUE"""),"S34 Sarah (3/4): For whatever reason, Cirie wants to believe Aubry and everything that’s coming out of Aubry’s mouth.")</f>
        <v>S34 Sarah (3/4): For whatever reason, Cirie wants to believe Aubry and everything that’s coming out of Aubry’s mouth.</v>
      </c>
      <c r="P36" s="4"/>
      <c r="Q36" s="3" t="str">
        <f>IFERROR(__xludf.DUMMYFUNCTION("""COMPUTED_VALUE"""),"S33 Adam (2/5): (tearfully) I'm here to bring joy to my family, to make them proud and to give them as much to look forward to as humanly possible. And the better I do in this game, the longer I last, and the more that I make my mom happy. I have to stay "&amp;"focused, and I have to use this as… (sniffles) inspiration to continue fighting out here.")</f>
        <v>S33 Adam (2/5): (tearfully) I'm here to bring joy to my family, to make them proud and to give them as much to look forward to as humanly possible. And the better I do in this game, the longer I last, and the more that I make my mom happy. I have to stay focused, and I have to use this as… (sniffles) inspiration to continue fighting out here.</v>
      </c>
      <c r="R36" s="4"/>
      <c r="S36" s="3" t="str">
        <f>IFERROR(__xludf.DUMMYFUNCTION("""COMPUTED_VALUE"""),"S32 Michele (2/12): As I was leaving the Reward Challenge, all I’m thinking is, “Okay, Cydney, Aubry and Joe, that’s maybe final three.” So I definitely have to take a risk and try and find a way to change the pecking order.")</f>
        <v>S32 Michele (2/12): As I was leaving the Reward Challenge, all I’m thinking is, “Okay, Cydney, Aubry and Joe, that’s maybe final three.” So I definitely have to take a risk and try and find a way to change the pecking order.</v>
      </c>
      <c r="T36" s="4"/>
      <c r="U36" s="3" t="str">
        <f>IFERROR(__xludf.DUMMYFUNCTION("""COMPUTED_VALUE"""),"S31 Jeremy (3/3): Tasha said, “What do you think about if we vote Abi out?” It does give me one less girl that I don’t have to worry about. So I’m, “Yeah, I like that idea.” Tasha is, uh, kind of iffy on Spencer. She doesn’t know if he’s gonna be 100%. It"&amp;" is a possibility that he could jump ship and just run and tell Kelley and Keith the whole plan and it will blow up in our face.")</f>
        <v>S31 Jeremy (3/3): Tasha said, “What do you think about if we vote Abi out?” It does give me one less girl that I don’t have to worry about. So I’m, “Yeah, I like that idea.” Tasha is, uh, kind of iffy on Spencer. She doesn’t know if he’s gonna be 100%. It is a possibility that he could jump ship and just run and tell Kelley and Keith the whole plan and it will blow up in our face.</v>
      </c>
      <c r="V36" s="4"/>
      <c r="W36" s="3" t="str">
        <f>IFERROR(__xludf.DUMMYFUNCTION("""COMPUTED_VALUE"""),"S30 Mike (2/5): Shirin's smart enough to realize that there's a group within our group. Well, I see it. You can't hide. There's only ten people here.")</f>
        <v>S30 Mike (2/5): Shirin's smart enough to realize that there's a group within our group. Well, I see it. You can't hide. There's only ten people here.</v>
      </c>
      <c r="X36" s="4"/>
      <c r="Y36" s="3" t="str">
        <f>IFERROR(__xludf.DUMMYFUNCTION("""COMPUTED_VALUE"""),"S29 Natalie (2/4): Keith is still kinda unpredictable but I told Keith he was basically here because of me. I told him that me and Baylor, at the end of the day have his back. Hopefully, that will resonate with him and he will be a perfect person to use i"&amp;"n a plan against Jon.")</f>
        <v>S29 Natalie (2/4): Keith is still kinda unpredictable but I told Keith he was basically here because of me. I told him that me and Baylor, at the end of the day have his back. Hopefully, that will resonate with him and he will be a perfect person to use in a plan against Jon.</v>
      </c>
      <c r="Z36" s="4"/>
      <c r="AA36" s="3" t="str">
        <f>IFERROR(__xludf.DUMMYFUNCTION("""COMPUTED_VALUE"""),"S28 Tony (3/6): It’s a mad treasure hunt for this idol and you know me: I love action. So I was like, you know what? I’m in. Count me in! Which way is this?")</f>
        <v>S28 Tony (3/6): It’s a mad treasure hunt for this idol and you know me: I love action. So I was like, you know what? I’m in. Count me in! Which way is this?</v>
      </c>
      <c r="AB36" s="4"/>
      <c r="AC36" s="3" t="str">
        <f>IFERROR(__xludf.DUMMYFUNCTION("""COMPUTED_VALUE"""),"S27 Tyson (5/5): The problem is, I don’t trust Hayden and Caleb either. Who knows? They could be trying to make me feel comfortable and then, pow! I get hit with a heart-breaker. So I might have to play my Hidden Immunity Idol. It’s that little added bit "&amp;"of insurance in case something screwy happens.")</f>
        <v>S27 Tyson (5/5): The problem is, I don’t trust Hayden and Caleb either. Who knows? They could be trying to make me feel comfortable and then, pow! I get hit with a heart-breaker. So I might have to play my Hidden Immunity Idol. It’s that little added bit of insurance in case something screwy happens.</v>
      </c>
      <c r="AD36" s="4"/>
      <c r="AE36" s="3" t="str">
        <f>IFERROR(__xludf.DUMMYFUNCTION("""COMPUTED_VALUE"""),"S26 Cochran (3/5): We had one who flew over the cuckoo's nest this game, Brandon Hantz, he’s gone. But it’s looking like there’s another, you know, possible hummingbird that’s zipping over the cuckoo’s nest, and her name is Dawn.")</f>
        <v>S26 Cochran (3/5): We had one who flew over the cuckoo's nest this game, Brandon Hantz, he’s gone. But it’s looking like there’s another, you know, possible hummingbird that’s zipping over the cuckoo’s nest, and her name is Dawn.</v>
      </c>
      <c r="AF36" s="4"/>
      <c r="AG36" s="3" t="str">
        <f>IFERROR(__xludf.DUMMYFUNCTION("""COMPUTED_VALUE"""),"S25 Denise (2/5): I tried to approach Malcolm about going to the final three together, and he's just very hesitant to make any kind of commitment, and so for me, knowing that he had planned so hard to make sure we had a six, and had planned so hard to mak"&amp;"e sure we had a four, makes me very leery about his thoughts on keeping me in that final three. So, this is kind of scramble time and I need to figure out a plan and figure it out fast.")</f>
        <v>S25 Denise (2/5): I tried to approach Malcolm about going to the final three together, and he's just very hesitant to make any kind of commitment, and so for me, knowing that he had planned so hard to make sure we had a six, and had planned so hard to make sure we had a four, makes me very leery about his thoughts on keeping me in that final three. So, this is kind of scramble time and I need to figure out a plan and figure it out fast.</v>
      </c>
      <c r="AH36" s="4"/>
      <c r="AI36" s="3" t="str">
        <f>IFERROR(__xludf.DUMMYFUNCTION("""COMPUTED_VALUE"""),"S24 Kim (4/7): I'm thinking it's immunity today and we’ve decided Sabrina’s going home for sure. I do think she has a good shot of getting a lot of jury votes just because she's pretty persuasive. So it's so important who wins because we have a plan and i"&amp;"f somebody wins immunity that was supposed to go home, it's gonna be chaos. I think at some point in this game, I kind of started to think like, “Well, maybe it's not smart if I win immunity, but I just don't know if I'll ever feel safe,” so I've just dec"&amp;"ided at this point, if I can take every immunity from here on out, I will.")</f>
        <v>S24 Kim (4/7): I'm thinking it's immunity today and we’ve decided Sabrina’s going home for sure. I do think she has a good shot of getting a lot of jury votes just because she's pretty persuasive. So it's so important who wins because we have a plan and if somebody wins immunity that was supposed to go home, it's gonna be chaos. I think at some point in this game, I kind of started to think like, “Well, maybe it's not smart if I win immunity, but I just don't know if I'll ever feel safe,” so I've just decided at this point, if I can take every immunity from here on out, I will.</v>
      </c>
      <c r="AJ36" s="4"/>
      <c r="AK36" s="3"/>
      <c r="AL36" s="4"/>
      <c r="AM36" s="3" t="str">
        <f>IFERROR(__xludf.DUMMYFUNCTION("""COMPUTED_VALUE"""),"S22 Rob (1/3): I think this fracture is gonna end up splitting this tribe. The best thing for us to do is to keep winning and not get rid of anyone, so immediately I decided I need to take Phillip aside and I need to squash this thing right away. I had to"&amp;" play Arafat in like a peace process to bring the tribe back together again. Phillip was right, I mean, the girls weren't doing anything, but the less they do the happier I am. I don't want them to be working hard and, you know, giving us a reason to writ"&amp;"e your name down to win a million dollars at the end of this thing. I want you to ignore the crap out of everyone as much as possible.")</f>
        <v>S22 Rob (1/3): I think this fracture is gonna end up splitting this tribe. The best thing for us to do is to keep winning and not get rid of anyone, so immediately I decided I need to take Phillip aside and I need to squash this thing right away. I had to play Arafat in like a peace process to bring the tribe back together again. Phillip was right, I mean, the girls weren't doing anything, but the less they do the happier I am. I don't want them to be working hard and, you know, giving us a reason to write your name down to win a million dollars at the end of this thing. I want you to ignore the crap out of everyone as much as possible.</v>
      </c>
      <c r="AN36" s="4"/>
      <c r="AO36" s="3" t="str">
        <f>IFERROR(__xludf.DUMMYFUNCTION("""COMPUTED_VALUE"""),"S21 Fabio (9/14): Sash and Chase have lied to me the whole time saying we would go to the final three together. And now I really feel like I almost don't want to take either of ‘em. Holly's actually the only one that hasn't lied or done anything to me.")</f>
        <v>S21 Fabio (9/14): Sash and Chase have lied to me the whole time saying we would go to the final three together. And now I really feel like I almost don't want to take either of ‘em. Holly's actually the only one that hasn't lied or done anything to me.</v>
      </c>
      <c r="AP36" s="4"/>
      <c r="AQ36" s="3"/>
      <c r="AR36" s="4"/>
      <c r="AS36" s="3"/>
      <c r="AT36" s="4"/>
      <c r="AU36" s="3"/>
      <c r="AV36" s="4"/>
      <c r="AW36" s="3"/>
      <c r="AX36" s="4"/>
      <c r="AY36" s="3"/>
      <c r="AZ36" s="4"/>
      <c r="BA36" s="3"/>
      <c r="BB36" s="4"/>
      <c r="BC36" s="3"/>
      <c r="BD36" s="4"/>
      <c r="BE36" s="3"/>
      <c r="BF36" s="4"/>
      <c r="BG36" s="3"/>
      <c r="BH36" s="4"/>
      <c r="BI36" s="3"/>
      <c r="BJ36" s="4"/>
      <c r="BK36" s="3" t="str">
        <f>IFERROR(__xludf.DUMMYFUNCTION("""COMPUTED_VALUE"""),"S10 Tom (6/7): So Mother Nature throws this little curveball and, uh, you know, we’re gonna have a rainy day. So I think it would be very funny if the sun breaks out and you just see seven people scatter out of the tent in individual groups just going to "&amp;"explode with the things that are building up inside them while we’re stuck inside. Uh… it’s going to be a fun day.")</f>
        <v>S10 Tom (6/7): So Mother Nature throws this little curveball and, uh, you know, we’re gonna have a rainy day. So I think it would be very funny if the sun breaks out and you just see seven people scatter out of the tent in individual groups just going to explode with the things that are building up inside them while we’re stuck inside. Uh… it’s going to be a fun day.</v>
      </c>
      <c r="BL36" s="4"/>
      <c r="BM36" s="3" t="str">
        <f>IFERROR(__xludf.DUMMYFUNCTION("""COMPUTED_VALUE"""),"S09 Chris (4/9): She's so full of (expletive censor)! You know, does she think I'm stupid, you know? She's still working Eliza, though. She's strategizing, she's playing the game.")</f>
        <v>S09 Chris (4/9): She's so full of (expletive censor)! You know, does she think I'm stupid, you know? She's still working Eliza, though. She's strategizing, she's playing the game.</v>
      </c>
      <c r="BN36" s="4"/>
      <c r="BO36" s="3" t="str">
        <f>IFERROR(__xludf.DUMMYFUNCTION("""COMPUTED_VALUE"""),"S08 Amber (5/7): Big Tom is definitely scrambling. He knows that Rob and I are not 100% with him, and he knows that he's a swing vote right now. He knows that he could hop over with Rupert and Jenna right now and get rid of me if he wanted to.")</f>
        <v>S08 Amber (5/7): Big Tom is definitely scrambling. He knows that Rob and I are not 100% with him, and he knows that he's a swing vote right now. He knows that he could hop over with Rupert and Jenna right now and get rid of me if he wanted to.</v>
      </c>
      <c r="BP36" s="4"/>
      <c r="BQ36" s="3" t="str">
        <f>IFERROR(__xludf.DUMMYFUNCTION("""COMPUTED_VALUE"""),"S07 Sandra (5/5): Jon comes out and says, ""We want to fix things between you guys again. I want you to help me save Burton today in exchange for Tijuana."" And we're like, ""Well, we're listening, but you have done us wrong so many times before.""")</f>
        <v>S07 Sandra (5/5): Jon comes out and says, "We want to fix things between you guys again. I want you to help me save Burton today in exchange for Tijuana." And we're like, "Well, we're listening, but you have done us wrong so many times before."</v>
      </c>
      <c r="BR36" s="4"/>
      <c r="BS36" s="3"/>
      <c r="BT36" s="4"/>
      <c r="BU36" s="3"/>
      <c r="BV36" s="4"/>
      <c r="BW36" s="3"/>
      <c r="BX36" s="4"/>
      <c r="BY36" s="3"/>
      <c r="BZ36" s="4"/>
      <c r="CA36" s="3"/>
      <c r="CB36" s="4"/>
      <c r="CC36" s="3"/>
      <c r="CD36" s="4"/>
    </row>
    <row r="37">
      <c r="A37" s="3"/>
      <c r="B37" s="4"/>
      <c r="C37" s="3" t="str">
        <f>IFERROR(__xludf.DUMMYFUNCTION("""COMPUTED_VALUE"""),"S40 Tony (13/16): Everybody’s very calm and cool and quiet, and they’re tired of all the talking, the chattering. Like, “Guys, we’re solid. Let’s just stop talking.” If they want to stop or slow down, that’s better for me, because I’m not stopping or slow"&amp;"ing down. I’m always thinking when they’re not. I have the Immunity Necklace, so I’m safe for tonight. I’ve been patient long enough. Now I have an opportunity to flip-flop. It’s time for me to blindside somebody. And Sophie is getting too close to my par"&amp;"tner, Sarah. So, I’m thinking my target should be Sophie. Because my real alliance is splitting the votes, that creates a huge opportunity for me, because you don’t need that many numbers. Jeremy and Michele don’t have a choice. Once I tell them a name, t"&amp;"hey’re gonna go for it. So all I need is Nick. But I’m just watching the sun, as it’s starting to set. I want to hit them, like, maybe minutes before we have to go to Tribal.")</f>
        <v>S40 Tony (13/16): Everybody’s very calm and cool and quiet, and they’re tired of all the talking, the chattering. Like, “Guys, we’re solid. Let’s just stop talking.” If they want to stop or slow down, that’s better for me, because I’m not stopping or slowing down. I’m always thinking when they’re not. I have the Immunity Necklace, so I’m safe for tonight. I’ve been patient long enough. Now I have an opportunity to flip-flop. It’s time for me to blindside somebody. And Sophie is getting too close to my partner, Sarah. So, I’m thinking my target should be Sophie. Because my real alliance is splitting the votes, that creates a huge opportunity for me, because you don’t need that many numbers. Jeremy and Michele don’t have a choice. Once I tell them a name, they’re gonna go for it. So all I need is Nick. But I’m just watching the sun, as it’s starting to set. I want to hit them, like, maybe minutes before we have to go to Tribal.</v>
      </c>
      <c r="D37" s="4"/>
      <c r="E37" s="3"/>
      <c r="F37" s="4"/>
      <c r="G37" s="3"/>
      <c r="H37" s="4"/>
      <c r="I37" s="3"/>
      <c r="J37" s="4"/>
      <c r="K37" s="3"/>
      <c r="L37" s="4"/>
      <c r="M37" s="3" t="str">
        <f>IFERROR(__xludf.DUMMYFUNCTION("""COMPUTED_VALUE"""),"S35 Ben (5/6): My mission now is to stay on the inside of JP, Chrissy and Ryan, and infiltrate when we get back from Tribal.")</f>
        <v>S35 Ben (5/6): My mission now is to stay on the inside of JP, Chrissy and Ryan, and infiltrate when we get back from Tribal.</v>
      </c>
      <c r="N37" s="4"/>
      <c r="O37" s="3" t="str">
        <f>IFERROR(__xludf.DUMMYFUNCTION("""COMPUTED_VALUE"""),"S34 Sarah (4/4): So I’m gonna give Cirie the advantage of steal-a-vote to hold on to. This way, if this doesn’t scream loyal, I don’t know what does.")</f>
        <v>S34 Sarah (4/4): So I’m gonna give Cirie the advantage of steal-a-vote to hold on to. This way, if this doesn’t scream loyal, I don’t know what does.</v>
      </c>
      <c r="P37" s="4"/>
      <c r="Q37" s="3" t="str">
        <f>IFERROR(__xludf.DUMMYFUNCTION("""COMPUTED_VALUE"""),"S33 Adam (3/5): I'm playing for so much more than a million dollars and the title of Sole Survivor. The stakes for me are maybe higher than for anyone who's played this game.")</f>
        <v>S33 Adam (3/5): I'm playing for so much more than a million dollars and the title of Sole Survivor. The stakes for me are maybe higher than for anyone who's played this game.</v>
      </c>
      <c r="R37" s="4"/>
      <c r="S37" s="3" t="str">
        <f>IFERROR(__xludf.DUMMYFUNCTION("""COMPUTED_VALUE"""),"S32 Michele (3/12): Tai says that he bases all of his relationships in this life on the chemistry that he feels with people. Hey, I get that. You have stronger connections with some people than with others, but when you’re in a game like this, you have to"&amp;" play all your avenues. I think what it comes down to is that me and Tai are very different people and we have very different perceptions on this game.")</f>
        <v>S32 Michele (3/12): Tai says that he bases all of his relationships in this life on the chemistry that he feels with people. Hey, I get that. You have stronger connections with some people than with others, but when you’re in a game like this, you have to play all your avenues. I think what it comes down to is that me and Tai are very different people and we have very different perceptions on this game.</v>
      </c>
      <c r="T37" s="4"/>
      <c r="U37" s="3" t="str">
        <f>IFERROR(__xludf.DUMMYFUNCTION("""COMPUTED_VALUE"""),"S31 Jeremy: I gotta win, get that money and bring it home to Val and the kids.")</f>
        <v>S31 Jeremy: I gotta win, get that money and bring it home to Val and the kids.</v>
      </c>
      <c r="V37" s="4"/>
      <c r="W37" s="3" t="str">
        <f>IFERROR(__xludf.DUMMYFUNCTION("""COMPUTED_VALUE"""),"S30 Mike (3/5): Opening that Snickers and smelling that caramel-y, peanut-y nougat goodness really brought me back to my childhood. It's really strange out here when you are so deprived of the little amenities, how much a Snickers bar truly means to you.")</f>
        <v>S30 Mike (3/5): Opening that Snickers and smelling that caramel-y, peanut-y nougat goodness really brought me back to my childhood. It's really strange out here when you are so deprived of the little amenities, how much a Snickers bar truly means to you.</v>
      </c>
      <c r="X37" s="4"/>
      <c r="Y37" s="3" t="str">
        <f>IFERROR(__xludf.DUMMYFUNCTION("""COMPUTED_VALUE"""),"S29 Natalie (3/4): I volunteered to go to Exile but at this point in the game, when you're body is already so drained and it's so close to the end, you can almost taste it but you're not there yet. It's been, you know, really depressing being out here. It"&amp;"'s been really a roller coaster of emotions for me because, this is the longest I've gone without seeing or talking to my sister. I've lived with Nadiya for 28 years. We've never done anything alone and I never let anybody see how much I miss her. I never"&amp;" cry in front of anybody (sniffles) and I kinda always just pretend like I'm fine but (cries) Nadiya has been gone for like 30 Days now and, you know, I've been kinda doing this without her. But I'm just trying to make it into something where I can use it"&amp;" as motivation instead of just bringing me down. It's time to, you know, buck up and make every decision moving forward count. I have one shot to prove to myself that, you know, I left everything on the table and make this last 4 Days fully worth it.")</f>
        <v>S29 Natalie (3/4): I volunteered to go to Exile but at this point in the game, when you're body is already so drained and it's so close to the end, you can almost taste it but you're not there yet. It's been, you know, really depressing being out here. It's been really a roller coaster of emotions for me because, this is the longest I've gone without seeing or talking to my sister. I've lived with Nadiya for 28 years. We've never done anything alone and I never let anybody see how much I miss her. I never cry in front of anybody (sniffles) and I kinda always just pretend like I'm fine but (cries) Nadiya has been gone for like 30 Days now and, you know, I've been kinda doing this without her. But I'm just trying to make it into something where I can use it as motivation instead of just bringing me down. It's time to, you know, buck up and make every decision moving forward count. I have one shot to prove to myself that, you know, I left everything on the table and make this last 4 Days fully worth it.</v>
      </c>
      <c r="Z37" s="4"/>
      <c r="AA37" s="3" t="str">
        <f>IFERROR(__xludf.DUMMYFUNCTION("""COMPUTED_VALUE"""),"S28 Tony (4/6): You have two different alliances just looking for an idol at the same time. You know it’s bad when Morgan – the girl that you can’t tell if she’s a pillow or a person ‘cause she doesn’t do anything – you know it’s serious when she’s up on "&amp;"her ass and she’s looking for this idol.")</f>
        <v>S28 Tony (4/6): You have two different alliances just looking for an idol at the same time. You know it’s bad when Morgan – the girl that you can’t tell if she’s a pillow or a person ‘cause she doesn’t do anything – you know it’s serious when she’s up on her ass and she’s looking for this idol.</v>
      </c>
      <c r="AB37" s="4"/>
      <c r="AC37" s="3" t="str">
        <f>IFERROR(__xludf.DUMMYFUNCTION("""COMPUTED_VALUE"""),"S27 Tyson (1/3): I didn’t really like how Hayden threw me under the bus when he said, “I’m voting Tyson if Tyson makes it to the end, I’m gonna vote him.” It was nice to hear, but it does put a little bit of a target on my back. I wish I wouldn’t have pla"&amp;"yed the idol because then I would have it for next time, although I trust my alliance enough that that shouldn’t really be of much concern.")</f>
        <v>S27 Tyson (1/3): I didn’t really like how Hayden threw me under the bus when he said, “I’m voting Tyson if Tyson makes it to the end, I’m gonna vote him.” It was nice to hear, but it does put a little bit of a target on my back. I wish I wouldn’t have played the idol because then I would have it for next time, although I trust my alliance enough that that shouldn’t really be of much concern.</v>
      </c>
      <c r="AD37" s="4"/>
      <c r="AE37" s="3" t="str">
        <f>IFERROR(__xludf.DUMMYFUNCTION("""COMPUTED_VALUE"""),"S26 Cochran (4/5): Now that Dawn’s settled down, we were on the eve of another Tribal Council, Stealth R Us, being led by Phillip, decided it’d be good to kind of get our, you know, ducks in a row and say, “Okay, where-- who are we really voting off tonig"&amp;"ht?”")</f>
        <v>S26 Cochran (4/5): Now that Dawn’s settled down, we were on the eve of another Tribal Council, Stealth R Us, being led by Phillip, decided it’d be good to kind of get our, you know, ducks in a row and say, “Okay, where-- who are we really voting off tonight?”</v>
      </c>
      <c r="AF37" s="4"/>
      <c r="AG37" s="3" t="str">
        <f>IFERROR(__xludf.DUMMYFUNCTION("""COMPUTED_VALUE"""),"S25 Denise (3/5): I am so mad. Malcolm and I could have stayed together and split the vote, have it be a tie, but now that's not going to happen. So my head is clearly on the block tonight. The problem is Skupin is kind of the dreamer guy. His mind is goi"&amp;"ng a thousand different places and he may not always see the repercussion of what happens if you take the best of the best of the best to the end. So I have to figure out a way to convince him that it's worth it to take me with them. I'm one stubborn, det"&amp;"ermined woman. And if I can make it happen, I'm gonna make it happen.")</f>
        <v>S25 Denise (3/5): I am so mad. Malcolm and I could have stayed together and split the vote, have it be a tie, but now that's not going to happen. So my head is clearly on the block tonight. The problem is Skupin is kind of the dreamer guy. His mind is going a thousand different places and he may not always see the repercussion of what happens if you take the best of the best of the best to the end. So I have to figure out a way to convince him that it's worth it to take me with them. I'm one stubborn, determined woman. And if I can make it happen, I'm gonna make it happen.</v>
      </c>
      <c r="AH37" s="4"/>
      <c r="AI37" s="3" t="str">
        <f>IFERROR(__xludf.DUMMYFUNCTION("""COMPUTED_VALUE"""),"S24 Kim (5/7): Alicia came up to me and she said, ""I don't know how we got into this position but Kat has to go immediately."" And I was totally shocked.")</f>
        <v>S24 Kim (5/7): Alicia came up to me and she said, "I don't know how we got into this position but Kat has to go immediately." And I was totally shocked.</v>
      </c>
      <c r="AJ37" s="4"/>
      <c r="AK37" s="3"/>
      <c r="AL37" s="4"/>
      <c r="AM37" s="3" t="str">
        <f>IFERROR(__xludf.DUMMYFUNCTION("""COMPUTED_VALUE"""),"S22 Rob (2/3): So we show up at the reward, and we all know that there is going to be a clue to the Hidden Immunity Idol, because there is always a clue. So right away, I spot the clue underneath the lobster tails in the centerpiece of the table. At this "&amp;"point, there's not really any reason for me to do it, so I realized that if I can't get it without anybody else seeing that I got it, I'm gonna let one of them get it. So Grant sticks his hand under and he grabs the note.")</f>
        <v>S22 Rob (2/3): So we show up at the reward, and we all know that there is going to be a clue to the Hidden Immunity Idol, because there is always a clue. So right away, I spot the clue underneath the lobster tails in the centerpiece of the table. At this point, there's not really any reason for me to do it, so I realized that if I can't get it without anybody else seeing that I got it, I'm gonna let one of them get it. So Grant sticks his hand under and he grabs the note.</v>
      </c>
      <c r="AN37" s="4"/>
      <c r="AO37" s="3" t="str">
        <f>IFERROR(__xludf.DUMMYFUNCTION("""COMPUTED_VALUE"""),"S21 Fabio (10/14): I feel like Holly has played a pretty good game and she does deserve to go to the final three, but then again, she might deserve jury votes, too. So I've got a big decision to make on who I want to take and is it going to cost me a mill"&amp;"ion dollars or not? So my head's definitely spinning, you know, at this point.")</f>
        <v>S21 Fabio (10/14): I feel like Holly has played a pretty good game and she does deserve to go to the final three, but then again, she might deserve jury votes, too. So I've got a big decision to make on who I want to take and is it going to cost me a million dollars or not? So my head's definitely spinning, you know, at this point.</v>
      </c>
      <c r="AP37" s="4"/>
      <c r="AQ37" s="3"/>
      <c r="AR37" s="4"/>
      <c r="AS37" s="3"/>
      <c r="AT37" s="4"/>
      <c r="AU37" s="3"/>
      <c r="AV37" s="4"/>
      <c r="AW37" s="3"/>
      <c r="AX37" s="4"/>
      <c r="AY37" s="3"/>
      <c r="AZ37" s="4"/>
      <c r="BA37" s="3"/>
      <c r="BB37" s="4"/>
      <c r="BC37" s="3"/>
      <c r="BD37" s="4"/>
      <c r="BE37" s="3"/>
      <c r="BF37" s="4"/>
      <c r="BG37" s="3"/>
      <c r="BH37" s="4"/>
      <c r="BI37" s="3"/>
      <c r="BJ37" s="4"/>
      <c r="BK37" s="3" t="str">
        <f>IFERROR(__xludf.DUMMYFUNCTION("""COMPUTED_VALUE"""),"S10 Tom (7/7): Well, that was Caryn just letting me know that the girls are talking about eliminating some of the guys and, uh, that my name popped up. I’m still just a little wary of why Caryn’s giving me the information. You know, she’d be better off ho"&amp;"lding on to that information and just surprising me. Uh, it’s an interesting day here. I’ve got to get off, uh, with Ian, do a little, uh, planning there, too.")</f>
        <v>S10 Tom (7/7): Well, that was Caryn just letting me know that the girls are talking about eliminating some of the guys and, uh, that my name popped up. I’m still just a little wary of why Caryn’s giving me the information. You know, she’d be better off holding on to that information and just surprising me. Uh, it’s an interesting day here. I’ve got to get off, uh, with Ian, do a little, uh, planning there, too.</v>
      </c>
      <c r="BL37" s="4"/>
      <c r="BM37" s="3" t="str">
        <f>IFERROR(__xludf.DUMMYFUNCTION("""COMPUTED_VALUE"""),"S09 Chris (5/9): I am definitely realistic enough to keep tabs on Eliza and comfort myself by talking to her and hear her reassure me that she knows what's best for her. I'm counting on the fact that Eliza is mentally strong.")</f>
        <v>S09 Chris (5/9): I am definitely realistic enough to keep tabs on Eliza and comfort myself by talking to her and hear her reassure me that she knows what's best for her. I'm counting on the fact that Eliza is mentally strong.</v>
      </c>
      <c r="BN37" s="4"/>
      <c r="BO37" s="3" t="str">
        <f>IFERROR(__xludf.DUMMYFUNCTION("""COMPUTED_VALUE"""),"S08 Amber (6/7): There's no decision that could be made right now that I would feel 100% sure about. I hate being put in this position. It's a million dollar decision.")</f>
        <v>S08 Amber (6/7): There's no decision that could be made right now that I would feel 100% sure about. I hate being put in this position. It's a million dollar decision.</v>
      </c>
      <c r="BP37" s="4"/>
      <c r="BQ37" s="3" t="str">
        <f>IFERROR(__xludf.DUMMYFUNCTION("""COMPUTED_VALUE"""),"S07 Sandra (1/5): Me and Christa, we've been tight since, like, day number two or three. But without Darrah right now, I can't move another step. I can't take another step without knowing where Darrah stands right now. She voted for Burton last night. She"&amp;" shouldn't have a problem voting for him either tomorrow or the next day.")</f>
        <v>S07 Sandra (1/5): Me and Christa, we've been tight since, like, day number two or three. But without Darrah right now, I can't move another step. I can't take another step without knowing where Darrah stands right now. She voted for Burton last night. She shouldn't have a problem voting for him either tomorrow or the next day.</v>
      </c>
      <c r="BR37" s="4"/>
      <c r="BS37" s="3"/>
      <c r="BT37" s="4"/>
      <c r="BU37" s="3"/>
      <c r="BV37" s="4"/>
      <c r="BW37" s="3"/>
      <c r="BX37" s="4"/>
      <c r="BY37" s="3"/>
      <c r="BZ37" s="4"/>
      <c r="CA37" s="3"/>
      <c r="CB37" s="4"/>
      <c r="CC37" s="3"/>
      <c r="CD37" s="4"/>
    </row>
    <row r="38">
      <c r="A38" s="3"/>
      <c r="B38" s="4"/>
      <c r="C38" s="3" t="str">
        <f>IFERROR(__xludf.DUMMYFUNCTION("""COMPUTED_VALUE"""),"S40 Tony (14/16): Me, Jeremy, Nick, Michele. ‘Cause that four is stronger than their three and their two. So, I’m gonna be golden if I can pull this off.")</f>
        <v>S40 Tony (14/16): Me, Jeremy, Nick, Michele. ‘Cause that four is stronger than their three and their two. So, I’m gonna be golden if I can pull this off.</v>
      </c>
      <c r="D38" s="4"/>
      <c r="E38" s="3"/>
      <c r="F38" s="4"/>
      <c r="G38" s="3"/>
      <c r="H38" s="4"/>
      <c r="I38" s="3"/>
      <c r="J38" s="4"/>
      <c r="K38" s="3"/>
      <c r="L38" s="4"/>
      <c r="M38" s="3" t="str">
        <f>IFERROR(__xludf.DUMMYFUNCTION("""COMPUTED_VALUE"""),"S35 Ben (6/6): Tribal Council is going to be fun to watch, ‘cause we’re going to pull the rug out from underneath them. So I got to get my acting shoes on… (chuckles) and they need to get Mike and Joe.")</f>
        <v>S35 Ben (6/6): Tribal Council is going to be fun to watch, ‘cause we’re going to pull the rug out from underneath them. So I got to get my acting shoes on… (chuckles) and they need to get Mike and Joe.</v>
      </c>
      <c r="N38" s="4"/>
      <c r="O38" s="3" t="str">
        <f>IFERROR(__xludf.DUMMYFUNCTION("""COMPUTED_VALUE"""),"S34 Sarah: I deserve to be a Game Changer. I didn’t leave my son for 39 days to not win one million dollars.")</f>
        <v>S34 Sarah: I deserve to be a Game Changer. I didn’t leave my son for 39 days to not win one million dollars.</v>
      </c>
      <c r="P38" s="4"/>
      <c r="Q38" s="3" t="str">
        <f>IFERROR(__xludf.DUMMYFUNCTION("""COMPUTED_VALUE"""),"S33 Adam (4/5): The Immunity Challenge was awesome! I'm making my Survivor dreams come true. I only have one checkbox left, and that's winning this game. And, you know what? It might actually happen because I'm safe at Tribal Council tonight, I have a Hid"&amp;"den Immunity Idol in my pocket, and Will wants to make a move, and blindside Zeke.")</f>
        <v>S33 Adam (4/5): The Immunity Challenge was awesome! I'm making my Survivor dreams come true. I only have one checkbox left, and that's winning this game. And, you know what? It might actually happen because I'm safe at Tribal Council tonight, I have a Hidden Immunity Idol in my pocket, and Will wants to make a move, and blindside Zeke.</v>
      </c>
      <c r="R38" s="4"/>
      <c r="S38" s="3" t="str">
        <f>IFERROR(__xludf.DUMMYFUNCTION("""COMPUTED_VALUE"""),"S32 Michele (4/12): The spa menu of the day was a Tai massage. It’s a Tai massage because it’s Thai in method and Tai is the masseuse.")</f>
        <v>S32 Michele (4/12): The spa menu of the day was a Tai massage. It’s a Tai massage because it’s Thai in method and Tai is the masseuse.</v>
      </c>
      <c r="T38" s="4"/>
      <c r="U38" s="3" t="str">
        <f>IFERROR(__xludf.DUMMYFUNCTION("""COMPUTED_VALUE"""),"S31 Jeremy (1/9): We’re still worried about an idol out there, so let’s just split the vote to take out Kelley or Keith. We’re all safe and we’re still going in tomorrow with numbers.")</f>
        <v>S31 Jeremy (1/9): We’re still worried about an idol out there, so let’s just split the vote to take out Kelley or Keith. We’re all safe and we’re still going in tomorrow with numbers.</v>
      </c>
      <c r="V38" s="4"/>
      <c r="W38" s="3" t="str">
        <f>IFERROR(__xludf.DUMMYFUNCTION("""COMPUTED_VALUE"""),"S30 Mike (4/5): The scary thing about splitting the vote is literally one person could make the difference in who you want to go home and the goat going home. So I want Shirin to vote Joe tonight in order to get Joe out of this game.")</f>
        <v>S30 Mike (4/5): The scary thing about splitting the vote is literally one person could make the difference in who you want to go home and the goat going home. So I want Shirin to vote Joe tonight in order to get Joe out of this game.</v>
      </c>
      <c r="X38" s="4"/>
      <c r="Y38" s="3" t="str">
        <f>IFERROR(__xludf.DUMMYFUNCTION("""COMPUTED_VALUE"""),"S29 Natalie (4/4): Jon and Jaclyn think we're all voting off Keith and Keith is going home. But my plan is to basically get out Jon. But Jon has an idol so, I know it's not going to be easy. My ultimate plan is to split the votes and blindside Jon tonight"&amp;".")</f>
        <v>S29 Natalie (4/4): Jon and Jaclyn think we're all voting off Keith and Keith is going home. But my plan is to basically get out Jon. But Jon has an idol so, I know it's not going to be easy. My ultimate plan is to split the votes and blindside Jon tonight.</v>
      </c>
      <c r="Z38" s="4"/>
      <c r="AA38" s="3" t="str">
        <f>IFERROR(__xludf.DUMMYFUNCTION("""COMPUTED_VALUE"""),"S28 Tony (5/6): Spencer was very desperate to win and he won. He pulled it off. That’s the will that you need out here, y’know, to survive.")</f>
        <v>S28 Tony (5/6): Spencer was very desperate to win and he won. He pulled it off. That’s the will that you need out here, y’know, to survive.</v>
      </c>
      <c r="AB38" s="4"/>
      <c r="AC38" s="3" t="str">
        <f>IFERROR(__xludf.DUMMYFUNCTION("""COMPUTED_VALUE"""),"S27 Tyson (2/3): I used the idol at the last Tribal Council and a new one came back into play and I have to find it, otherwise, I don't know who's gonna have it. So, the safest thing for me to do is to find the idol. I’m threat number one and everyone kno"&amp;"ws that. And I know that. I’m just trying to play the game and trying to get to the end and I told myself when Rachel left that if I was going to stay, I had to get to the end. So... (begins to cry) then, it’s the only way that it would be worth it for me"&amp;" to stay here and not go in when I could have saved her. So I’ve just been fighting and clawing and I’m so close. And I still feel like it’s getting pulled out from under me. And I hate that feeling because I've worked too hard to get here. Boom!")</f>
        <v>S27 Tyson (2/3): I used the idol at the last Tribal Council and a new one came back into play and I have to find it, otherwise, I don't know who's gonna have it. So, the safest thing for me to do is to find the idol. I’m threat number one and everyone knows that. And I know that. I’m just trying to play the game and trying to get to the end and I told myself when Rachel left that if I was going to stay, I had to get to the end. So... (begins to cry) then, it’s the only way that it would be worth it for me to stay here and not go in when I could have saved her. So I’ve just been fighting and clawing and I’m so close. And I still feel like it’s getting pulled out from under me. And I hate that feeling because I've worked too hard to get here. Boom!</v>
      </c>
      <c r="AD38" s="4"/>
      <c r="AE38" s="3" t="str">
        <f>IFERROR(__xludf.DUMMYFUNCTION("""COMPUTED_VALUE"""),"S26 Cochran (5/5): We have seven people against their three. We’re going to split the vote because we can throw four votes to Reynold, and just in case he does play an idol or something goofy happens, we’ll throw the other three votes to Malcolm and flush"&amp;" out any possible idols. I don’t mean to get too confident but my alliance has the numbers and I couldn’t be happier.")</f>
        <v>S26 Cochran (5/5): We have seven people against their three. We’re going to split the vote because we can throw four votes to Reynold, and just in case he does play an idol or something goofy happens, we’ll throw the other three votes to Malcolm and flush out any possible idols. I don’t mean to get too confident but my alliance has the numbers and I couldn’t be happier.</v>
      </c>
      <c r="AF38" s="4"/>
      <c r="AG38" s="3" t="str">
        <f>IFERROR(__xludf.DUMMYFUNCTION("""COMPUTED_VALUE"""),"S25 Denise (4/5): I feel badly that Malcolm was really upset, but at the same time, this is that part of the game when I can say, “You know, Malcolm, you were a great ally. Um, you played a great game, but this is the part where I outwit you. This is the "&amp;"part where I went one step past you and you can be angry, but that's the game.”")</f>
        <v>S25 Denise (4/5): I feel badly that Malcolm was really upset, but at the same time, this is that part of the game when I can say, “You know, Malcolm, you were a great ally. Um, you played a great game, but this is the part where I outwit you. This is the part where I went one step past you and you can be angry, but that's the game.”</v>
      </c>
      <c r="AH38" s="4"/>
      <c r="AI38" s="3" t="str">
        <f>IFERROR(__xludf.DUMMYFUNCTION("""COMPUTED_VALUE"""),"S24 Kim (6/7): I do think Kat has a good shot at getting a lot of jury votes just because she hasn't pissed a lot of people off. But I think Sabrina's a bigger threat. She's smart enough to sway the jury and totally screw me over in the end. I would rathe"&amp;"r see Sabrina go first before we take Kat out. So Kat's going to vote Sabrina, and I think Tarzan would be willing to get rid of Sabrina. So it kind of feels like Chelsea and I are the swing votes.")</f>
        <v>S24 Kim (6/7): I do think Kat has a good shot at getting a lot of jury votes just because she hasn't pissed a lot of people off. But I think Sabrina's a bigger threat. She's smart enough to sway the jury and totally screw me over in the end. I would rather see Sabrina go first before we take Kat out. So Kat's going to vote Sabrina, and I think Tarzan would be willing to get rid of Sabrina. So it kind of feels like Chelsea and I are the swing votes.</v>
      </c>
      <c r="AJ38" s="4"/>
      <c r="AK38" s="3"/>
      <c r="AL38" s="4"/>
      <c r="AM38" s="3" t="str">
        <f>IFERROR(__xludf.DUMMYFUNCTION("""COMPUTED_VALUE"""),"S22 Rob (3/3): So as Grant is showing me the note, Phillip ends up walking up the stairs and sees the note, too. It was a little bit like-like, Grant and I were back in school and we got busted by the principal.")</f>
        <v>S22 Rob (3/3): So as Grant is showing me the note, Phillip ends up walking up the stairs and sees the note, too. It was a little bit like-like, Grant and I were back in school and we got busted by the principal.</v>
      </c>
      <c r="AN38" s="4"/>
      <c r="AO38" s="3" t="str">
        <f>IFERROR(__xludf.DUMMYFUNCTION("""COMPUTED_VALUE"""),"S21 Fabio (11/14): On a scale of one to ten, I am about a ten right now. It took me 38 days to finally get into a powerful position but now I'm finally here. Tonight, I brought the heat a little bit, kind of set the stage, because putting Sash against Cha"&amp;"se lets the jury know that I really am aware of what's going on. I still feel like I have a bit more to say tomorrow night and, uh, I think the jury is going to be receptive to it.")</f>
        <v>S21 Fabio (11/14): On a scale of one to ten, I am about a ten right now. It took me 38 days to finally get into a powerful position but now I'm finally here. Tonight, I brought the heat a little bit, kind of set the stage, because putting Sash against Chase lets the jury know that I really am aware of what's going on. I still feel like I have a bit more to say tomorrow night and, uh, I think the jury is going to be receptive to it.</v>
      </c>
      <c r="AP38" s="4"/>
      <c r="AQ38" s="3"/>
      <c r="AR38" s="4"/>
      <c r="AS38" s="3"/>
      <c r="AT38" s="4"/>
      <c r="AU38" s="3"/>
      <c r="AV38" s="4"/>
      <c r="AW38" s="3"/>
      <c r="AX38" s="4"/>
      <c r="AY38" s="3"/>
      <c r="AZ38" s="4"/>
      <c r="BA38" s="3"/>
      <c r="BB38" s="4"/>
      <c r="BC38" s="3"/>
      <c r="BD38" s="4"/>
      <c r="BE38" s="3"/>
      <c r="BF38" s="4"/>
      <c r="BG38" s="3"/>
      <c r="BH38" s="4"/>
      <c r="BI38" s="3"/>
      <c r="BJ38" s="4"/>
      <c r="BK38" s="3" t="str">
        <f>IFERROR(__xludf.DUMMYFUNCTION("""COMPUTED_VALUE"""),"S10 Tom (1/7): Stephenie was the one voted off. I thought that it could have been me last night. I wouldn’t blame them. If I was playing against me, I’d want me out of here, too, but they didn’t do it; it was a relief. They’re holding true to the five, an"&amp;"d I would like to believe that it will continue to do that.")</f>
        <v>S10 Tom (1/7): Stephenie was the one voted off. I thought that it could have been me last night. I wouldn’t blame them. If I was playing against me, I’d want me out of here, too, but they didn’t do it; it was a relief. They’re holding true to the five, and I would like to believe that it will continue to do that.</v>
      </c>
      <c r="BL38" s="4"/>
      <c r="BM38" s="3" t="str">
        <f>IFERROR(__xludf.DUMMYFUNCTION("""COMPUTED_VALUE"""),"S09 Chris (6/9): They're a bunch of alley cats going at it, and strategically, this is the best thing for me. I don't even think they're looking at me. I mean, I'm just sitting back and watching 'em shoot each other. But Ami needs to go home. She's defini"&amp;"tely a threat. I mean, we knocked her off of her horse, thank God. But who's to say she ain't to get up, dust herself off, climb back on and pull something off?")</f>
        <v>S09 Chris (6/9): They're a bunch of alley cats going at it, and strategically, this is the best thing for me. I don't even think they're looking at me. I mean, I'm just sitting back and watching 'em shoot each other. But Ami needs to go home. She's definitely a threat. I mean, we knocked her off of her horse, thank God. But who's to say she ain't to get up, dust herself off, climb back on and pull something off?</v>
      </c>
      <c r="BN38" s="4"/>
      <c r="BO38" s="3" t="str">
        <f>IFERROR(__xludf.DUMMYFUNCTION("""COMPUTED_VALUE"""),"S08 Amber (7/7): Tonight, Tribal Council is going to be the ugliest Tribal Council we've had yet.")</f>
        <v>S08 Amber (7/7): Tonight, Tribal Council is going to be the ugliest Tribal Council we've had yet.</v>
      </c>
      <c r="BP38" s="4"/>
      <c r="BQ38" s="3" t="str">
        <f>IFERROR(__xludf.DUMMYFUNCTION("""COMPUTED_VALUE"""),"S07 Sandra (2/5): Burton has never been one to talk to me and Christa clearly about anything. But let it be known that if it wasn't for me and Christa, Burton would not be here today. You would think that that would count for something. And then here he i"&amp;"s saying that he-he can't promise us third and fourth. That's a bunch of baloney. The first chance l get to send him home, he's going home.")</f>
        <v>S07 Sandra (2/5): Burton has never been one to talk to me and Christa clearly about anything. But let it be known that if it wasn't for me and Christa, Burton would not be here today. You would think that that would count for something. And then here he is saying that he-he can't promise us third and fourth. That's a bunch of baloney. The first chance l get to send him home, he's going home.</v>
      </c>
      <c r="BR38" s="4"/>
      <c r="BS38" s="3"/>
      <c r="BT38" s="4"/>
      <c r="BU38" s="3"/>
      <c r="BV38" s="4"/>
      <c r="BW38" s="3"/>
      <c r="BX38" s="4"/>
      <c r="BY38" s="3"/>
      <c r="BZ38" s="4"/>
      <c r="CA38" s="3"/>
      <c r="CB38" s="4"/>
      <c r="CC38" s="3"/>
      <c r="CD38" s="4"/>
    </row>
    <row r="39">
      <c r="A39" s="3"/>
      <c r="B39" s="4"/>
      <c r="C39" s="3" t="str">
        <f>IFERROR(__xludf.DUMMYFUNCTION("""COMPUTED_VALUE"""),"S40 Tony (15/16): Oh, man. Jeremy doesn’t believe me.")</f>
        <v>S40 Tony (15/16): Oh, man. Jeremy doesn’t believe me.</v>
      </c>
      <c r="D39" s="4"/>
      <c r="E39" s="3"/>
      <c r="F39" s="4"/>
      <c r="G39" s="3"/>
      <c r="H39" s="4"/>
      <c r="I39" s="3"/>
      <c r="J39" s="4"/>
      <c r="K39" s="3"/>
      <c r="L39" s="4"/>
      <c r="M39" s="3" t="str">
        <f>IFERROR(__xludf.DUMMYFUNCTION("""COMPUTED_VALUE"""),"S35 Ben (1/5): Mike and Joe are pretty much in the dark of me working with Ashley, Devon and Lauren, but Joe is walking around like it was his damn idea, you know, to blindside JP. He did what a good little puppet would do. You know, you pull the strings,"&amp;" you make sure you write JP, and he did. I should get an award for, uh, the performance I put out after I got back to camp. I’m doing my best double agent, whatever you want to call it. I’m playing the role of being on the outs with Chrissy and Ryan to ga"&amp;"ther intel when I know that I have my alliance of four in Lauren, Devon, Ashley and myself.")</f>
        <v>S35 Ben (1/5): Mike and Joe are pretty much in the dark of me working with Ashley, Devon and Lauren, but Joe is walking around like it was his damn idea, you know, to blindside JP. He did what a good little puppet would do. You know, you pull the strings, you make sure you write JP, and he did. I should get an award for, uh, the performance I put out after I got back to camp. I’m doing my best double agent, whatever you want to call it. I’m playing the role of being on the outs with Chrissy and Ryan to gather intel when I know that I have my alliance of four in Lauren, Devon, Ashley and myself.</v>
      </c>
      <c r="N39" s="4"/>
      <c r="O39" s="3" t="str">
        <f>IFERROR(__xludf.DUMMYFUNCTION("""COMPUTED_VALUE"""),"S34 Sarah (1/9): I felt betrayed by Cirie at Tribal Council playing my steal-a-vote. So I targeted Michaela because Michaela is Cirie’s right-hand man. But now, I don’t know who I can trust. Fortunately, I still have the Legacy Advantage, which can be pla"&amp;"yed at six. So I know I’m safe.")</f>
        <v>S34 Sarah (1/9): I felt betrayed by Cirie at Tribal Council playing my steal-a-vote. So I targeted Michaela because Michaela is Cirie’s right-hand man. But now, I don’t know who I can trust. Fortunately, I still have the Legacy Advantage, which can be played at six. So I know I’m safe.</v>
      </c>
      <c r="P39" s="4"/>
      <c r="Q39" s="3" t="str">
        <f>IFERROR(__xludf.DUMMYFUNCTION("""COMPUTED_VALUE"""),"S33 Adam (5/5): We have this plan, and Ken (air quotes) ""tests Will,"" revealing Will's plan. That's not a test! That's a betrayal!")</f>
        <v>S33 Adam (5/5): We have this plan, and Ken (air quotes) "tests Will," revealing Will's plan. That's not a test! That's a betrayal!</v>
      </c>
      <c r="R39" s="4"/>
      <c r="S39" s="3" t="str">
        <f>IFERROR(__xludf.DUMMYFUNCTION("""COMPUTED_VALUE"""),"S32 Michele (5/12): We are kind of having a poor man’s spa while they’re having their real man’s spa.")</f>
        <v>S32 Michele (5/12): We are kind of having a poor man’s spa while they’re having their real man’s spa.</v>
      </c>
      <c r="T39" s="4"/>
      <c r="U39" s="3" t="str">
        <f>IFERROR(__xludf.DUMMYFUNCTION("""COMPUTED_VALUE"""),"S31 Jeremy (2/9): My voting bloc is skeptical of Kimmi. I don’t think Kimmi is trying to do anything.")</f>
        <v>S31 Jeremy (2/9): My voting bloc is skeptical of Kimmi. I don’t think Kimmi is trying to do anything.</v>
      </c>
      <c r="V39" s="4"/>
      <c r="W39" s="3" t="str">
        <f>IFERROR(__xludf.DUMMYFUNCTION("""COMPUTED_VALUE"""),"S30 Mike (5/5): I have the Hidden Immunity Idol to his clue that he got. But if he has a different Hidden Immunity Idol, you give it to me tonight... and you know what? Legitimately, I would switch my vote... maybe!")</f>
        <v>S30 Mike (5/5): I have the Hidden Immunity Idol to his clue that he got. But if he has a different Hidden Immunity Idol, you give it to me tonight... and you know what? Legitimately, I would switch my vote... maybe!</v>
      </c>
      <c r="X39" s="4"/>
      <c r="Y39" s="3" t="str">
        <f>IFERROR(__xludf.DUMMYFUNCTION("""COMPUTED_VALUE"""),"S29 Natalie: When Nadiya got out it lit a fire under me that I was like, “I'm gonna get it, I'm gonna get it,” for Nadiya, for myself. Just to prove to everybody else that I'm the best one out here.")</f>
        <v>S29 Natalie: When Nadiya got out it lit a fire under me that I was like, “I'm gonna get it, I'm gonna get it,” for Nadiya, for myself. Just to prove to everybody else that I'm the best one out here.</v>
      </c>
      <c r="Z39" s="4"/>
      <c r="AA39" s="3" t="str">
        <f>IFERROR(__xludf.DUMMYFUNCTION("""COMPUTED_VALUE"""),"S28 Tony (6/6): Tasha’s definitely a physical threat and a social threat. But Morgan does not deserve to be here. People that work hard, that bust their ass around camp, deserve to be here. People like Morgan, that don’t do anything – they don’t deserve t"&amp;"o be here. As far as numbers, my alliance is in the power position right now. It’s six of us against four of them. But it’s not as easy as it sounds. The problem with tonight’s Tribal Council is going to be that if Spencer found that idol, it’s going to b"&amp;"e very tricky on who we vote for. If they have an idol and we vote for the person that used the idol, one of us six is going home. If they don’t have an idol and Kass flips back with them, there’ll be a tie: 5-5. We draw rocks. One of us goes home. So I’m"&amp;" hoping she stays with us because if she doesn’t, it’s gonna cause some trouble.")</f>
        <v>S28 Tony (6/6): Tasha’s definitely a physical threat and a social threat. But Morgan does not deserve to be here. People that work hard, that bust their ass around camp, deserve to be here. People like Morgan, that don’t do anything – they don’t deserve to be here. As far as numbers, my alliance is in the power position right now. It’s six of us against four of them. But it’s not as easy as it sounds. The problem with tonight’s Tribal Council is going to be that if Spencer found that idol, it’s going to be very tricky on who we vote for. If they have an idol and we vote for the person that used the idol, one of us six is going home. If they don’t have an idol and Kass flips back with them, there’ll be a tie: 5-5. We draw rocks. One of us goes home. So I’m hoping she stays with us because if she doesn’t, it’s gonna cause some trouble.</v>
      </c>
      <c r="AB39" s="4"/>
      <c r="AC39" s="3" t="str">
        <f>IFERROR(__xludf.DUMMYFUNCTION("""COMPUTED_VALUE"""),"S27 Tyson (3/3): I don't have pockets on any of my clothes so I gotta put it right on my crotch where nobody will suspect a bulge. (sighs) Now the trick is, do I share it with everybody or I keep it to myself again? I think I'll keep it to myself. Okay, t"&amp;"hat's it, I can rest easy. I have the Hidden Immunity Idol. It’s up to me to just stay focused and don’t let Hayden win the challenge. That’s the number one thing. Hayden can’t win. That was the diciest moment of the game for me so far, was having that id"&amp;"ol on the lose so... (sighs) Oh, now I can probably take a nap today. I was not going to be able to take a nap unless I found that thing. Hey, did it again. Nap time!")</f>
        <v>S27 Tyson (3/3): I don't have pockets on any of my clothes so I gotta put it right on my crotch where nobody will suspect a bulge. (sighs) Now the trick is, do I share it with everybody or I keep it to myself again? I think I'll keep it to myself. Okay, that's it, I can rest easy. I have the Hidden Immunity Idol. It’s up to me to just stay focused and don’t let Hayden win the challenge. That’s the number one thing. Hayden can’t win. That was the diciest moment of the game for me so far, was having that idol on the lose so... (sighs) Oh, now I can probably take a nap today. I was not going to be able to take a nap unless I found that thing. Hey, did it again. Nap time!</v>
      </c>
      <c r="AD39" s="4"/>
      <c r="AE39" s="3" t="str">
        <f>IFERROR(__xludf.DUMMYFUNCTION("""COMPUTED_VALUE"""),"S26 Cochran (1/4): I've participated in, and certainly viewed hundreds of Tribal Councils. Never before have I seen anything quite like what happened last night at Tribal Council. It left me breathless, it left me terrified. Today has been a pretty rough "&amp;"day around camp. People are really hungry and, um, spirits have been low and it was driving everybody crazy.")</f>
        <v>S26 Cochran (1/4): I've participated in, and certainly viewed hundreds of Tribal Councils. Never before have I seen anything quite like what happened last night at Tribal Council. It left me breathless, it left me terrified. Today has been a pretty rough day around camp. People are really hungry and, um, spirits have been low and it was driving everybody crazy.</v>
      </c>
      <c r="AF39" s="4"/>
      <c r="AG39" s="3" t="str">
        <f>IFERROR(__xludf.DUMMYFUNCTION("""COMPUTED_VALUE"""),"S25 Denise (5/5): It was great to hike up to the cliff this morning, you know, to have the three of us, and just to sit up here and have a different perspective. Here I am, this little old sex therapist from Cedar Rapids, Iowa, that everybody thinks is pr"&amp;"obably going to ride on coattails, who actually has played some strategy. And I feel like I'm thriving out here.")</f>
        <v>S25 Denise (5/5): It was great to hike up to the cliff this morning, you know, to have the three of us, and just to sit up here and have a different perspective. Here I am, this little old sex therapist from Cedar Rapids, Iowa, that everybody thinks is probably going to ride on coattails, who actually has played some strategy. And I feel like I'm thriving out here.</v>
      </c>
      <c r="AH39" s="4"/>
      <c r="AI39" s="3" t="str">
        <f>IFERROR(__xludf.DUMMYFUNCTION("""COMPUTED_VALUE"""),"S24 Kim (7/7): I still have some choices for sure tonight, but Chelsea and I have had an alliance with Sabrina since Day 1, and Kat, I think she looks at me like a big sister so this is not a fun vote tonight. To me this is a game-changing decision. I'm a"&amp;"bout to make a choice and it's going to be a blindside either way, but this is a game and there's no way to keep everybody happy at this point in the game. It's just gonna go to hell from here on out.")</f>
        <v>S24 Kim (7/7): I still have some choices for sure tonight, but Chelsea and I have had an alliance with Sabrina since Day 1, and Kat, I think she looks at me like a big sister so this is not a fun vote tonight. To me this is a game-changing decision. I'm about to make a choice and it's going to be a blindside either way, but this is a game and there's no way to keep everybody happy at this point in the game. It's just gonna go to hell from here on out.</v>
      </c>
      <c r="AJ39" s="4"/>
      <c r="AK39" s="3"/>
      <c r="AL39" s="4"/>
      <c r="AM39" s="3" t="str">
        <f>IFERROR(__xludf.DUMMYFUNCTION("""COMPUTED_VALUE"""),"S22 Rob (1/8): Phillip wanted to go to the duel. He's not allowed to go without a chaperon so I gotta babysit his ass for the day. Phillip has a big mouth. He likes to talk and he can't be trusted. He's dangerous because of his stupidity. He's probably th"&amp;"e most unaware person I've ever met in my entire life.")</f>
        <v>S22 Rob (1/8): Phillip wanted to go to the duel. He's not allowed to go without a chaperon so I gotta babysit his ass for the day. Phillip has a big mouth. He likes to talk and he can't be trusted. He's dangerous because of his stupidity. He's probably the most unaware person I've ever met in my entire life.</v>
      </c>
      <c r="AN39" s="4"/>
      <c r="AO39" s="3" t="str">
        <f>IFERROR(__xludf.DUMMYFUNCTION("""COMPUTED_VALUE"""),"S21 Fabio (12/14): Sash goes, ""I'd be honored for you guys to be my wingmen."" I was like, ""Sash, dude, you can take a backseat. I want you to take notes on how this is going to go ‘cause it's gonna be fun.”")</f>
        <v>S21 Fabio (12/14): Sash goes, "I'd be honored for you guys to be my wingmen." I was like, "Sash, dude, you can take a backseat. I want you to take notes on how this is going to go ‘cause it's gonna be fun.”</v>
      </c>
      <c r="AP39" s="4"/>
      <c r="AQ39" s="3"/>
      <c r="AR39" s="4"/>
      <c r="AS39" s="3"/>
      <c r="AT39" s="4"/>
      <c r="AU39" s="3"/>
      <c r="AV39" s="4"/>
      <c r="AW39" s="3"/>
      <c r="AX39" s="4"/>
      <c r="AY39" s="3"/>
      <c r="AZ39" s="4"/>
      <c r="BA39" s="3"/>
      <c r="BB39" s="4"/>
      <c r="BC39" s="3"/>
      <c r="BD39" s="4"/>
      <c r="BE39" s="3"/>
      <c r="BF39" s="4"/>
      <c r="BG39" s="3"/>
      <c r="BH39" s="4"/>
      <c r="BI39" s="3"/>
      <c r="BJ39" s="4"/>
      <c r="BK39" s="3" t="str">
        <f>IFERROR(__xludf.DUMMYFUNCTION("""COMPUTED_VALUE"""),"S10 Tom (2/7): Caryn and I spoke on the way to Tree Mail. She’s more nervous than a long-tailed cat in a roomful of rocking chairs, at this point. She knows that she’s outside of an alliance of five, so she feels she’s next.")</f>
        <v>S10 Tom (2/7): Caryn and I spoke on the way to Tree Mail. She’s more nervous than a long-tailed cat in a roomful of rocking chairs, at this point. She knows that she’s outside of an alliance of five, so she feels she’s next.</v>
      </c>
      <c r="BL39" s="4"/>
      <c r="BM39" s="3" t="str">
        <f>IFERROR(__xludf.DUMMYFUNCTION("""COMPUTED_VALUE"""),"S09 Chris (7/9): I have not been capable of overcoming the physical challenges against these women, so I want immunity. I'm still the only guy here. I'm the only man standing. Immunity is all that's gonna make me safe.")</f>
        <v>S09 Chris (7/9): I have not been capable of overcoming the physical challenges against these women, so I want immunity. I'm still the only guy here. I'm the only man standing. Immunity is all that's gonna make me safe.</v>
      </c>
      <c r="BN39" s="4"/>
      <c r="BO39" s="3" t="str">
        <f>IFERROR(__xludf.DUMMYFUNCTION("""COMPUTED_VALUE"""),"S08 Amber (1/11): Little did we know that we were gonna be woken up today by Jeff pulling up in a boat carrying a huge basket. I got a little nervous at first. I was thinking, “Maybe, oh, gosh, this is our challenge. What-what are we gonna have to do?”")</f>
        <v>S08 Amber (1/11): Little did we know that we were gonna be woken up today by Jeff pulling up in a boat carrying a huge basket. I got a little nervous at first. I was thinking, “Maybe, oh, gosh, this is our challenge. What-what are we gonna have to do?”</v>
      </c>
      <c r="BP39" s="4"/>
      <c r="BQ39" s="3" t="str">
        <f>IFERROR(__xludf.DUMMYFUNCTION("""COMPUTED_VALUE"""),"S07 Sandra (3/5): When Jon, Lill and Darrah returned from the reward, I was happy to see them, because l was glad the reward was over for them. I'm still jealous. But l wanted to hear everything. I want to hear everything from the beginning to the end.")</f>
        <v>S07 Sandra (3/5): When Jon, Lill and Darrah returned from the reward, I was happy to see them, because l was glad the reward was over for them. I'm still jealous. But l wanted to hear everything. I want to hear everything from the beginning to the end.</v>
      </c>
      <c r="BR39" s="4"/>
      <c r="BS39" s="3"/>
      <c r="BT39" s="4"/>
      <c r="BU39" s="3"/>
      <c r="BV39" s="4"/>
      <c r="BW39" s="3"/>
      <c r="BX39" s="4"/>
      <c r="BY39" s="3"/>
      <c r="BZ39" s="4"/>
      <c r="CA39" s="3"/>
      <c r="CB39" s="4"/>
      <c r="CC39" s="3"/>
      <c r="CD39" s="4"/>
    </row>
    <row r="40">
      <c r="A40" s="3"/>
      <c r="B40" s="4"/>
      <c r="C40" s="3" t="str">
        <f>IFERROR(__xludf.DUMMYFUNCTION("""COMPUTED_VALUE"""),"S40 Tony (16/16): I can’t believe it. Jeremy’s reluctant. I’m trying to save him. I’m begging him to save him. “Jeremy, this is your only opportunity to stay in the game. I’m telling you, Kim and Denise jumped ship. They are coming after you. If you don’t"&amp;" believe that, and you want to go with your plan and vote Ben, you’ll be going home tonight.”")</f>
        <v>S40 Tony (16/16): I can’t believe it. Jeremy’s reluctant. I’m trying to save him. I’m begging him to save him. “Jeremy, this is your only opportunity to stay in the game. I’m telling you, Kim and Denise jumped ship. They are coming after you. If you don’t believe that, and you want to go with your plan and vote Ben, you’ll be going home tonight.”</v>
      </c>
      <c r="D40" s="4"/>
      <c r="E40" s="3"/>
      <c r="F40" s="4"/>
      <c r="G40" s="3"/>
      <c r="H40" s="4"/>
      <c r="I40" s="3"/>
      <c r="J40" s="4"/>
      <c r="K40" s="3"/>
      <c r="L40" s="4"/>
      <c r="M40" s="3" t="str">
        <f>IFERROR(__xludf.DUMMYFUNCTION("""COMPUTED_VALUE"""),"S35 Ben (2/5): It’d be nice to kick back and relax with Devon and Ashley, but I’m still playing my part as being on the outs, but that stuff is kind of fun for me right now just ‘cause I’m messing with Joe and he don’t even know it. Anytime I can mess wit"&amp;"h Joe, I’ll take it.")</f>
        <v>S35 Ben (2/5): It’d be nice to kick back and relax with Devon and Ashley, but I’m still playing my part as being on the outs, but that stuff is kind of fun for me right now just ‘cause I’m messing with Joe and he don’t even know it. Anytime I can mess with Joe, I’ll take it.</v>
      </c>
      <c r="N40" s="4"/>
      <c r="O40" s="3" t="str">
        <f>IFERROR(__xludf.DUMMYFUNCTION("""COMPUTED_VALUE"""),"S34 Sarah (2/9): Given the drama that happened at the last Tribal Council, I’m not really sure where I stand with people, and this reward is what I needed. I’ve got to find out who’s willing to go to the end with me, and I’m gonna do whatever I have to do"&amp;" to solidify my spot.")</f>
        <v>S34 Sarah (2/9): Given the drama that happened at the last Tribal Council, I’m not really sure where I stand with people, and this reward is what I needed. I’ve got to find out who’s willing to go to the end with me, and I’m gonna do whatever I have to do to solidify my spot.</v>
      </c>
      <c r="P40" s="4"/>
      <c r="Q40" s="3" t="str">
        <f>IFERROR(__xludf.DUMMYFUNCTION("""COMPUTED_VALUE"""),"S33 Adam (1/7): Bret and Sunday come up to me this morning and they say, ""Dave, Jay and Will are the three biggest threats in the game. Those three need to be the next to go."" And it's music to my ears. If they want to put themselves in a position where"&amp;" they're left with myself, Hannah and Ken, I love that.")</f>
        <v>S33 Adam (1/7): Bret and Sunday come up to me this morning and they say, "Dave, Jay and Will are the three biggest threats in the game. Those three need to be the next to go." And it's music to my ears. If they want to put themselves in a position where they're left with myself, Hannah and Ken, I love that.</v>
      </c>
      <c r="R40" s="4"/>
      <c r="S40" s="3" t="str">
        <f>IFERROR(__xludf.DUMMYFUNCTION("""COMPUTED_VALUE"""),"S32 Michele (6/12): Who would have ever thought that Michele and Tai would have, you know, bonding massage and a dinner date? It’s like… I don’t know. What has this world come to?")</f>
        <v>S32 Michele (6/12): Who would have ever thought that Michele and Tai would have, you know, bonding massage and a dinner date? It’s like… I don’t know. What has this world come to?</v>
      </c>
      <c r="T40" s="4"/>
      <c r="U40" s="3" t="str">
        <f>IFERROR(__xludf.DUMMYFUNCTION("""COMPUTED_VALUE"""),"S31 Jeremy (3/9): I feel like my alliance is strong. The problem, though, is that with the Hidden Immunity Idols, it shakes up everything and we don’t want to lose this. We have numbers. We could really run this to the end. I know Kimmi is kind of goofy a"&amp;"nd everything, but I-I really think she’s with us. And I don’t wanna use my idol and not have it tomorrow. So, I mean, the safer route is to split the vote-- guys vote for Wentworth, girls vote for Keith.")</f>
        <v>S31 Jeremy (3/9): I feel like my alliance is strong. The problem, though, is that with the Hidden Immunity Idols, it shakes up everything and we don’t want to lose this. We have numbers. We could really run this to the end. I know Kimmi is kind of goofy and everything, but I-I really think she’s with us. And I don’t wanna use my idol and not have it tomorrow. So, I mean, the safer route is to split the vote-- guys vote for Wentworth, girls vote for Keith.</v>
      </c>
      <c r="V40" s="4"/>
      <c r="W40" s="3" t="str">
        <f>IFERROR(__xludf.DUMMYFUNCTION("""COMPUTED_VALUE"""),"S30 Mike (1/8): I overheard Rodney, Will, Tyler and Mama C, and there's definitely been a power shift in this game. Rodney has flipped on the Blue Collars and he is no longer in my alliance. So I know that they are coming for my head. That's why I've got "&amp;"to start doing a lot of work starting today.")</f>
        <v>S30 Mike (1/8): I overheard Rodney, Will, Tyler and Mama C, and there's definitely been a power shift in this game. Rodney has flipped on the Blue Collars and he is no longer in my alliance. So I know that they are coming for my head. That's why I've got to start doing a lot of work starting today.</v>
      </c>
      <c r="X40" s="4"/>
      <c r="Y40" s="3" t="str">
        <f>IFERROR(__xludf.DUMMYFUNCTION("""COMPUTED_VALUE"""),"S29 Natalie (1/9): It's good that Jaclyn had a fit in front of everybody 'cause if anybody was trying to work with her, it's not happening. It does scare me a little that now I'm in this situation where I have to trust Baylor and Missy to want to take me "&amp;"to the final three with them 'cause at this point they could technically vote me out unless I win immunity. But that's what Survivor is. It's a lot of work, but there's a big prize at the end so you gotta put in work if you wanna win this.")</f>
        <v>S29 Natalie (1/9): It's good that Jaclyn had a fit in front of everybody 'cause if anybody was trying to work with her, it's not happening. It does scare me a little that now I'm in this situation where I have to trust Baylor and Missy to want to take me to the final three with them 'cause at this point they could technically vote me out unless I win immunity. But that's what Survivor is. It's a lot of work, but there's a big prize at the end so you gotta put in work if you wanna win this.</v>
      </c>
      <c r="Z40" s="4"/>
      <c r="AA40" s="3" t="str">
        <f>IFERROR(__xludf.DUMMYFUNCTION("""COMPUTED_VALUE"""),"S28 Tony (1/10): When Jeff turned over that card and it said “Tony,” I probably pooped on myself. I wasn’t expecting to see my name. I’m a forty-year-old, bald, old man. You have Woo that’s clearly more athletic than me. You have LJ that’s younger and mor"&amp;"e athletic than me. Why am I a threat? Why is everyone trying to get me out?")</f>
        <v>S28 Tony (1/10): When Jeff turned over that card and it said “Tony,” I probably pooped on myself. I wasn’t expecting to see my name. I’m a forty-year-old, bald, old man. You have Woo that’s clearly more athletic than me. You have LJ that’s younger and more athletic than me. Why am I a threat? Why is everyone trying to get me out?</v>
      </c>
      <c r="AB40" s="4"/>
      <c r="AC40" s="3" t="str">
        <f>IFERROR(__xludf.DUMMYFUNCTION("""COMPUTED_VALUE"""),"S27 Tyson (1/2): You can’t ever let the person on the bottom know they’re going home. That’s Survivor 101. It gives them a chance to be crazy. You have to give them hope. You have to tell them somebody else’s name, ‘cause then the fireworks wouldn’t have "&amp;"happened.")</f>
        <v>S27 Tyson (1/2): You can’t ever let the person on the bottom know they’re going home. That’s Survivor 101. It gives them a chance to be crazy. You have to give them hope. You have to tell them somebody else’s name, ‘cause then the fireworks wouldn’t have happened.</v>
      </c>
      <c r="AD40" s="4"/>
      <c r="AE40" s="3" t="str">
        <f>IFERROR(__xludf.DUMMYFUNCTION("""COMPUTED_VALUE"""),"S26 Cochran (2/4): We saw there were nine envelopes sitting there and I know what that means as a Survivor fan. It means that the food auction is upon us.")</f>
        <v>S26 Cochran (2/4): We saw there were nine envelopes sitting there and I know what that means as a Survivor fan. It means that the food auction is upon us.</v>
      </c>
      <c r="AF40" s="4"/>
      <c r="AG40" s="3"/>
      <c r="AH40" s="4"/>
      <c r="AI40" s="3" t="str">
        <f>IFERROR(__xludf.DUMMYFUNCTION("""COMPUTED_VALUE"""),"S24 Kim (1/7): When we got back from Tribal tonight, Tarzan pulled me aside and just wanted to tell me what he thought the best plan for me was, which was to get rid of Chelsea, Sabrina and that I go to the final three with Christina and Alicia, which as "&amp;"crazy as Tarzan is, it’s what I know to be true. But if I have to send Chelsea home, that will be my worst night here.")</f>
        <v>S24 Kim (1/7): When we got back from Tribal tonight, Tarzan pulled me aside and just wanted to tell me what he thought the best plan for me was, which was to get rid of Chelsea, Sabrina and that I go to the final three with Christina and Alicia, which as crazy as Tarzan is, it’s what I know to be true. But if I have to send Chelsea home, that will be my worst night here.</v>
      </c>
      <c r="AJ40" s="4"/>
      <c r="AK40" s="3"/>
      <c r="AL40" s="4"/>
      <c r="AM40" s="3" t="str">
        <f>IFERROR(__xludf.DUMMYFUNCTION("""COMPUTED_VALUE"""),"S22 Rob (2/8): Little Phillip couldn't keep his mouth shut. And I'm telling you when the merge is coming, Phillip is ready to make a big move, and by big move he means, let's get Rob out.")</f>
        <v>S22 Rob (2/8): Little Phillip couldn't keep his mouth shut. And I'm telling you when the merge is coming, Phillip is ready to make a big move, and by big move he means, let's get Rob out.</v>
      </c>
      <c r="AN40" s="4"/>
      <c r="AO40" s="3" t="str">
        <f>IFERROR(__xludf.DUMMYFUNCTION("""COMPUTED_VALUE"""),"S21 Fabio (13/14): Day 39, man. This has been an awesome journey. And I loved every part of it, you know? I've envisioned this day for a long time, and now it's actually here. And, uh, this is probably the most important day of my life.")</f>
        <v>S21 Fabio (13/14): Day 39, man. This has been an awesome journey. And I loved every part of it, you know? I've envisioned this day for a long time, and now it's actually here. And, uh, this is probably the most important day of my life.</v>
      </c>
      <c r="AP40" s="4"/>
      <c r="AQ40" s="3"/>
      <c r="AR40" s="4"/>
      <c r="AS40" s="3"/>
      <c r="AT40" s="4"/>
      <c r="AU40" s="3"/>
      <c r="AV40" s="4"/>
      <c r="AW40" s="3"/>
      <c r="AX40" s="4"/>
      <c r="AY40" s="3"/>
      <c r="AZ40" s="4"/>
      <c r="BA40" s="3"/>
      <c r="BB40" s="4"/>
      <c r="BC40" s="3"/>
      <c r="BD40" s="4"/>
      <c r="BE40" s="3"/>
      <c r="BF40" s="4"/>
      <c r="BG40" s="3"/>
      <c r="BH40" s="4"/>
      <c r="BI40" s="3"/>
      <c r="BJ40" s="4"/>
      <c r="BK40" s="3" t="str">
        <f>IFERROR(__xludf.DUMMYFUNCTION("""COMPUTED_VALUE"""),"S10 Tom (3/7): Caryn warned me that Katie was looking to get rid of me, but I still wasn’t willing to take her word over Katie’s at that point. Now, Ian says Katie, she’s now become the shady lady Katie, looking to dump us and go into the final with Gregg"&amp;" and Jenn.")</f>
        <v>S10 Tom (3/7): Caryn warned me that Katie was looking to get rid of me, but I still wasn’t willing to take her word over Katie’s at that point. Now, Ian says Katie, she’s now become the shady lady Katie, looking to dump us and go into the final with Gregg and Jenn.</v>
      </c>
      <c r="BL40" s="4"/>
      <c r="BM40" s="3" t="str">
        <f>IFERROR(__xludf.DUMMYFUNCTION("""COMPUTED_VALUE"""),"S09 Chris (8/9): Today was my day. I was extremely happy to win immunity. It is a little bit humorous that it did take a nonphysical challenge to beat the chicks. But I'm looking at it as though I've achieved something great here, and I have immunity. Tha"&amp;"t's all that matters right now.")</f>
        <v>S09 Chris (8/9): Today was my day. I was extremely happy to win immunity. It is a little bit humorous that it did take a nonphysical challenge to beat the chicks. But I'm looking at it as though I've achieved something great here, and I have immunity. That's all that matters right now.</v>
      </c>
      <c r="BN40" s="4"/>
      <c r="BO40" s="3" t="str">
        <f>IFERROR(__xludf.DUMMYFUNCTION("""COMPUTED_VALUE"""),"S08 Amber (2/11): Breakfast is my favorite meal of the day. So this meal is huge out here.")</f>
        <v>S08 Amber (2/11): Breakfast is my favorite meal of the day. So this meal is huge out here.</v>
      </c>
      <c r="BP40" s="4"/>
      <c r="BQ40" s="3" t="str">
        <f>IFERROR(__xludf.DUMMYFUNCTION("""COMPUTED_VALUE"""),"S07 Sandra (4/5): We want Burton gone, because he's the strongest one out here. Although he hasn't won these immunities, but that doesn't mean anything. Physically, he's stronger than we are, and to put it all on an equal playing field, we want all the fe"&amp;"males together till the end.")</f>
        <v>S07 Sandra (4/5): We want Burton gone, because he's the strongest one out here. Although he hasn't won these immunities, but that doesn't mean anything. Physically, he's stronger than we are, and to put it all on an equal playing field, we want all the females together till the end.</v>
      </c>
      <c r="BR40" s="4"/>
      <c r="BS40" s="3"/>
      <c r="BT40" s="4"/>
      <c r="BU40" s="3"/>
      <c r="BV40" s="4"/>
      <c r="BW40" s="3"/>
      <c r="BX40" s="4"/>
      <c r="BY40" s="3"/>
      <c r="BZ40" s="4"/>
      <c r="CA40" s="3"/>
      <c r="CB40" s="4"/>
      <c r="CC40" s="3"/>
      <c r="CD40" s="4"/>
    </row>
    <row r="41">
      <c r="A41" s="3"/>
      <c r="B41" s="4"/>
      <c r="C41" s="3" t="str">
        <f>IFERROR(__xludf.DUMMYFUNCTION("""COMPUTED_VALUE"""),"S40 Tony (1/8): Wow, man. Usually, you blindside somebody, you go back to camp, you hash it all out, and everybody’s like, “It’s okay. It’s all good.” Not this time. This time, it’s like deep wounds, man. But, come on, give me a break. I’m playing the gam"&amp;"e, too, you know? This is war. Stop crying. Put your man panties on and go to war.")</f>
        <v>S40 Tony (1/8): Wow, man. Usually, you blindside somebody, you go back to camp, you hash it all out, and everybody’s like, “It’s okay. It’s all good.” Not this time. This time, it’s like deep wounds, man. But, come on, give me a break. I’m playing the game, too, you know? This is war. Stop crying. Put your man panties on and go to war.</v>
      </c>
      <c r="D41" s="4"/>
      <c r="E41" s="3"/>
      <c r="F41" s="4"/>
      <c r="G41" s="3"/>
      <c r="H41" s="4"/>
      <c r="I41" s="3"/>
      <c r="J41" s="4"/>
      <c r="K41" s="3"/>
      <c r="L41" s="4"/>
      <c r="M41" s="3" t="str">
        <f>IFERROR(__xludf.DUMMYFUNCTION("""COMPUTED_VALUE"""),"S35 Ben (3/5): After the challenge, even with Chrissy winning, there’s three other people to pick and send home, so no harm no foul. Now we just need to get to gettin’ and figure out who is voted out next.")</f>
        <v>S35 Ben (3/5): After the challenge, even with Chrissy winning, there’s three other people to pick and send home, so no harm no foul. Now we just need to get to gettin’ and figure out who is voted out next.</v>
      </c>
      <c r="N41" s="4"/>
      <c r="O41" s="3" t="str">
        <f>IFERROR(__xludf.DUMMYFUNCTION("""COMPUTED_VALUE"""),"S34 Sarah (3/9): I’ve got the Legacy Advantage, and nobody knows about it. So I’m lucky that I’m safe tonight. But at this point, I have to go with people that are gonna take me to the end. I felt betrayed by Cirie at Tribal Council, and Tai, I clearly ca"&amp;"n’t trust him. So the only choice I have right now is to go with Brad and Troy.")</f>
        <v>S34 Sarah (3/9): I’ve got the Legacy Advantage, and nobody knows about it. So I’m lucky that I’m safe tonight. But at this point, I have to go with people that are gonna take me to the end. I felt betrayed by Cirie at Tribal Council, and Tai, I clearly can’t trust him. So the only choice I have right now is to go with Brad and Troy.</v>
      </c>
      <c r="P41" s="4"/>
      <c r="Q41" s="3" t="str">
        <f>IFERROR(__xludf.DUMMYFUNCTION("""COMPUTED_VALUE"""),"S33 Adam (2/7): Will's preference right off the bat is obviously to vote out Dave next. Will thinks now he has a degree of power, and he is in control. And that makes him more dangerous, so to me, Will is a bigger threat, and I do not want to put myself i"&amp;"n a position where Will is, you know, controlling my fate in this game.")</f>
        <v>S33 Adam (2/7): Will's preference right off the bat is obviously to vote out Dave next. Will thinks now he has a degree of power, and he is in control. And that makes him more dangerous, so to me, Will is a bigger threat, and I do not want to put myself in a position where Will is, you know, controlling my fate in this game.</v>
      </c>
      <c r="R41" s="4"/>
      <c r="S41" s="3" t="str">
        <f>IFERROR(__xludf.DUMMYFUNCTION("""COMPUTED_VALUE"""),"S32 Michele (7/12): I’m tentative to say anything or do anything with Tai after what happened last time, but me and Tai are… seemingly both on the outs.")</f>
        <v>S32 Michele (7/12): I’m tentative to say anything or do anything with Tai after what happened last time, but me and Tai are… seemingly both on the outs.</v>
      </c>
      <c r="T41" s="4"/>
      <c r="U41" s="3" t="str">
        <f>IFERROR(__xludf.DUMMYFUNCTION("""COMPUTED_VALUE"""),"S31 Jeremy (4/9): I think there is a huge possibility that Keith or Kelley are gonna pull out a Hidden Immunity Idol tonight. I’m so worried about that. It’s either me or Spencer that they’re going to put votes on. I’m worried, point blank. If Keith has a"&amp;"n idol, one of us is going home-- it’s probably going to be me. I think they’re going to go after me. And I don’t even want to take a chance on it.")</f>
        <v>S31 Jeremy (4/9): I think there is a huge possibility that Keith or Kelley are gonna pull out a Hidden Immunity Idol tonight. I’m so worried about that. It’s either me or Spencer that they’re going to put votes on. I’m worried, point blank. If Keith has an idol, one of us is going home-- it’s probably going to be me. I think they’re going to go after me. And I don’t even want to take a chance on it.</v>
      </c>
      <c r="V41" s="4"/>
      <c r="W41" s="3" t="str">
        <f>IFERROR(__xludf.DUMMYFUNCTION("""COMPUTED_VALUE"""),"S30 Mike (2/8): I came into this game knowing that whenever it was Survivor Auction time that I'll starve today. It's just all there is to it. Some if not all of my alliance have flipped on me. No food in this world is worth what an advantage is worth in "&amp;"this game to me.")</f>
        <v>S30 Mike (2/8): I came into this game knowing that whenever it was Survivor Auction time that I'll starve today. It's just all there is to it. Some if not all of my alliance have flipped on me. No food in this world is worth what an advantage is worth in this game to me.</v>
      </c>
      <c r="X41" s="4"/>
      <c r="Y41" s="3" t="str">
        <f>IFERROR(__xludf.DUMMYFUNCTION("""COMPUTED_VALUE"""),"S29 Natalie (2/9): Getting beat by a 55-year-old man is not easy. Um, I need to be able to beat him at that Immunity Challenge even with his advantage. It's going to be really tough but, if I want my plan to go the way I want it to, then I need to get rid"&amp;" of Keith first.")</f>
        <v>S29 Natalie (2/9): Getting beat by a 55-year-old man is not easy. Um, I need to be able to beat him at that Immunity Challenge even with his advantage. It's going to be really tough but, if I want my plan to go the way I want it to, then I need to get rid of Keith first.</v>
      </c>
      <c r="Z41" s="4"/>
      <c r="AA41" s="3" t="str">
        <f>IFERROR(__xludf.DUMMYFUNCTION("""COMPUTED_VALUE"""),"S28 Tony (2/10): Now, here we are again: six against three. But it’s never that easy just because you have three sitting ducks. I could be gone tomorrow. I’m not going to sit there and make a fool out of myself by saying, “Yeah, I can’t wait for when we g"&amp;"et to the six.” That chance might never come for me. And it’s definitely not going to come for some of them.")</f>
        <v>S28 Tony (2/10): Now, here we are again: six against three. But it’s never that easy just because you have three sitting ducks. I could be gone tomorrow. I’m not going to sit there and make a fool out of myself by saying, “Yeah, I can’t wait for when we get to the six.” That chance might never come for me. And it’s definitely not going to come for some of them.</v>
      </c>
      <c r="AB41" s="4"/>
      <c r="AC41" s="3" t="str">
        <f>IFERROR(__xludf.DUMMYFUNCTION("""COMPUTED_VALUE"""),"S27 Tyson (2/2): Monica, she’s crucial to my game right now. But she will not stop talking and it’s annoying. I was like, “Stop playing the game, Monica. You’re playing too hard right now.”")</f>
        <v>S27 Tyson (2/2): Monica, she’s crucial to my game right now. But she will not stop talking and it’s annoying. I was like, “Stop playing the game, Monica. You’re playing too hard right now.”</v>
      </c>
      <c r="AD41" s="4"/>
      <c r="AE41" s="3" t="str">
        <f>IFERROR(__xludf.DUMMYFUNCTION("""COMPUTED_VALUE"""),"S26 Cochran (3/4): (tearfully) I've been trying hard to play this, like, emotionless game this time, to just be this calm, cool, collected gamebot who just runs through strategy. Anyway, getting letters from home makes you realize there is life outside th"&amp;"e game and things I value more than this game. And part of me is a little bit happy that I'm still the person who values family and love and, I guess, the things that are really important.")</f>
        <v>S26 Cochran (3/4): (tearfully) I've been trying hard to play this, like, emotionless game this time, to just be this calm, cool, collected gamebot who just runs through strategy. Anyway, getting letters from home makes you realize there is life outside the game and things I value more than this game. And part of me is a little bit happy that I'm still the person who values family and love and, I guess, the things that are really important.</v>
      </c>
      <c r="AF41" s="4"/>
      <c r="AG41" s="3"/>
      <c r="AH41" s="4"/>
      <c r="AI41" s="3" t="str">
        <f>IFERROR(__xludf.DUMMYFUNCTION("""COMPUTED_VALUE"""),"S24 Kim (2/7): When Chelsea and Christina went to Tree Mail this morning, they walked back up, Christina came into the tent and immediately told Tarzan, Alicia, and myself everything that Chelsea said on their walk. My first question that I wanted answere"&amp;"d was, “Did Chelsea blow my cover?” because I have been playing both sides. Alicia, Tarzan, and Christina all think that I make a foursome for them, and then Chelsea and Sabrina think I am their third.")</f>
        <v>S24 Kim (2/7): When Chelsea and Christina went to Tree Mail this morning, they walked back up, Christina came into the tent and immediately told Tarzan, Alicia, and myself everything that Chelsea said on their walk. My first question that I wanted answered was, “Did Chelsea blow my cover?” because I have been playing both sides. Alicia, Tarzan, and Christina all think that I make a foursome for them, and then Chelsea and Sabrina think I am their third.</v>
      </c>
      <c r="AJ41" s="4"/>
      <c r="AK41" s="3"/>
      <c r="AL41" s="4"/>
      <c r="AM41" s="3" t="str">
        <f>IFERROR(__xludf.DUMMYFUNCTION("""COMPUTED_VALUE"""),"S22 Rob (3/8): Right when we got back to the beach, Phillip asked me how much if any I wanted to tell the tribe of what went on. I wasn't upset that Phillip suggested we don't say anything to the tribe. In actuality, I was hoping for it, actually praying "&amp;"for him to say something like that to me, so I could just use it as ammunition. I mean, an opportunity presents itself for me to throw Phillip further under the bus.")</f>
        <v>S22 Rob (3/8): Right when we got back to the beach, Phillip asked me how much if any I wanted to tell the tribe of what went on. I wasn't upset that Phillip suggested we don't say anything to the tribe. In actuality, I was hoping for it, actually praying for him to say something like that to me, so I could just use it as ammunition. I mean, an opportunity presents itself for me to throw Phillip further under the bus.</v>
      </c>
      <c r="AN41" s="4"/>
      <c r="AO41" s="3" t="str">
        <f>IFERROR(__xludf.DUMMYFUNCTION("""COMPUTED_VALUE"""),"S21 Fabio (14/14): It's time to shift gears and focus on tonight's Tribal Council because if you're not completely in it to win it tonight, you're going to miss your chance at a million dollars, and those are the largest stakes I've ever played for. So, I"&amp;"'m going to go into this last Tribal Council swinging.")</f>
        <v>S21 Fabio (14/14): It's time to shift gears and focus on tonight's Tribal Council because if you're not completely in it to win it tonight, you're going to miss your chance at a million dollars, and those are the largest stakes I've ever played for. So, I'm going to go into this last Tribal Council swinging.</v>
      </c>
      <c r="AP41" s="4"/>
      <c r="AQ41" s="3"/>
      <c r="AR41" s="4"/>
      <c r="AS41" s="3"/>
      <c r="AT41" s="4"/>
      <c r="AU41" s="3"/>
      <c r="AV41" s="4"/>
      <c r="AW41" s="3"/>
      <c r="AX41" s="4"/>
      <c r="AY41" s="3"/>
      <c r="AZ41" s="4"/>
      <c r="BA41" s="3"/>
      <c r="BB41" s="4"/>
      <c r="BC41" s="3"/>
      <c r="BD41" s="4"/>
      <c r="BE41" s="3"/>
      <c r="BF41" s="4"/>
      <c r="BG41" s="3"/>
      <c r="BH41" s="4"/>
      <c r="BI41" s="3"/>
      <c r="BJ41" s="4"/>
      <c r="BK41" s="3" t="str">
        <f>IFERROR(__xludf.DUMMYFUNCTION("""COMPUTED_VALUE"""),"S10 Tom (4/7): The way the rules are, if there is a tie at Tribal Council, both members who were voted on, those two will become safe and it comes down to the rest of us, reaching in a bag, pulling out a colored stone. Whoever gets the purple stone is goi"&amp;"ng home that night.")</f>
        <v>S10 Tom (4/7): The way the rules are, if there is a tie at Tribal Council, both members who were voted on, those two will become safe and it comes down to the rest of us, reaching in a bag, pulling out a colored stone. Whoever gets the purple stone is going home that night.</v>
      </c>
      <c r="BL41" s="4"/>
      <c r="BM41" s="3" t="str">
        <f>IFERROR(__xludf.DUMMYFUNCTION("""COMPUTED_VALUE"""),"S09 Chris (9/9): If there is a tie, it's my understanding that everyone would have the opportunity to vote again. And if voting again did not break the tie, the two people being voted for, I think they would get immunity, and the rest of us would pull roc"&amp;"ks, and whoever drew a colored rock goes home. So Eliza could mess things up real bad.")</f>
        <v>S09 Chris (9/9): If there is a tie, it's my understanding that everyone would have the opportunity to vote again. And if voting again did not break the tie, the two people being voted for, I think they would get immunity, and the rest of us would pull rocks, and whoever drew a colored rock goes home. So Eliza could mess things up real bad.</v>
      </c>
      <c r="BN41" s="4"/>
      <c r="BO41" s="3" t="str">
        <f>IFERROR(__xludf.DUMMYFUNCTION("""COMPUTED_VALUE"""),"S08 Amber (3/11): We knew it was gonna come down to a purple rock, so we gave her the option of voting out Rupert tonight.")</f>
        <v>S08 Amber (3/11): We knew it was gonna come down to a purple rock, so we gave her the option of voting out Rupert tonight.</v>
      </c>
      <c r="BP41" s="4"/>
      <c r="BQ41" s="3" t="str">
        <f>IFERROR(__xludf.DUMMYFUNCTION("""COMPUTED_VALUE"""),"S07 Sandra (5/5): Jon is a snake. Jon will never be anything other than a snake, but the fact is that Christa keeps telling me, ""Sandra, l honestly believe him. He swore on his grandmother. Therefore, he can't be lying.""")</f>
        <v>S07 Sandra (5/5): Jon is a snake. Jon will never be anything other than a snake, but the fact is that Christa keeps telling me, "Sandra, l honestly believe him. He swore on his grandmother. Therefore, he can't be lying."</v>
      </c>
      <c r="BR41" s="4"/>
      <c r="BS41" s="3"/>
      <c r="BT41" s="4"/>
      <c r="BU41" s="3"/>
      <c r="BV41" s="4"/>
      <c r="BW41" s="3"/>
      <c r="BX41" s="4"/>
      <c r="BY41" s="3"/>
      <c r="BZ41" s="4"/>
      <c r="CA41" s="3"/>
      <c r="CB41" s="4"/>
      <c r="CC41" s="3"/>
      <c r="CD41" s="4"/>
    </row>
    <row r="42">
      <c r="A42" s="3"/>
      <c r="B42" s="4"/>
      <c r="C42" s="3" t="str">
        <f>IFERROR(__xludf.DUMMYFUNCTION("""COMPUTED_VALUE"""),"S40 Tony (2/8): I made a big power move, which was blindsiding Sophie. The backlash was unbelievable, so I think I’m in trouble. My wife told me, “Tony, this time you can’t play wild. You can’t play crazy. You can’t play flashy.” But I got the itch, and n"&amp;"ow this is the time for another undercover operation. In my first season, season 28 in Cagayan, I made a spy shack, and it worked. And then, Game Changers, my second season, I made the underground bunker. It was a failure, but it was fun. Right now, my sp"&amp;"ying has evolved, and now I’m up in the air. It's called the spy nest. It’s like a bird nest that I perch myself on, just like a bird, and I sit there and I wait to hear conversations that are going on. The only person that knows I’m undercover is my part"&amp;"ner, Sarah.")</f>
        <v>S40 Tony (2/8): I made a big power move, which was blindsiding Sophie. The backlash was unbelievable, so I think I’m in trouble. My wife told me, “Tony, this time you can’t play wild. You can’t play crazy. You can’t play flashy.” But I got the itch, and now this is the time for another undercover operation. In my first season, season 28 in Cagayan, I made a spy shack, and it worked. And then, Game Changers, my second season, I made the underground bunker. It was a failure, but it was fun. Right now, my spying has evolved, and now I’m up in the air. It's called the spy nest. It’s like a bird nest that I perch myself on, just like a bird, and I sit there and I wait to hear conversations that are going on. The only person that knows I’m undercover is my partner, Sarah.</v>
      </c>
      <c r="D42" s="4"/>
      <c r="E42" s="3"/>
      <c r="F42" s="4"/>
      <c r="G42" s="3"/>
      <c r="H42" s="4"/>
      <c r="I42" s="3"/>
      <c r="J42" s="4"/>
      <c r="K42" s="3"/>
      <c r="L42" s="4"/>
      <c r="M42" s="3" t="str">
        <f>IFERROR(__xludf.DUMMYFUNCTION("""COMPUTED_VALUE"""),"S35 Ben (4/5): This whole act that I’m putting on out here, it is a little exhausting, but it’s for a good cause to this point. So I just need to get through one more Tribal and play the “Poor me, why me, oh, me” card.")</f>
        <v>S35 Ben (4/5): This whole act that I’m putting on out here, it is a little exhausting, but it’s for a good cause to this point. So I just need to get through one more Tribal and play the “Poor me, why me, oh, me” card.</v>
      </c>
      <c r="N42" s="4"/>
      <c r="O42" s="3" t="str">
        <f>IFERROR(__xludf.DUMMYFUNCTION("""COMPUTED_VALUE"""),"S34 Sarah (4/9): The story of my game this whole season is I’m always in the middle. So I’ve got a decision to make tonight. But first, I need to make sure that I can trust Tai.")</f>
        <v>S34 Sarah (4/9): The story of my game this whole season is I’m always in the middle. So I’ve got a decision to make tonight. But first, I need to make sure that I can trust Tai.</v>
      </c>
      <c r="P42" s="4"/>
      <c r="Q42" s="3" t="str">
        <f>IFERROR(__xludf.DUMMYFUNCTION("""COMPUTED_VALUE"""),"S33 Adam (3/7): Right now, Hannah and I are in power positions. We can decide who goes home next. It's a really tough choice. Bret and Sunday are in a weak position and they're going to vote the way that I want them to vote. So the question is: Blindside "&amp;"Will and take out someone who I do believe is loyal to me at this point, or try to blindside Dave and take out potentially the biggest threat in this game? So we have a huge decision to make tonight. This is the moment where I start making the moves that "&amp;"I need to make to win this game.")</f>
        <v>S33 Adam (3/7): Right now, Hannah and I are in power positions. We can decide who goes home next. It's a really tough choice. Bret and Sunday are in a weak position and they're going to vote the way that I want them to vote. So the question is: Blindside Will and take out someone who I do believe is loyal to me at this point, or try to blindside Dave and take out potentially the biggest threat in this game? So we have a huge decision to make tonight. This is the moment where I start making the moves that I need to make to win this game.</v>
      </c>
      <c r="R42" s="4"/>
      <c r="S42" s="3" t="str">
        <f>IFERROR(__xludf.DUMMYFUNCTION("""COMPUTED_VALUE"""),"S32 Michele (8/12): It would be such a great move on our part, and completely shocking because I don't think anyone thinks at this point that me and Tai have the capability to work together.")</f>
        <v>S32 Michele (8/12): It would be such a great move on our part, and completely shocking because I don't think anyone thinks at this point that me and Tai have the capability to work together.</v>
      </c>
      <c r="T42" s="4"/>
      <c r="U42" s="3" t="str">
        <f>IFERROR(__xludf.DUMMYFUNCTION("""COMPUTED_VALUE"""),"S31 Jeremy (5/9): Oh, (points to Immunity Necklace) this is… this is for Val. This is for Jordan. This is for Cameron. This is for my son that’s not even here yet. Like, this is for them all. Now the question is, who I’m going to the end with because I do"&amp;"n’t want second, I don’t want third. Like, I need to win this.")</f>
        <v>S31 Jeremy (5/9): Oh, (points to Immunity Necklace) this is… this is for Val. This is for Jordan. This is for Cameron. This is for my son that’s not even here yet. Like, this is for them all. Now the question is, who I’m going to the end with because I don’t want second, I don’t want third. Like, I need to win this.</v>
      </c>
      <c r="V42" s="4"/>
      <c r="W42" s="3" t="str">
        <f>IFERROR(__xludf.DUMMYFUNCTION("""COMPUTED_VALUE"""),"S30 Mike (3/8): I screwed up big time at the auction. But I know that there was an alliance formed that was coming for me. And I'm not gonna just sit there and watch it happen. Because if I don't out this alliance immediately, Dan, Sierra and myself are g"&amp;"oing home.")</f>
        <v>S30 Mike (3/8): I screwed up big time at the auction. But I know that there was an alliance formed that was coming for me. And I'm not gonna just sit there and watch it happen. Because if I don't out this alliance immediately, Dan, Sierra and myself are going home.</v>
      </c>
      <c r="X42" s="4"/>
      <c r="Y42" s="3" t="str">
        <f>IFERROR(__xludf.DUMMYFUNCTION("""COMPUTED_VALUE"""),"S29 Natalie (3/9): Basically I have two decisions at this point. Missy and Baylor feel like I'm definitely going to be with Missy and Baylor. But I can decide to go with Keith and Jaclyn and say “Let's get one of these girls out.” I have an idol for mysel"&amp;"f tonight if I don't win immunity but the advantage is basically going to help Keith in the next Immunity Challenge. Totally sucks that he got it. He's going to be the hardest one to beat. I know that I'm safe to the next challenge so it is a big decision"&amp;" on who goes home tonight.")</f>
        <v>S29 Natalie (3/9): Basically I have two decisions at this point. Missy and Baylor feel like I'm definitely going to be with Missy and Baylor. But I can decide to go with Keith and Jaclyn and say “Let's get one of these girls out.” I have an idol for myself tonight if I don't win immunity but the advantage is basically going to help Keith in the next Immunity Challenge. Totally sucks that he got it. He's going to be the hardest one to beat. I know that I'm safe to the next challenge so it is a big decision on who goes home tonight.</v>
      </c>
      <c r="Z42" s="4"/>
      <c r="AA42" s="3" t="str">
        <f>IFERROR(__xludf.DUMMYFUNCTION("""COMPUTED_VALUE"""),"S28 Tony (3/10): Looking at LJ is like looking at myself in the mirror. He’s sharp, he’s keeping himself two, three steps ahead. So I would like to see LJ gone, but I don’t want to be the bad one to get rid of LJ because he is my alliance. We’re tight and"&amp;" he trust me 100%. So I have to try to trick LJ to make him want to break a promise that he made to one of our six. Once he does that, that’s my safe way out. I’m not only leading the horse to the water, but I’m going to make the horse drink the water. Th"&amp;"at’s my goal right now.")</f>
        <v>S28 Tony (3/10): Looking at LJ is like looking at myself in the mirror. He’s sharp, he’s keeping himself two, three steps ahead. So I would like to see LJ gone, but I don’t want to be the bad one to get rid of LJ because he is my alliance. We’re tight and he trust me 100%. So I have to try to trick LJ to make him want to break a promise that he made to one of our six. Once he does that, that’s my safe way out. I’m not only leading the horse to the water, but I’m going to make the horse drink the water. That’s my goal right now.</v>
      </c>
      <c r="AB42" s="4"/>
      <c r="AC42" s="3" t="str">
        <f>IFERROR(__xludf.DUMMYFUNCTION("""COMPUTED_VALUE"""),"S27 Tyson: I told myself when Rachel left that if I was gonna stay I had to get to the end. It's the only way that it would be worth it for me to stay here. I'm so close... (wipes away tears)")</f>
        <v>S27 Tyson: I told myself when Rachel left that if I was gonna stay I had to get to the end. It's the only way that it would be worth it for me to stay here. I'm so close... (wipes away tears)</v>
      </c>
      <c r="AD42" s="4"/>
      <c r="AE42" s="3" t="str">
        <f>IFERROR(__xludf.DUMMYFUNCTION("""COMPUTED_VALUE"""),"S26 Cochran (4/4): I am the greatest challenge competitor in Survivor: Caramoan, there’s no debate. If you look at the scoreboard, I'm demolishing everybody. I've won half the individual Immunity Challenges. I'm the guy that was screamed at after every ch"&amp;"allenge last time I played because I'm such a freakin’ liability, because I suck in challenges, I'm weak. But now I am the biggest challenge threat in this game and I don't care if it makes me a threat. I'm just going to keep winning.")</f>
        <v>S26 Cochran (4/4): I am the greatest challenge competitor in Survivor: Caramoan, there’s no debate. If you look at the scoreboard, I'm demolishing everybody. I've won half the individual Immunity Challenges. I'm the guy that was screamed at after every challenge last time I played because I'm such a freakin’ liability, because I suck in challenges, I'm weak. But now I am the biggest challenge threat in this game and I don't care if it makes me a threat. I'm just going to keep winning.</v>
      </c>
      <c r="AF42" s="4"/>
      <c r="AG42" s="3"/>
      <c r="AH42" s="4"/>
      <c r="AI42" s="3" t="str">
        <f>IFERROR(__xludf.DUMMYFUNCTION("""COMPUTED_VALUE"""),"S24 Kim (3/7): Setting yourself up in a position to play both sides is brilliant but it's also one of the scarier places to sit in this game because it just takes one conversation between two people on opposite sides for them to kind of put it all togethe"&amp;"r and then you're the first person gone ‘cause nobody trusts you anymore.")</f>
        <v>S24 Kim (3/7): Setting yourself up in a position to play both sides is brilliant but it's also one of the scarier places to sit in this game because it just takes one conversation between two people on opposite sides for them to kind of put it all together and then you're the first person gone ‘cause nobody trusts you anymore.</v>
      </c>
      <c r="AJ42" s="4"/>
      <c r="AK42" s="3"/>
      <c r="AL42" s="4"/>
      <c r="AM42" s="3" t="str">
        <f>IFERROR(__xludf.DUMMYFUNCTION("""COMPUTED_VALUE"""),"S22 Rob (4/8): I took all this information to relayed it all to the tribe because I want everybody on the same page. I want everybody to know that the target's on me so that they feel safe, number one, and, number two, I need to keep everybody else agains"&amp;"t Phillip.")</f>
        <v>S22 Rob (4/8): I took all this information to relayed it all to the tribe because I want everybody on the same page. I want everybody to know that the target's on me so that they feel safe, number one, and, number two, I need to keep everybody else against Phillip.</v>
      </c>
      <c r="AN42" s="4"/>
      <c r="AO42" s="3"/>
      <c r="AP42" s="4"/>
      <c r="AQ42" s="3"/>
      <c r="AR42" s="4"/>
      <c r="AS42" s="3"/>
      <c r="AT42" s="4"/>
      <c r="AU42" s="3"/>
      <c r="AV42" s="4"/>
      <c r="AW42" s="3"/>
      <c r="AX42" s="4"/>
      <c r="AY42" s="3"/>
      <c r="AZ42" s="4"/>
      <c r="BA42" s="3"/>
      <c r="BB42" s="4"/>
      <c r="BC42" s="3"/>
      <c r="BD42" s="4"/>
      <c r="BE42" s="3"/>
      <c r="BF42" s="4"/>
      <c r="BG42" s="3"/>
      <c r="BH42" s="4"/>
      <c r="BI42" s="3"/>
      <c r="BJ42" s="4"/>
      <c r="BK42" s="3" t="str">
        <f>IFERROR(__xludf.DUMMYFUNCTION("""COMPUTED_VALUE"""),"S10 Tom (5/7): Today I think my worst fears were, uh, realized. Only three family members got to spend time with their loved ones, and the other three are left on the beach to, uh, hear the stories. This one cuts and twists, and, uh, it’s tough.")</f>
        <v>S10 Tom (5/7): Today I think my worst fears were, uh, realized. Only three family members got to spend time with their loved ones, and the other three are left on the beach to, uh, hear the stories. This one cuts and twists, and, uh, it’s tough.</v>
      </c>
      <c r="BL42" s="4"/>
      <c r="BM42" s="3" t="str">
        <f>IFERROR(__xludf.DUMMYFUNCTION("""COMPUTED_VALUE"""),"S09 Chris (1/16): After Tribal Council, we got back to the camp, and… everything was good. Ami was gone -- one less worry -- and, uh, I'm the last man standing. It seemed like it was gonna be just a quiet, you know, easy-going night, but there was still a"&amp;" lot of emotions stirring in Twila. The fact that Eliza had brought up Twila swearing on her son's name.")</f>
        <v>S09 Chris (1/16): After Tribal Council, we got back to the camp, and… everything was good. Ami was gone -- one less worry -- and, uh, I'm the last man standing. It seemed like it was gonna be just a quiet, you know, easy-going night, but there was still a lot of emotions stirring in Twila. The fact that Eliza had brought up Twila swearing on her son's name.</v>
      </c>
      <c r="BN42" s="4"/>
      <c r="BO42" s="3" t="str">
        <f>IFERROR(__xludf.DUMMYFUNCTION("""COMPUTED_VALUE"""),"S08 Amber (4/11): Walking by all the torches made me feel proud to be standing where I was standing, but also a little guilty, knowing that I ended this game for a lot of those people. So, it was a little bit bittersweet. I'm feeling a little scared and n"&amp;"ervous... and not really knowing what's ahead. At the end of the day, one of us is going to have immunity, and one of us will not be in the final two.")</f>
        <v>S08 Amber (4/11): Walking by all the torches made me feel proud to be standing where I was standing, but also a little guilty, knowing that I ended this game for a lot of those people. So, it was a little bit bittersweet. I'm feeling a little scared and nervous... and not really knowing what's ahead. At the end of the day, one of us is going to have immunity, and one of us will not be in the final two.</v>
      </c>
      <c r="BP42" s="4"/>
      <c r="BQ42" s="3" t="str">
        <f>IFERROR(__xludf.DUMMYFUNCTION("""COMPUTED_VALUE"""),"S07 Sandra (1/6): Today is Day 34 and, um… I'm not feeling too good, because of the fact that now Christa's gone, and I know I'm vulnerable. I know my days are numbered. Jon, Burton, Lill and Darrah, they all deceived, so now I'm working on my revenge. My"&amp;" plan right now is to start on the two water cans. I'm going to hide those, I'm going to hide the nets, 'cause they haven't used them in a long time. I'm going to hide the pickaxe, all the knives, all the machetes. I mean, little by little, they just won'"&amp;"t even see it coming. I'm going to hide the spear and all four masks. Therefore, they don't have a way to fish unless they're going to go out there with their bare hands. I know I'm going down, but they're going to feel it more than I am. Yes, they are.")</f>
        <v>S07 Sandra (1/6): Today is Day 34 and, um… I'm not feeling too good, because of the fact that now Christa's gone, and I know I'm vulnerable. I know my days are numbered. Jon, Burton, Lill and Darrah, they all deceived, so now I'm working on my revenge. My plan right now is to start on the two water cans. I'm going to hide those, I'm going to hide the nets, 'cause they haven't used them in a long time. I'm going to hide the pickaxe, all the knives, all the machetes. I mean, little by little, they just won't even see it coming. I'm going to hide the spear and all four masks. Therefore, they don't have a way to fish unless they're going to go out there with their bare hands. I know I'm going down, but they're going to feel it more than I am. Yes, they are.</v>
      </c>
      <c r="BR42" s="4"/>
      <c r="BS42" s="3"/>
      <c r="BT42" s="4"/>
      <c r="BU42" s="3"/>
      <c r="BV42" s="4"/>
      <c r="BW42" s="3"/>
      <c r="BX42" s="4"/>
      <c r="BY42" s="3"/>
      <c r="BZ42" s="4"/>
      <c r="CA42" s="3"/>
      <c r="CB42" s="4"/>
      <c r="CC42" s="3"/>
      <c r="CD42" s="4"/>
    </row>
    <row r="43">
      <c r="A43" s="3"/>
      <c r="B43" s="4"/>
      <c r="C43" s="3" t="str">
        <f>IFERROR(__xludf.DUMMYFUNCTION("""COMPUTED_VALUE"""),"S40 Tony (3/8): I saw him try to sneak it from me. Hello? Ben? I’m right next to you, man. What are you doing? I-I’m watching you try to hide the idol.")</f>
        <v>S40 Tony (3/8): I saw him try to sneak it from me. Hello? Ben? I’m right next to you, man. What are you doing? I-I’m watching you try to hide the idol.</v>
      </c>
      <c r="D43" s="4"/>
      <c r="E43" s="3"/>
      <c r="F43" s="4"/>
      <c r="G43" s="3"/>
      <c r="H43" s="4"/>
      <c r="I43" s="3"/>
      <c r="J43" s="4"/>
      <c r="K43" s="3"/>
      <c r="L43" s="4"/>
      <c r="M43" s="3" t="str">
        <f>IFERROR(__xludf.DUMMYFUNCTION("""COMPUTED_VALUE"""),"S35 Ben (5/5): I still have an idol, but I don’t feel I need to play it. And for tonight to actually happen the way it’s supposed to happen, put a sucker in my hand and a balloon in the other, and I’ll be sitting there like a little kid in a candy store j"&amp;"ust watching Joe get his torch snuffed.")</f>
        <v>S35 Ben (5/5): I still have an idol, but I don’t feel I need to play it. And for tonight to actually happen the way it’s supposed to happen, put a sucker in my hand and a balloon in the other, and I’ll be sitting there like a little kid in a candy store just watching Joe get his torch snuffed.</v>
      </c>
      <c r="N43" s="4"/>
      <c r="O43" s="3" t="str">
        <f>IFERROR(__xludf.DUMMYFUNCTION("""COMPUTED_VALUE"""),"S34 Sarah (5/9): Tonight is huge. This could be a million dollar move. And sure enough, Tai is changing his mind again at the last minute. Tonight is actually the biggest vote of the game. It’s going to determine who will be in the final four. So Tai and "&amp;"I have to figure out which way to go.")</f>
        <v>S34 Sarah (5/9): Tonight is huge. This could be a million dollar move. And sure enough, Tai is changing his mind again at the last minute. Tonight is actually the biggest vote of the game. It’s going to determine who will be in the final four. So Tai and I have to figure out which way to go.</v>
      </c>
      <c r="P43" s="4"/>
      <c r="Q43" s="3" t="str">
        <f>IFERROR(__xludf.DUMMYFUNCTION("""COMPUTED_VALUE"""),"S33 Adam (4/7): I'm trying to make Jay feel as comfortable as possible with me, and so I tell Jay that the next move is to get rid of Dave, but to me Jay has to go home. He has a Hidden Immunity Idol, and we have to take every opportunity we can to take a"&amp;" stab at the guy. If he doesn't have immunity, he needs to go home.")</f>
        <v>S33 Adam (4/7): I'm trying to make Jay feel as comfortable as possible with me, and so I tell Jay that the next move is to get rid of Dave, but to me Jay has to go home. He has a Hidden Immunity Idol, and we have to take every opportunity we can to take a stab at the guy. If he doesn't have immunity, he needs to go home.</v>
      </c>
      <c r="R43" s="4"/>
      <c r="S43" s="3" t="str">
        <f>IFERROR(__xludf.DUMMYFUNCTION("""COMPUTED_VALUE"""),"S32 Michele (9/12): It’s crazy the way that things turn here. I mean, I thought I was on the outs, but me and Cydney have had a great relationship for a really long time, and me and Tai have our plan. So now it looks like we can pick and choose who we wou"&amp;"ld want out, Joe or Aubry, and that would be a crazy twist in this game.")</f>
        <v>S32 Michele (9/12): It’s crazy the way that things turn here. I mean, I thought I was on the outs, but me and Cydney have had a great relationship for a really long time, and me and Tai have our plan. So now it looks like we can pick and choose who we would want out, Joe or Aubry, and that would be a crazy twist in this game.</v>
      </c>
      <c r="T43" s="4"/>
      <c r="U43" s="3" t="str">
        <f>IFERROR(__xludf.DUMMYFUNCTION("""COMPUTED_VALUE"""),"S31 Jeremy (6/9): I feel like I want to laugh, I want to cry, I want to yell, I want-- you know what I mean? Like, I just wanna explode ‘cause I feel like the season is so hard, and just to have this security just for tonight, it’s just a beautiful thing."&amp;" I have my alliance. I have Spence and I have Tasha, but when you have this necklace, all bets are off, you know? You’re like, I know we-we said we were gonna do this, but now is the time when you figure out who’s the best person that I can sit next to th"&amp;"at I can win a million dollars.")</f>
        <v>S31 Jeremy (6/9): I feel like I want to laugh, I want to cry, I want to yell, I want-- you know what I mean? Like, I just wanna explode ‘cause I feel like the season is so hard, and just to have this security just for tonight, it’s just a beautiful thing. I have my alliance. I have Spence and I have Tasha, but when you have this necklace, all bets are off, you know? You’re like, I know we-we said we were gonna do this, but now is the time when you figure out who’s the best person that I can sit next to that I can win a million dollars.</v>
      </c>
      <c r="V43" s="4"/>
      <c r="W43" s="3" t="str">
        <f>IFERROR(__xludf.DUMMYFUNCTION("""COMPUTED_VALUE"""),"S30 Mike (4/8): I just outed the alliance that was trying to get me out today and now they're all mad at me because I ruined the moment for everybody. But this is a game and I'm here to win. Hopefully, my strategy works. It may not, but at least it's out "&amp;"in the open now.")</f>
        <v>S30 Mike (4/8): I just outed the alliance that was trying to get me out today and now they're all mad at me because I ruined the moment for everybody. But this is a game and I'm here to win. Hopefully, my strategy works. It may not, but at least it's out in the open now.</v>
      </c>
      <c r="X43" s="4"/>
      <c r="Y43" s="3" t="str">
        <f>IFERROR(__xludf.DUMMYFUNCTION("""COMPUTED_VALUE"""),"S29 Natalie (4/9): I know I'm in the final four because of my idol. I also, you know, know that, uh, Missy and Baylor probably won't vote me off because they feel confident. We're so tight, we trust each other.")</f>
        <v>S29 Natalie (4/9): I know I'm in the final four because of my idol. I also, you know, know that, uh, Missy and Baylor probably won't vote me off because they feel confident. We're so tight, we trust each other.</v>
      </c>
      <c r="Z43" s="4"/>
      <c r="AA43" s="3" t="str">
        <f>IFERROR(__xludf.DUMMYFUNCTION("""COMPUTED_VALUE"""),"S28 Tony (4/10): I’m telling LJ that I’m very nervous about Woo having an idol, but it’s not true. LJ proposed to me: “Let's blindside Woo.” That’s all I wanted to hear. So I’m going to tell people, “You don’t know what he’s thinking.” He’s quiet and he’s"&amp;" sneaky, and that’s more scarier than a person like me. Y’know, I’m in your face, but LJ, on the other hand, he’s been thinking about all you guys since Day 1 behind your backs and you wouldn’t even know about it. And that’s what I have to do. I have to p"&amp;"in everybody against LJ.")</f>
        <v>S28 Tony (4/10): I’m telling LJ that I’m very nervous about Woo having an idol, but it’s not true. LJ proposed to me: “Let's blindside Woo.” That’s all I wanted to hear. So I’m going to tell people, “You don’t know what he’s thinking.” He’s quiet and he’s sneaky, and that’s more scarier than a person like me. Y’know, I’m in your face, but LJ, on the other hand, he’s been thinking about all you guys since Day 1 behind your backs and you wouldn’t even know about it. And that’s what I have to do. I have to pin everybody against LJ.</v>
      </c>
      <c r="AB43" s="4"/>
      <c r="AC43" s="3" t="str">
        <f>IFERROR(__xludf.DUMMYFUNCTION("""COMPUTED_VALUE"""),"S27 Tyson (1/8): My best shot is gonna be with Monica and Gervase and I may have to use that idol to keep Monica on our side.")</f>
        <v>S27 Tyson (1/8): My best shot is gonna be with Monica and Gervase and I may have to use that idol to keep Monica on our side.</v>
      </c>
      <c r="AD43" s="4"/>
      <c r="AE43" s="3" t="str">
        <f>IFERROR(__xludf.DUMMYFUNCTION("""COMPUTED_VALUE"""),"S26 Cochran (1/9): The Fans are desperate. They're cornered. They-they have no power. The power rests in the Favorites right now and I want to take away as much power and suck it up for myself as possible because I want to take control of the game, and I'"&amp;"ll do it without remorse. I'll do it without any reservations. And it's scary that I'm saying that. I feel like I've turned into something that would scare my mother if she saw me. But I'm not the little Harvard nerd who was trembling in the bushes last t"&amp;"ime.")</f>
        <v>S26 Cochran (1/9): The Fans are desperate. They're cornered. They-they have no power. The power rests in the Favorites right now and I want to take away as much power and suck it up for myself as possible because I want to take control of the game, and I'll do it without remorse. I'll do it without any reservations. And it's scary that I'm saying that. I feel like I've turned into something that would scare my mother if she saw me. But I'm not the little Harvard nerd who was trembling in the bushes last time.</v>
      </c>
      <c r="AF43" s="4"/>
      <c r="AG43" s="3"/>
      <c r="AH43" s="4"/>
      <c r="AI43" s="3" t="str">
        <f>IFERROR(__xludf.DUMMYFUNCTION("""COMPUTED_VALUE"""),"S24 Kim (4/7): You kind of start to feel like an animal out here, it could get real savage, and so to just go and be waited on and to feel so pampered, I started to remember who I was, and what I'm about, and what I'm doing here. I feel like my head is so"&amp;" much clearer today than it was yesterday so the reward was huge for me.")</f>
        <v>S24 Kim (4/7): You kind of start to feel like an animal out here, it could get real savage, and so to just go and be waited on and to feel so pampered, I started to remember who I was, and what I'm about, and what I'm doing here. I feel like my head is so much clearer today than it was yesterday so the reward was huge for me.</v>
      </c>
      <c r="AJ43" s="4"/>
      <c r="AK43" s="3"/>
      <c r="AL43" s="4"/>
      <c r="AM43" s="3" t="str">
        <f>IFERROR(__xludf.DUMMYFUNCTION("""COMPUTED_VALUE"""),"S22 Rob (5/8): With all the attention focused on Phillip and everybody using him as a punching bag, I'm free to maneuver and do what I need to do.")</f>
        <v>S22 Rob (5/8): With all the attention focused on Phillip and everybody using him as a punching bag, I'm free to maneuver and do what I need to do.</v>
      </c>
      <c r="AN43" s="4"/>
      <c r="AO43" s="3"/>
      <c r="AP43" s="4"/>
      <c r="AQ43" s="3"/>
      <c r="AR43" s="4"/>
      <c r="AS43" s="3"/>
      <c r="AT43" s="4"/>
      <c r="AU43" s="3"/>
      <c r="AV43" s="4"/>
      <c r="AW43" s="3"/>
      <c r="AX43" s="4"/>
      <c r="AY43" s="3"/>
      <c r="AZ43" s="4"/>
      <c r="BA43" s="3"/>
      <c r="BB43" s="4"/>
      <c r="BC43" s="3"/>
      <c r="BD43" s="4"/>
      <c r="BE43" s="3"/>
      <c r="BF43" s="4"/>
      <c r="BG43" s="3"/>
      <c r="BH43" s="4"/>
      <c r="BI43" s="3"/>
      <c r="BJ43" s="4"/>
      <c r="BK43" s="3" t="str">
        <f>IFERROR(__xludf.DUMMYFUNCTION("""COMPUTED_VALUE"""),"S10 Tom (6/7): This might have been the last love fest in camp. Now it’s time to get control of the game again, and focus on the coming 6 days and what needs to be accomplished. It has been a good run, but it’s about to get a little rough. That little tri"&amp;"p that they took may cost them big.")</f>
        <v>S10 Tom (6/7): This might have been the last love fest in camp. Now it’s time to get control of the game again, and focus on the coming 6 days and what needs to be accomplished. It has been a good run, but it’s about to get a little rough. That little trip that they took may cost them big.</v>
      </c>
      <c r="BL43" s="4"/>
      <c r="BM43" s="3" t="str">
        <f>IFERROR(__xludf.DUMMYFUNCTION("""COMPUTED_VALUE"""),"S09 Chris (2/16): I knew that it wasn't a good thing what Twila was doing. She definitely offended Julie. She definitely offended Eliza. Eliza being part of this four-person alliance with Scout, Twila and myself, you know, it's-it’s important to try to ke"&amp;"ep a level… you know, understanding. She's taken a road she doesn't need to take. It's-it’s dangerous for her position in the game.")</f>
        <v>S09 Chris (2/16): I knew that it wasn't a good thing what Twila was doing. She definitely offended Julie. She definitely offended Eliza. Eliza being part of this four-person alliance with Scout, Twila and myself, you know, it's-it’s important to try to keep a level… you know, understanding. She's taken a road she doesn't need to take. It's-it’s dangerous for her position in the game.</v>
      </c>
      <c r="BN43" s="4"/>
      <c r="BO43" s="3" t="str">
        <f>IFERROR(__xludf.DUMMYFUNCTION("""COMPUTED_VALUE"""),"S08 Amber (5/11): I feel 99% sure that I'm going to the final two with Rob. But I have seen him turn on people out here. I have seen him break his word to people out here. I just can't help but feel nervous.")</f>
        <v>S08 Amber (5/11): I feel 99% sure that I'm going to the final two with Rob. But I have seen him turn on people out here. I have seen him break his word to people out here. I just can't help but feel nervous.</v>
      </c>
      <c r="BP43" s="4"/>
      <c r="BQ43" s="3" t="str">
        <f>IFERROR(__xludf.DUMMYFUNCTION("""COMPUTED_VALUE"""),"S07 Sandra (2/6): I have always said that they were both snakes and I have always said that they're good liars. So, everything that Lill was saying is stuff that I had already mentioned from before.")</f>
        <v>S07 Sandra (2/6): I have always said that they were both snakes and I have always said that they're good liars. So, everything that Lill was saying is stuff that I had already mentioned from before.</v>
      </c>
      <c r="BR43" s="4"/>
      <c r="BS43" s="3"/>
      <c r="BT43" s="4"/>
      <c r="BU43" s="3"/>
      <c r="BV43" s="4"/>
      <c r="BW43" s="3"/>
      <c r="BX43" s="4"/>
      <c r="BY43" s="3"/>
      <c r="BZ43" s="4"/>
      <c r="CA43" s="3"/>
      <c r="CB43" s="4"/>
      <c r="CC43" s="3"/>
      <c r="CD43" s="4"/>
    </row>
    <row r="44">
      <c r="A44" s="3"/>
      <c r="B44" s="4"/>
      <c r="C44" s="3" t="str">
        <f>IFERROR(__xludf.DUMMYFUNCTION("""COMPUTED_VALUE"""),"S40 Tony (4/8): You found the idol in front of me. You’re trying to hide it in fnt of me, man. Y- are you okay?")</f>
        <v>S40 Tony (4/8): You found the idol in front of me. You’re trying to hide it in fnt of me, man. Y- are you okay?</v>
      </c>
      <c r="D44" s="4"/>
      <c r="E44" s="3"/>
      <c r="F44" s="4"/>
      <c r="G44" s="3"/>
      <c r="H44" s="4"/>
      <c r="I44" s="3"/>
      <c r="J44" s="4"/>
      <c r="K44" s="3"/>
      <c r="L44" s="4"/>
      <c r="M44" s="3" t="str">
        <f>IFERROR(__xludf.DUMMYFUNCTION("""COMPUTED_VALUE"""),"S35 Ben (1/4): Ryan played an idol at Tribal. Traditionally, once an idol is played, one comes back into the game. With that one coming back into the game, we need to find it. So I decided to make a fake idol and I’m going to plant that somewhere while I’"&amp;"m looking for the real idol. If Chrissy, Mike or Ryan find this fake idol, they’ll stop looking, and that will give us more time to look for the real one.")</f>
        <v>S35 Ben (1/4): Ryan played an idol at Tribal. Traditionally, once an idol is played, one comes back into the game. With that one coming back into the game, we need to find it. So I decided to make a fake idol and I’m going to plant that somewhere while I’m looking for the real idol. If Chrissy, Mike or Ryan find this fake idol, they’ll stop looking, and that will give us more time to look for the real one.</v>
      </c>
      <c r="N44" s="4"/>
      <c r="O44" s="3" t="str">
        <f>IFERROR(__xludf.DUMMYFUNCTION("""COMPUTED_VALUE"""),"S34 Sarah (6/9): Brad and Troyzan have been tight the entire game, so, clearly, they’re going to make a move against me or Tai. So when he said, “Let’s vote for Troyzan, and force a tie,” which would come down to a fire-making challenge, I have to conside"&amp;"r it, even though it scares the crap out of me. Brad’s pretty cocky right now and thinks he’s calling the shots. But I’m thinking, “Screw that.” If I can win a fire-making challenge, I can decide who’s going to the final three.")</f>
        <v>S34 Sarah (6/9): Brad and Troyzan have been tight the entire game, so, clearly, they’re going to make a move against me or Tai. So when he said, “Let’s vote for Troyzan, and force a tie,” which would come down to a fire-making challenge, I have to consider it, even though it scares the crap out of me. Brad’s pretty cocky right now and thinks he’s calling the shots. But I’m thinking, “Screw that.” If I can win a fire-making challenge, I can decide who’s going to the final three.</v>
      </c>
      <c r="P44" s="4"/>
      <c r="Q44" s="3" t="str">
        <f>IFERROR(__xludf.DUMMYFUNCTION("""COMPUTED_VALUE"""),"S33 Adam (5/7): My biggest fear of going into the challenge was that Jay or Dave would win immunity. Of course, I would've preferred to win myself, but if I couldn't win, I was glad it was Ken.")</f>
        <v>S33 Adam (5/7): My biggest fear of going into the challenge was that Jay or Dave would win immunity. Of course, I would've preferred to win myself, but if I couldn't win, I was glad it was Ken.</v>
      </c>
      <c r="R44" s="4"/>
      <c r="S44" s="3" t="str">
        <f>IFERROR(__xludf.DUMMYFUNCTION("""COMPUTED_VALUE"""),"S32 Michele (10/12): It could be something that could pull him from the game. And when you’re this far in, five people, that’s the last thing that you want to see happen. But at the same time, if Joe goes, it’s beneficial for my game. And so, I feel bad, "&amp;"but it’s also positive. So… it’s weird.")</f>
        <v>S32 Michele (10/12): It could be something that could pull him from the game. And when you’re this far in, five people, that’s the last thing that you want to see happen. But at the same time, if Joe goes, it’s beneficial for my game. And so, I feel bad, but it’s also positive. So… it’s weird.</v>
      </c>
      <c r="T44" s="4"/>
      <c r="U44" s="3" t="str">
        <f>IFERROR(__xludf.DUMMYFUNCTION("""COMPUTED_VALUE"""),"S31 Jeremy (7/9): I don’t know what to do yet. Spencer and Wentworth both have pretty good résumés. The question is who gives me the best chance to win?")</f>
        <v>S31 Jeremy (7/9): I don’t know what to do yet. Spencer and Wentworth both have pretty good résumés. The question is who gives me the best chance to win?</v>
      </c>
      <c r="V44" s="4"/>
      <c r="W44" s="3" t="str">
        <f>IFERROR(__xludf.DUMMYFUNCTION("""COMPUTED_VALUE"""),"S30 Mike (5/8): Supposedly, Will shared all the food with us. These rations that are supposed to last him the rest of the game, which is a little suspect to me.")</f>
        <v>S30 Mike (5/8): Supposedly, Will shared all the food with us. These rations that are supposed to last him the rest of the game, which is a little suspect to me.</v>
      </c>
      <c r="X44" s="4"/>
      <c r="Y44" s="3" t="str">
        <f>IFERROR(__xludf.DUMMYFUNCTION("""COMPUTED_VALUE"""),"S29 Natalie (5/9): One thing's for sure, big moves do win this game and I feel like I've done moves that haven't been as impactful as I'd like but, it's not about anybody else at this point. I'm just thinking about myself. It's either making a big move to"&amp;"day. Getting rid of Baylor or Missy and risking losing it all and not making final three or kinda playing it safe and vote out Jaclyn. That's the only fear that I have is that people would be like, “Oh, look at the move Natalie made.” People are always sc"&amp;"ared of people who make big moves so if I did something big tonight then tomorrow I could be the one going home. It's scary.")</f>
        <v>S29 Natalie (5/9): One thing's for sure, big moves do win this game and I feel like I've done moves that haven't been as impactful as I'd like but, it's not about anybody else at this point. I'm just thinking about myself. It's either making a big move today. Getting rid of Baylor or Missy and risking losing it all and not making final three or kinda playing it safe and vote out Jaclyn. That's the only fear that I have is that people would be like, “Oh, look at the move Natalie made.” People are always scared of people who make big moves so if I did something big tonight then tomorrow I could be the one going home. It's scary.</v>
      </c>
      <c r="Z44" s="4"/>
      <c r="AA44" s="3" t="str">
        <f>IFERROR(__xludf.DUMMYFUNCTION("""COMPUTED_VALUE"""),"S28 Tony (5/10): So today we get Tree Mail and it says it’s gonna be a Reward Challenge. And when you go in for immunity and get pampered and people get sensitive and emotions come out, they might form bonds. There’s possibility of talk there. There’s pos"&amp;"sibilities of strategies being mentioned and scenarios. So it’s very scary and that’s why I want to win this challenge. If anybody’s strategizing, coming up with plans, it’s gonna be me.")</f>
        <v>S28 Tony (5/10): So today we get Tree Mail and it says it’s gonna be a Reward Challenge. And when you go in for immunity and get pampered and people get sensitive and emotions come out, they might form bonds. There’s possibility of talk there. There’s possibilities of strategies being mentioned and scenarios. So it’s very scary and that’s why I want to win this challenge. If anybody’s strategizing, coming up with plans, it’s gonna be me.</v>
      </c>
      <c r="AB44" s="4"/>
      <c r="AC44" s="3" t="str">
        <f>IFERROR(__xludf.DUMMYFUNCTION("""COMPUTED_VALUE"""),"S27 Tyson (2/8): Having someone come in from Redemption and partnering up with Ciera and they're gonna try drawing Monica in again and so, Gervase and my goal needs to be to keep Monica tight with us.")</f>
        <v>S27 Tyson (2/8): Having someone come in from Redemption and partnering up with Ciera and they're gonna try drawing Monica in again and so, Gervase and my goal needs to be to keep Monica tight with us.</v>
      </c>
      <c r="AD44" s="4"/>
      <c r="AE44" s="3" t="str">
        <f>IFERROR(__xludf.DUMMYFUNCTION("""COMPUTED_VALUE"""),"S26 Cochran (2/9): It might have been a big mistake stepping out of the game, but I couldn't last that much longer. As long as one of us wins immunity, it’s fine. The goal is to keep it out of the hands of Reynold.")</f>
        <v>S26 Cochran (2/9): It might have been a big mistake stepping out of the game, but I couldn't last that much longer. As long as one of us wins immunity, it’s fine. The goal is to keep it out of the hands of Reynold.</v>
      </c>
      <c r="AF44" s="4"/>
      <c r="AG44" s="3"/>
      <c r="AH44" s="4"/>
      <c r="AI44" s="3" t="str">
        <f>IFERROR(__xludf.DUMMYFUNCTION("""COMPUTED_VALUE"""),"S24 Kim (5/7): The reward, I think it cleared the line for me a little bit. I feel better about the option of going with Chelsea and Sabrina. I’m just trying to figure out any way possible that we can somehow win this next vote with three votes.")</f>
        <v>S24 Kim (5/7): The reward, I think it cleared the line for me a little bit. I feel better about the option of going with Chelsea and Sabrina. I’m just trying to figure out any way possible that we can somehow win this next vote with three votes.</v>
      </c>
      <c r="AJ44" s="4"/>
      <c r="AK44" s="3"/>
      <c r="AL44" s="4"/>
      <c r="AM44" s="3" t="str">
        <f>IFERROR(__xludf.DUMMYFUNCTION("""COMPUTED_VALUE"""),"S22 Rob (6/8): If we lose, there won't be any blindside. I'll go right up to Phillip and I when he asks me who to vote for and I'll say, ""You know what, Phillip? You're going home."" I'll front-side him.")</f>
        <v>S22 Rob (6/8): If we lose, there won't be any blindside. I'll go right up to Phillip and I when he asks me who to vote for and I'll say, "You know what, Phillip? You're going home." I'll front-side him.</v>
      </c>
      <c r="AN44" s="4"/>
      <c r="AO44" s="3"/>
      <c r="AP44" s="4"/>
      <c r="AQ44" s="3"/>
      <c r="AR44" s="4"/>
      <c r="AS44" s="3"/>
      <c r="AT44" s="4"/>
      <c r="AU44" s="3"/>
      <c r="AV44" s="4"/>
      <c r="AW44" s="3"/>
      <c r="AX44" s="4"/>
      <c r="AY44" s="3"/>
      <c r="AZ44" s="4"/>
      <c r="BA44" s="3"/>
      <c r="BB44" s="4"/>
      <c r="BC44" s="3"/>
      <c r="BD44" s="4"/>
      <c r="BE44" s="3"/>
      <c r="BF44" s="4"/>
      <c r="BG44" s="3"/>
      <c r="BH44" s="4"/>
      <c r="BI44" s="3"/>
      <c r="BJ44" s="4"/>
      <c r="BK44" s="3" t="str">
        <f>IFERROR(__xludf.DUMMYFUNCTION("""COMPUTED_VALUE"""),"S10 Tom (7/7): Ian won immunity for tonight. That darn gun, man, that is my Achilles heel. It’s very fortunate I became a fireman rather than a cop, because it would just be dangerous for everybody. We’ve got a plan in place. Ian and I are gonna pretend t"&amp;"hat there’s nothing going on, everything is fine. But the three of us -- myself, Ian and Caryn -- will vote for Gregg tonight, the other three will vote for Caryn, and then we’ll go to a draw and be forced to pick a stone. But it won’t be Ian who has to c"&amp;"hoose-- he won immunity. It’ll be me. So I’m very vulnerable, but it’s better to play it hard and go home tonight than to sit around here and just wait to be eliminated by their threesome.")</f>
        <v>S10 Tom (7/7): Ian won immunity for tonight. That darn gun, man, that is my Achilles heel. It’s very fortunate I became a fireman rather than a cop, because it would just be dangerous for everybody. We’ve got a plan in place. Ian and I are gonna pretend that there’s nothing going on, everything is fine. But the three of us -- myself, Ian and Caryn -- will vote for Gregg tonight, the other three will vote for Caryn, and then we’ll go to a draw and be forced to pick a stone. But it won’t be Ian who has to choose-- he won immunity. It’ll be me. So I’m very vulnerable, but it’s better to play it hard and go home tonight than to sit around here and just wait to be eliminated by their threesome.</v>
      </c>
      <c r="BL44" s="4"/>
      <c r="BM44" s="3" t="str">
        <f>IFERROR(__xludf.DUMMYFUNCTION("""COMPUTED_VALUE"""),"S09 Chris (3/16): Julie won the reward and she picked me. And we cleaned up after the muddy challenge we went through. And we journeyed through the jungle and we finally come out into this extremely ashy, dense area.")</f>
        <v>S09 Chris (3/16): Julie won the reward and she picked me. And we cleaned up after the muddy challenge we went through. And we journeyed through the jungle and we finally come out into this extremely ashy, dense area.</v>
      </c>
      <c r="BN44" s="4"/>
      <c r="BO44" s="3" t="str">
        <f>IFERROR(__xludf.DUMMYFUNCTION("""COMPUTED_VALUE"""),"S08 Amber (6/11): To be able to spend 39 days now with a person who always makes you happy, always makes you feel completely safe in any situation... always makes you feel important and proud of yourself is just amazing.")</f>
        <v>S08 Amber (6/11): To be able to spend 39 days now with a person who always makes you happy, always makes you feel completely safe in any situation... always makes you feel important and proud of yourself is just amazing.</v>
      </c>
      <c r="BP44" s="4"/>
      <c r="BQ44" s="3" t="str">
        <f>IFERROR(__xludf.DUMMYFUNCTION("""COMPUTED_VALUE"""),"S07 Sandra (3/6): Lill doesn't seem to understand. She keeps thinking that, regardless, she's done at three. And I tell her, ""I'm not stronger than you, Lill. Have I ever showed you that I was stronger than you in all these competitions? You're not bad f"&amp;"or 50 years old.""")</f>
        <v>S07 Sandra (3/6): Lill doesn't seem to understand. She keeps thinking that, regardless, she's done at three. And I tell her, "I'm not stronger than you, Lill. Have I ever showed you that I was stronger than you in all these competitions? You're not bad for 50 years old."</v>
      </c>
      <c r="BR44" s="4"/>
      <c r="BS44" s="3"/>
      <c r="BT44" s="4"/>
      <c r="BU44" s="3"/>
      <c r="BV44" s="4"/>
      <c r="BW44" s="3"/>
      <c r="BX44" s="4"/>
      <c r="BY44" s="3"/>
      <c r="BZ44" s="4"/>
      <c r="CA44" s="3"/>
      <c r="CB44" s="4"/>
      <c r="CC44" s="3"/>
      <c r="CD44" s="4"/>
    </row>
    <row r="45">
      <c r="A45" s="3"/>
      <c r="B45" s="4"/>
      <c r="C45" s="3" t="str">
        <f>IFERROR(__xludf.DUMMYFUNCTION("""COMPUTED_VALUE"""),"S40 Tony (5/8): What?! I won three in a row. Back-to back-to back. It’s amazing, ‘cause anything can happen. I could’ve sneezed at that moment. Mosquito could’ve bit me in the eyeball. So, thanks, Nick. One token for an Immunity Necklace? I’ll take it. Th"&amp;"at’s a bargain.")</f>
        <v>S40 Tony (5/8): What?! I won three in a row. Back-to back-to back. It’s amazing, ‘cause anything can happen. I could’ve sneezed at that moment. Mosquito could’ve bit me in the eyeball. So, thanks, Nick. One token for an Immunity Necklace? I’ll take it. That’s a bargain.</v>
      </c>
      <c r="D45" s="4"/>
      <c r="E45" s="3"/>
      <c r="F45" s="4"/>
      <c r="G45" s="3"/>
      <c r="H45" s="4"/>
      <c r="I45" s="3"/>
      <c r="J45" s="4"/>
      <c r="K45" s="3"/>
      <c r="L45" s="4"/>
      <c r="M45" s="3" t="str">
        <f>IFERROR(__xludf.DUMMYFUNCTION("""COMPUTED_VALUE"""),"S35 Ben (2/4): I came up on the well and I see Devon, Ashley, and Lauren kinda talking under their breath. I heard my name, and then they seen me coming and they stopped talking. The whole thing was really suspicious.")</f>
        <v>S35 Ben (2/4): I came up on the well and I see Devon, Ashley, and Lauren kinda talking under their breath. I heard my name, and then they seen me coming and they stopped talking. The whole thing was really suspicious.</v>
      </c>
      <c r="N45" s="4"/>
      <c r="O45" s="3" t="str">
        <f>IFERROR(__xludf.DUMMYFUNCTION("""COMPUTED_VALUE"""),"S34 Sarah (7/9): Tai’s telling me that he can’t win, but he’s made moves and found three idols. So he has a résumé. However, Tai is so all over the place, he might have alienated the jury. And then there’s Troyzan, who hasn’t done anything without Brad’s "&amp;"permission this whole game. But at the same time, he hasn’t made anyone mad. And Sandra won twice by not making anyone mad.")</f>
        <v>S34 Sarah (7/9): Tai’s telling me that he can’t win, but he’s made moves and found three idols. So he has a résumé. However, Tai is so all over the place, he might have alienated the jury. And then there’s Troyzan, who hasn’t done anything without Brad’s permission this whole game. But at the same time, he hasn’t made anyone mad. And Sandra won twice by not making anyone mad.</v>
      </c>
      <c r="P45" s="4"/>
      <c r="Q45" s="3" t="str">
        <f>IFERROR(__xludf.DUMMYFUNCTION("""COMPUTED_VALUE"""),"S33 Adam (6/7): Yeah, I wanted to do everything I could to help Ken, because the most important thing about the challenge is Jay did not win and Dave did not win. My plan tonight is in the case that Jay does play his idol, Dave would go home.")</f>
        <v>S33 Adam (6/7): Yeah, I wanted to do everything I could to help Ken, because the most important thing about the challenge is Jay did not win and Dave did not win. My plan tonight is in the case that Jay does play his idol, Dave would go home.</v>
      </c>
      <c r="R45" s="4"/>
      <c r="S45" s="3" t="str">
        <f>IFERROR(__xludf.DUMMYFUNCTION("""COMPUTED_VALUE"""),"S32 Michele (11/12): Joe has been so strong out here and to see something medically go wrong with him, it just goes to show how crazy this game can be. And you hope that it’s gonna be okay.")</f>
        <v>S32 Michele (11/12): Joe has been so strong out here and to see something medically go wrong with him, it just goes to show how crazy this game can be. And you hope that it’s gonna be okay.</v>
      </c>
      <c r="T45" s="4"/>
      <c r="U45" s="3" t="str">
        <f>IFERROR(__xludf.DUMMYFUNCTION("""COMPUTED_VALUE"""),"S31 Jeremy (8/9): I’m trying not to let the necklace go to my head, you know, but, um, what if we made Spencer and Wentworth go against each other in a tie and make fire? Spencer came from the bottom, won a couple of immunities. He’s a smart player. Kelle"&amp;"y’s won two immunities. She’s played two Hidden Immunity Idols. She’s an underdog. It all comes down to tonight. I’m going to make my decision at Tribal whether it’s going to be Spencer or Kelley. If I want to stick with my alliance, I can stick with them"&amp;". If not, I can jump ship. This is a million dollar decision. It’s huge.")</f>
        <v>S31 Jeremy (8/9): I’m trying not to let the necklace go to my head, you know, but, um, what if we made Spencer and Wentworth go against each other in a tie and make fire? Spencer came from the bottom, won a couple of immunities. He’s a smart player. Kelley’s won two immunities. She’s played two Hidden Immunity Idols. She’s an underdog. It all comes down to tonight. I’m going to make my decision at Tribal whether it’s going to be Spencer or Kelley. If I want to stick with my alliance, I can stick with them. If not, I can jump ship. This is a million dollar decision. It’s huge.</v>
      </c>
      <c r="V45" s="4"/>
      <c r="W45" s="3" t="str">
        <f>IFERROR(__xludf.DUMMYFUNCTION("""COMPUTED_VALUE"""),"S30 Mike (6/8): At this point, me, Shirin and Jenn, we only have each other, but we're still in this game. And I'm going to keep working every angle I can until either something breaks or I go home.")</f>
        <v>S30 Mike (6/8): At this point, me, Shirin and Jenn, we only have each other, but we're still in this game. And I'm going to keep working every angle I can until either something breaks or I go home.</v>
      </c>
      <c r="X45" s="4"/>
      <c r="Y45" s="3" t="str">
        <f>IFERROR(__xludf.DUMMYFUNCTION("""COMPUTED_VALUE"""),"S29 Natalie (6/9): When I walked into Tribal, I had an Immunity Idol and my plan was basically deciding between keeping Baylor around or Jaclyn around. Trusting two family members in this situation, where I could be the outsider, just seemed like a really"&amp;" dangerous thing. So Baylor went home. Making this move, I realized that I can get rid of a couple but not be the main threat. If Keith wins tomorrow, he'd probably want to vote out Missy over me. This way, I get to go to the final three and I'm not just "&amp;"putting my fate in Missy and Baylor's hands. And Missy's case, in a final three, is so much stronger sitting next to Baylor than sitting without Baylor.")</f>
        <v>S29 Natalie (6/9): When I walked into Tribal, I had an Immunity Idol and my plan was basically deciding between keeping Baylor around or Jaclyn around. Trusting two family members in this situation, where I could be the outsider, just seemed like a really dangerous thing. So Baylor went home. Making this move, I realized that I can get rid of a couple but not be the main threat. If Keith wins tomorrow, he'd probably want to vote out Missy over me. This way, I get to go to the final three and I'm not just putting my fate in Missy and Baylor's hands. And Missy's case, in a final three, is so much stronger sitting next to Baylor than sitting without Baylor.</v>
      </c>
      <c r="Z45" s="4"/>
      <c r="AA45" s="3" t="str">
        <f>IFERROR(__xludf.DUMMYFUNCTION("""COMPUTED_VALUE"""),"S28 Tony (6/10): Winning reward – sometimes it can be very crucial in the game. I’m gonna talk to Spencer and Jeremiah because I’m thinking of blindsiding LJ. I mean, you might as well just call me “The Opportunist” because if I see an opportunity, I’m go"&amp;"nna jump on it.")</f>
        <v>S28 Tony (6/10): Winning reward – sometimes it can be very crucial in the game. I’m gonna talk to Spencer and Jeremiah because I’m thinking of blindsiding LJ. I mean, you might as well just call me “The Opportunist” because if I see an opportunity, I’m gonna jump on it.</v>
      </c>
      <c r="AB45" s="4"/>
      <c r="AC45" s="3" t="str">
        <f>IFERROR(__xludf.DUMMYFUNCTION("""COMPUTED_VALUE"""),"S27 Tyson (3/8): I never really imagined myself in this position with the Immunity Necklace on Day 37 but I'm not going to celebrate because it's not done. What I need to focus on now is how the next vote is gonna go.")</f>
        <v>S27 Tyson (3/8): I never really imagined myself in this position with the Immunity Necklace on Day 37 but I'm not going to celebrate because it's not done. What I need to focus on now is how the next vote is gonna go.</v>
      </c>
      <c r="AD45" s="4"/>
      <c r="AE45" s="3" t="str">
        <f>IFERROR(__xludf.DUMMYFUNCTION("""COMPUTED_VALUE"""),"S26 Cochran (3/9): Erik finds the idol, and I'm thinking fantastic. I can probably tell him what to do with the idol, he'll do it, and before I have a chance to start celebrating, he's already handing the idol over to Andrea. Does he learn nothing?!")</f>
        <v>S26 Cochran (3/9): Erik finds the idol, and I'm thinking fantastic. I can probably tell him what to do with the idol, he'll do it, and before I have a chance to start celebrating, he's already handing the idol over to Andrea. Does he learn nothing?!</v>
      </c>
      <c r="AF45" s="4"/>
      <c r="AG45" s="3"/>
      <c r="AH45" s="4"/>
      <c r="AI45" s="3" t="str">
        <f>IFERROR(__xludf.DUMMYFUNCTION("""COMPUTED_VALUE"""),"S24 Kim (6/7): I think the only reason Alicia would be willing to give up Tarzan, who has appeared to be one of her minions, is that she's convinced that he’s not a minion after all. That he's the mastermind who’s trying to take out her mastermind and tha"&amp;"t she was going to look like a fool.")</f>
        <v>S24 Kim (6/7): I think the only reason Alicia would be willing to give up Tarzan, who has appeared to be one of her minions, is that she's convinced that he’s not a minion after all. That he's the mastermind who’s trying to take out her mastermind and that she was going to look like a fool.</v>
      </c>
      <c r="AJ45" s="4"/>
      <c r="AK45" s="3"/>
      <c r="AL45" s="4"/>
      <c r="AM45" s="3" t="str">
        <f>IFERROR(__xludf.DUMMYFUNCTION("""COMPUTED_VALUE"""),"S22 Rob (7/8): This is my fourth time on Survivor and I've been on a lot of rewards, but I'll tell you what I've never done, is landed on top of an active volcano. Definitely one of the coolest experiences I've ever had.")</f>
        <v>S22 Rob (7/8): This is my fourth time on Survivor and I've been on a lot of rewards, but I'll tell you what I've never done, is landed on top of an active volcano. Definitely one of the coolest experiences I've ever had.</v>
      </c>
      <c r="AN45" s="4"/>
      <c r="AO45" s="3"/>
      <c r="AP45" s="4"/>
      <c r="AQ45" s="3"/>
      <c r="AR45" s="4"/>
      <c r="AS45" s="3"/>
      <c r="AT45" s="4"/>
      <c r="AU45" s="3"/>
      <c r="AV45" s="4"/>
      <c r="AW45" s="3"/>
      <c r="AX45" s="4"/>
      <c r="AY45" s="3"/>
      <c r="AZ45" s="4"/>
      <c r="BA45" s="3"/>
      <c r="BB45" s="4"/>
      <c r="BC45" s="3"/>
      <c r="BD45" s="4"/>
      <c r="BE45" s="3"/>
      <c r="BF45" s="4"/>
      <c r="BG45" s="3"/>
      <c r="BH45" s="4"/>
      <c r="BI45" s="3"/>
      <c r="BJ45" s="4"/>
      <c r="BK45" s="3" t="str">
        <f>IFERROR(__xludf.DUMMYFUNCTION("""COMPUTED_VALUE"""),"S10 Tom (1/5): There’s a possibility that after this Reward Challenge, Ian and I, we’re gonna get separated. If one of us gets to choose one other person, we can’t choose each other on this one. We’ve got to take one of the girls out of the mix, so that t"&amp;"hey’re not going to, uh, be able to throw it to each other.")</f>
        <v>S10 Tom (1/5): There’s a possibility that after this Reward Challenge, Ian and I, we’re gonna get separated. If one of us gets to choose one other person, we can’t choose each other on this one. We’ve got to take one of the girls out of the mix, so that they’re not going to, uh, be able to throw it to each other.</v>
      </c>
      <c r="BL45" s="4"/>
      <c r="BM45" s="3" t="str">
        <f>IFERROR(__xludf.DUMMYFUNCTION("""COMPUTED_VALUE"""),"S09 Chris (4/16): This horse and me had trouble getting to know each other at first, you know? It took us a while to, you know, build a trusting relationship. So, okay, well, off to a little bit of a rough start on the horse, but everything else went grea"&amp;"t. We walked down this long trail, and, uh, it was awesome just looking at everything on our way up.")</f>
        <v>S09 Chris (4/16): This horse and me had trouble getting to know each other at first, you know? It took us a while to, you know, build a trusting relationship. So, okay, well, off to a little bit of a rough start on the horse, but everything else went great. We walked down this long trail, and, uh, it was awesome just looking at everything on our way up.</v>
      </c>
      <c r="BN45" s="4"/>
      <c r="BO45" s="3" t="str">
        <f>IFERROR(__xludf.DUMMYFUNCTION("""COMPUTED_VALUE"""),"S08 Amber (7/11): I came into this game, and within the first couple of minutes Rob and I had formed an alliance. And over the first couple of days there was a lot of flirting going on, and it turned into something real. And now we have an amazing bond. A"&amp;"nd I'm so glad that that was my strategy in the beginning because look what I ended up with.")</f>
        <v>S08 Amber (7/11): I came into this game, and within the first couple of minutes Rob and I had formed an alliance. And over the first couple of days there was a lot of flirting going on, and it turned into something real. And now we have an amazing bond. And I'm so glad that that was my strategy in the beginning because look what I ended up with.</v>
      </c>
      <c r="BP45" s="4"/>
      <c r="BQ45" s="3" t="str">
        <f>IFERROR(__xludf.DUMMYFUNCTION("""COMPUTED_VALUE"""),"S07 Sandra (4/6): I am totally psyched. I am very happy knowing that there's still a chance. The only problem now is that I had so many plans of sabotage that now I have to hold off, because I think it's in my best interest not to start commotion.")</f>
        <v>S07 Sandra (4/6): I am totally psyched. I am very happy knowing that there's still a chance. The only problem now is that I had so many plans of sabotage that now I have to hold off, because I think it's in my best interest not to start commotion.</v>
      </c>
      <c r="BR45" s="4"/>
      <c r="BS45" s="3"/>
      <c r="BT45" s="4"/>
      <c r="BU45" s="3"/>
      <c r="BV45" s="4"/>
      <c r="BW45" s="3"/>
      <c r="BX45" s="4"/>
      <c r="BY45" s="3"/>
      <c r="BZ45" s="4"/>
      <c r="CA45" s="3"/>
      <c r="CB45" s="4"/>
      <c r="CC45" s="3"/>
      <c r="CD45" s="4"/>
    </row>
    <row r="46">
      <c r="A46" s="3"/>
      <c r="B46" s="4"/>
      <c r="C46" s="3" t="str">
        <f>IFERROR(__xludf.DUMMYFUNCTION("""COMPUTED_VALUE"""),"S40 Tony (6/8): I just found this news out. Kim was chirping in everybody’s ear, “Maybe it’s Tony’s time to go.” And it’s a big deal to me.")</f>
        <v>S40 Tony (6/8): I just found this news out. Kim was chirping in everybody’s ear, “Maybe it’s Tony’s time to go.” And it’s a big deal to me.</v>
      </c>
      <c r="D46" s="4"/>
      <c r="E46" s="3"/>
      <c r="F46" s="4"/>
      <c r="G46" s="3"/>
      <c r="H46" s="4"/>
      <c r="I46" s="3"/>
      <c r="J46" s="4"/>
      <c r="K46" s="3"/>
      <c r="L46" s="4"/>
      <c r="M46" s="3" t="str">
        <f>IFERROR(__xludf.DUMMYFUNCTION("""COMPUTED_VALUE"""),"S35 Ben (3/4): Something is definitely going on around here. They’re saying it’s Chrissy, but I feel like there is a chance that it’s going to be me. So I got to do whatever I have to do to keep myself in this game.")</f>
        <v>S35 Ben (3/4): Something is definitely going on around here. They’re saying it’s Chrissy, but I feel like there is a chance that it’s going to be me. So I got to do whatever I have to do to keep myself in this game.</v>
      </c>
      <c r="N46" s="4"/>
      <c r="O46" s="3" t="str">
        <f>IFERROR(__xludf.DUMMYFUNCTION("""COMPUTED_VALUE"""),"S34 Sarah (8/9): If I do this and win, I could rack up a ton of points with the jury, but I have to decide if this is a risk that I’m willing to take. It’s a coin flip, and I’ve got to pick heads or tails.")</f>
        <v>S34 Sarah (8/9): If I do this and win, I could rack up a ton of points with the jury, but I have to decide if this is a risk that I’m willing to take. It’s a coin flip, and I’ve got to pick heads or tails.</v>
      </c>
      <c r="P46" s="4"/>
      <c r="Q46" s="3" t="str">
        <f>IFERROR(__xludf.DUMMYFUNCTION("""COMPUTED_VALUE"""),"S33 Adam (7/7): I had a long conversation with Ken and Hannah, and throughout the entire conversation, I knew what I wanted to do. We have to put enough votes on Jay that if he doesn't play his idol he goes home, and we have to put enough votes on Dave th"&amp;"at if he does play his idol, Dave goes home. If we vote for Sunday, it would leave both Jay and Dave in the game, and they're two strong strategic players, so we have to make sure that one of them goes home. There are so many moving parts to tonight's vot"&amp;"e, and the worst thing that we can have is tomorrow morning Jay is still in this game with an idol in his pocket.")</f>
        <v>S33 Adam (7/7): I had a long conversation with Ken and Hannah, and throughout the entire conversation, I knew what I wanted to do. We have to put enough votes on Jay that if he doesn't play his idol he goes home, and we have to put enough votes on Dave that if he does play his idol, Dave goes home. If we vote for Sunday, it would leave both Jay and Dave in the game, and they're two strong strategic players, so we have to make sure that one of them goes home. There are so many moving parts to tonight's vote, and the worst thing that we can have is tomorrow morning Jay is still in this game with an idol in his pocket.</v>
      </c>
      <c r="R46" s="4"/>
      <c r="S46" s="3" t="str">
        <f>IFERROR(__xludf.DUMMYFUNCTION("""COMPUTED_VALUE"""),"S32 Michele (12/12): Every hour it seemed to get worse and worse, and he was doubled over, and I think he was masking a little bit of how bad, you know, how badly he was in pain.")</f>
        <v>S32 Michele (12/12): Every hour it seemed to get worse and worse, and he was doubled over, and I think he was masking a little bit of how bad, you know, how badly he was in pain.</v>
      </c>
      <c r="T46" s="4"/>
      <c r="U46" s="3" t="str">
        <f>IFERROR(__xludf.DUMMYFUNCTION("""COMPUTED_VALUE"""),"S31 Jeremy (9/9): My second chance is all about Val and the kids. I just want them to be proud of me, and I just want to take care of them. I miss them so much. I didn’t leave this long for nothing. Oh, man, can’t lose this. This is right there. It’s so c"&amp;"lose. I have a one in three shot at a million dollars. So I want to show the jury that I was in control of this game. I had two Hidden Immunity Idols, one immunity win. I surrounded myself with the right people at the right time, and even up to the end I "&amp;"feel really good. I gotta finish this game, get that money and bring it home for my family.")</f>
        <v>S31 Jeremy (9/9): My second chance is all about Val and the kids. I just want them to be proud of me, and I just want to take care of them. I miss them so much. I didn’t leave this long for nothing. Oh, man, can’t lose this. This is right there. It’s so close. I have a one in three shot at a million dollars. So I want to show the jury that I was in control of this game. I had two Hidden Immunity Idols, one immunity win. I surrounded myself with the right people at the right time, and even up to the end I feel really good. I gotta finish this game, get that money and bring it home for my family.</v>
      </c>
      <c r="V46" s="4"/>
      <c r="W46" s="3" t="str">
        <f>IFERROR(__xludf.DUMMYFUNCTION("""COMPUTED_VALUE"""),"S30 Mike (7/8): When you win immunity, we do the happy dance! We do the happy dance when we do something good! It felt amazing. And it could not have come at a better time in this game because I was 100% on the chopping block tonight.")</f>
        <v>S30 Mike (7/8): When you win immunity, we do the happy dance! We do the happy dance when we do something good! It felt amazing. And it could not have come at a better time in this game because I was 100% on the chopping block tonight.</v>
      </c>
      <c r="X46" s="4"/>
      <c r="Y46" s="3" t="str">
        <f>IFERROR(__xludf.DUMMYFUNCTION("""COMPUTED_VALUE"""),"S29 Natalie (7/9): The problem with Jaclyn is now, she's wearing a necklace. She knows she's like in the power seat but I want Keith gone and I hope that she doesn't let this power trip go to her head.")</f>
        <v>S29 Natalie (7/9): The problem with Jaclyn is now, she's wearing a necklace. She knows she's like in the power seat but I want Keith gone and I hope that she doesn't let this power trip go to her head.</v>
      </c>
      <c r="Z46" s="4"/>
      <c r="AA46" s="3" t="str">
        <f>IFERROR(__xludf.DUMMYFUNCTION("""COMPUTED_VALUE"""),"S28 Tony (7/10): Talking to Jeremiah and Spencer is allowing me to have another big move that’s gonna get me to the top. I just need them for one vote when it’s time to take LJ out and then I’ll go back to my alliance. But right now, they’re desperate. Wh"&amp;"en people are desperate, you do the thinking for them. So whatever I tell them, they’ve got to go with it. If they go against me, they’re sealing their own fate.")</f>
        <v>S28 Tony (7/10): Talking to Jeremiah and Spencer is allowing me to have another big move that’s gonna get me to the top. I just need them for one vote when it’s time to take LJ out and then I’ll go back to my alliance. But right now, they’re desperate. When people are desperate, you do the thinking for them. So whatever I tell them, they’ve got to go with it. If they go against me, they’re sealing their own fate.</v>
      </c>
      <c r="AB46" s="4"/>
      <c r="AC46" s="3" t="str">
        <f>IFERROR(__xludf.DUMMYFUNCTION("""COMPUTED_VALUE"""),"S27 Tyson (4/8): Right now, I have the Immunity Necklace and the Hidden Immunity Idol. I would definitely like to keep this idol as a souvenir and, uh, give it to Rachel. It feels good. I can relax a little bit today and the main thing is who do we vote o"&amp;"ut tonight?")</f>
        <v>S27 Tyson (4/8): Right now, I have the Immunity Necklace and the Hidden Immunity Idol. I would definitely like to keep this idol as a souvenir and, uh, give it to Rachel. It feels good. I can relax a little bit today and the main thing is who do we vote out tonight?</v>
      </c>
      <c r="AD46" s="4"/>
      <c r="AE46" s="3" t="str">
        <f>IFERROR(__xludf.DUMMYFUNCTION("""COMPUTED_VALUE"""),"S26 Cochran (4/9): I think today's Immunity Challenge and the fight demonstrated by players like Andrea and Brenda, marked possibly the beginning of the end for the alliance of six. There’s still these two easy votes in Reynold and Eddie. We can split the"&amp;" votes between the two of them, and one will be sent packing. And yet, we’re seeing the self-interested desires bubbling to the surface and people are playing for the endgame now to secure their own victory instead of a group victory.")</f>
        <v>S26 Cochran (4/9): I think today's Immunity Challenge and the fight demonstrated by players like Andrea and Brenda, marked possibly the beginning of the end for the alliance of six. There’s still these two easy votes in Reynold and Eddie. We can split the votes between the two of them, and one will be sent packing. And yet, we’re seeing the self-interested desires bubbling to the surface and people are playing for the endgame now to secure their own victory instead of a group victory.</v>
      </c>
      <c r="AF46" s="4"/>
      <c r="AG46" s="3"/>
      <c r="AH46" s="4"/>
      <c r="AI46" s="3" t="str">
        <f>IFERROR(__xludf.DUMMYFUNCTION("""COMPUTED_VALUE"""),"S24 Kim (7/7): If Alicia doesn't vote out Tarzan, I will probably vote with Christina, Alicia, and Tarzan to take Chelsea out. I feel like my struggling at this point to keep Chelsea in this game and to use an idol, that takes me to the final four no matt"&amp;"er what, seems like a really unwise decision to put everything I have on the line for Chelsea and Sabrina with six people left in this game when I know for a fact that I could sit at the final four.")</f>
        <v>S24 Kim (7/7): If Alicia doesn't vote out Tarzan, I will probably vote with Christina, Alicia, and Tarzan to take Chelsea out. I feel like my struggling at this point to keep Chelsea in this game and to use an idol, that takes me to the final four no matter what, seems like a really unwise decision to put everything I have on the line for Chelsea and Sabrina with six people left in this game when I know for a fact that I could sit at the final four.</v>
      </c>
      <c r="AJ46" s="4"/>
      <c r="AK46" s="3"/>
      <c r="AL46" s="4"/>
      <c r="AM46" s="3" t="str">
        <f>IFERROR(__xludf.DUMMYFUNCTION("""COMPUTED_VALUE"""),"S22 Rob (8/8): I've been on enough rewards to know whenever you win one, there's gotta be a clue. So immediately it hits me, the cookies are cylindrical shape. The clue's gotta be in there. And sure enough, in the center is a clue wrapped up like a cookie"&amp;". But it really doesn't even matter what it says because I already have the idol, so... (throws clue into volcano) might as well just throw it away... in the volcano! Bye-bye!")</f>
        <v>S22 Rob (8/8): I've been on enough rewards to know whenever you win one, there's gotta be a clue. So immediately it hits me, the cookies are cylindrical shape. The clue's gotta be in there. And sure enough, in the center is a clue wrapped up like a cookie. But it really doesn't even matter what it says because I already have the idol, so... (throws clue into volcano) might as well just throw it away... in the volcano! Bye-bye!</v>
      </c>
      <c r="AN46" s="4"/>
      <c r="AO46" s="3"/>
      <c r="AP46" s="4"/>
      <c r="AQ46" s="3"/>
      <c r="AR46" s="4"/>
      <c r="AS46" s="3"/>
      <c r="AT46" s="4"/>
      <c r="AU46" s="3"/>
      <c r="AV46" s="4"/>
      <c r="AW46" s="3"/>
      <c r="AX46" s="4"/>
      <c r="AY46" s="3"/>
      <c r="AZ46" s="4"/>
      <c r="BA46" s="3"/>
      <c r="BB46" s="4"/>
      <c r="BC46" s="3"/>
      <c r="BD46" s="4"/>
      <c r="BE46" s="3"/>
      <c r="BF46" s="4"/>
      <c r="BG46" s="3"/>
      <c r="BH46" s="4"/>
      <c r="BI46" s="3"/>
      <c r="BJ46" s="4"/>
      <c r="BK46" s="3" t="str">
        <f>IFERROR(__xludf.DUMMYFUNCTION("""COMPUTED_VALUE"""),"S10 Tom (2/5): We need to get back to our original alliance of Tom, Ian and Katie. I’m hoping that Ian can bring Katie around, because it really is our only play.")</f>
        <v>S10 Tom (2/5): We need to get back to our original alliance of Tom, Ian and Katie. I’m hoping that Ian can bring Katie around, because it really is our only play.</v>
      </c>
      <c r="BL46" s="4"/>
      <c r="BM46" s="3" t="str">
        <f>IFERROR(__xludf.DUMMYFUNCTION("""COMPUTED_VALUE"""),"S09 Chris (5/16): Finally, we come around the far side of Mount Yasur.")</f>
        <v>S09 Chris (5/16): Finally, we come around the far side of Mount Yasur.</v>
      </c>
      <c r="BN46" s="4"/>
      <c r="BO46" s="3" t="str">
        <f>IFERROR(__xludf.DUMMYFUNCTION("""COMPUTED_VALUE"""),"S08 Amber (8/11): The game was over. I mean, what a huge relief. What a huge weight off your shoulders to know that now it's in the jury's hands. We're done voting people off. We're done strategizing. Now we can just sit back, relax and enjoy that last da"&amp;"y. And I love that.")</f>
        <v>S08 Amber (8/11): The game was over. I mean, what a huge relief. What a huge weight off your shoulders to know that now it's in the jury's hands. We're done voting people off. We're done strategizing. Now we can just sit back, relax and enjoy that last day. And I love that.</v>
      </c>
      <c r="BP46" s="4"/>
      <c r="BQ46" s="3" t="str">
        <f>IFERROR(__xludf.DUMMYFUNCTION("""COMPUTED_VALUE"""),"S07 Sandra (5/6): When Burton and Jon come back, I'm going to do what I usually do whenever they betray me-- (chuckles) be the outcast until Jon comes to me and says, ""Don't worry, Sandra. I swear, you won't be the next to go as long as you vote this per"&amp;"son out."" ""Okay, Jon. If that'll save my skin again, then I shall do that."" I can't worry about what Lill's going to do. If every minute I'm looking over my shoulder like, ""What in the hell is Lill doing?,"" they're going to know something's up. That'"&amp;"s usually Burton's job, to keep control of everybody and figure out where everyone's at-- who's with who, who's not with who, who's peeing, who's cooking. No. I'm going to lay there and, hopefully, try to take a nap and just relax.")</f>
        <v>S07 Sandra (5/6): When Burton and Jon come back, I'm going to do what I usually do whenever they betray me-- (chuckles) be the outcast until Jon comes to me and says, "Don't worry, Sandra. I swear, you won't be the next to go as long as you vote this person out." "Okay, Jon. If that'll save my skin again, then I shall do that." I can't worry about what Lill's going to do. If every minute I'm looking over my shoulder like, "What in the hell is Lill doing?," they're going to know something's up. That's usually Burton's job, to keep control of everybody and figure out where everyone's at-- who's with who, who's not with who, who's peeing, who's cooking. No. I'm going to lay there and, hopefully, try to take a nap and just relax.</v>
      </c>
      <c r="BR46" s="4"/>
      <c r="BS46" s="3"/>
      <c r="BT46" s="4"/>
      <c r="BU46" s="3"/>
      <c r="BV46" s="4"/>
      <c r="BW46" s="3"/>
      <c r="BX46" s="4"/>
      <c r="BY46" s="3"/>
      <c r="BZ46" s="4"/>
      <c r="CA46" s="3"/>
      <c r="CB46" s="4"/>
      <c r="CC46" s="3"/>
      <c r="CD46" s="4"/>
    </row>
    <row r="47">
      <c r="A47" s="3"/>
      <c r="B47" s="4"/>
      <c r="C47" s="3" t="str">
        <f>IFERROR(__xludf.DUMMYFUNCTION("""COMPUTED_VALUE"""),"S40 Tony (7/8): I’m talking to Nick, and he’s looking at me, and he’s fumbling his words. I keep asking him, “Nick, what’s going on?” He’s always lost. Like, come on, man. Nick is lying to me right to me right in my face.")</f>
        <v>S40 Tony (7/8): I’m talking to Nick, and he’s looking at me, and he’s fumbling his words. I keep asking him, “Nick, what’s going on?” He’s always lost. Like, come on, man. Nick is lying to me right to me right in my face.</v>
      </c>
      <c r="D47" s="4"/>
      <c r="E47" s="3"/>
      <c r="F47" s="4"/>
      <c r="G47" s="3"/>
      <c r="H47" s="4"/>
      <c r="I47" s="3"/>
      <c r="J47" s="4"/>
      <c r="K47" s="3"/>
      <c r="L47" s="4"/>
      <c r="M47" s="3" t="str">
        <f>IFERROR(__xludf.DUMMYFUNCTION("""COMPUTED_VALUE"""),"S35 Ben (4/4): I was trying to talk to Chrissy, and she just blew me off. She’s holding a grudge in this game, and taking it too personal. Half of we was like, “Screw it, I have an idol.” On the other hand, I’d rather save it for the five, and to do that,"&amp;" I’m gonna need Chrissy.")</f>
        <v>S35 Ben (4/4): I was trying to talk to Chrissy, and she just blew me off. She’s holding a grudge in this game, and taking it too personal. Half of we was like, “Screw it, I have an idol.” On the other hand, I’d rather save it for the five, and to do that, I’m gonna need Chrissy.</v>
      </c>
      <c r="N47" s="4"/>
      <c r="O47" s="3" t="str">
        <f>IFERROR(__xludf.DUMMYFUNCTION("""COMPUTED_VALUE"""),"S34 Sarah (9/9): Knowing that I am in the final three is the best feeling in the world. It’s what you dream of when Jeff says the word “Go!” on Day 1. I worked my butt off to get here. I made moves that other people were scared to make. I made moves that "&amp;"I was scared to make. And I’m very proud of how I played. As a police officer, I don’t respect being lied to. It makes me feel like you think that I’m stupid. But I’m the criminal tonight. And those people on the jury are the police officers. So if they’r"&amp;"e asking for the truth, I’m going to give them the truth, because I reward honesty. I hope they reward my honesty tonight.")</f>
        <v>S34 Sarah (9/9): Knowing that I am in the final three is the best feeling in the world. It’s what you dream of when Jeff says the word “Go!” on Day 1. I worked my butt off to get here. I made moves that other people were scared to make. I made moves that I was scared to make. And I’m very proud of how I played. As a police officer, I don’t respect being lied to. It makes me feel like you think that I’m stupid. But I’m the criminal tonight. And those people on the jury are the police officers. So if they’re asking for the truth, I’m going to give them the truth, because I reward honesty. I hope they reward my honesty tonight.</v>
      </c>
      <c r="P47" s="4"/>
      <c r="Q47" s="3" t="str">
        <f>IFERROR(__xludf.DUMMYFUNCTION("""COMPUTED_VALUE"""),"S33 Adam: My mom told me, ""You can do anything that you set your mind to."" I set my mind to winning this game. I'm gonna finalize that dream.")</f>
        <v>S33 Adam: My mom told me, "You can do anything that you set your mind to." I set my mind to winning this game. I'm gonna finalize that dream.</v>
      </c>
      <c r="R47" s="4"/>
      <c r="S47" s="3" t="str">
        <f>IFERROR(__xludf.DUMMYFUNCTION("""COMPUTED_VALUE"""),"S32 Michele: I’m gonna put everything on the line. I’m a Jersey girl, and you gotta get scrappy sometimes. If I have to fight dirty, then I will.")</f>
        <v>S32 Michele: I’m gonna put everything on the line. I’m a Jersey girl, and you gotta get scrappy sometimes. If I have to fight dirty, then I will.</v>
      </c>
      <c r="T47" s="4"/>
      <c r="U47" s="3"/>
      <c r="V47" s="4"/>
      <c r="W47" s="3" t="str">
        <f>IFERROR(__xludf.DUMMYFUNCTION("""COMPUTED_VALUE"""),"S30 Mike (8/8): I gave it my best shot. I don't know if he'll come around to my way of thinking or not. I would like to think deep down in his heart of hearts Dan does still want to work with me.")</f>
        <v>S30 Mike (8/8): I gave it my best shot. I don't know if he'll come around to my way of thinking or not. I would like to think deep down in his heart of hearts Dan does still want to work with me.</v>
      </c>
      <c r="X47" s="4"/>
      <c r="Y47" s="3" t="str">
        <f>IFERROR(__xludf.DUMMYFUNCTION("""COMPUTED_VALUE"""),"S29 Natalie (8/9): I don't want Jaclyn thinking too much. “I'm trying to tell you to do what's good for you and me here. Just listen to me and let's get rid of Keith.” You know. I shouldn't spaz out but, you know, this is the end, I have a little bit room"&amp;" to be nervous.")</f>
        <v>S29 Natalie (8/9): I don't want Jaclyn thinking too much. “I'm trying to tell you to do what's good for you and me here. Just listen to me and let's get rid of Keith.” You know. I shouldn't spaz out but, you know, this is the end, I have a little bit room to be nervous.</v>
      </c>
      <c r="Z47" s="4"/>
      <c r="AA47" s="3" t="str">
        <f>IFERROR(__xludf.DUMMYFUNCTION("""COMPUTED_VALUE"""),"S28 Tony (8/10): This challenge today is huge. I’m thinking in my head: LJ’s a clever guy. It’s going to be a matter of who throws the first punch between the both of us. Timing is everything and this could be my time to strike. So if LJ doesn’t win immun"&amp;"ity, he might be the next one going home.")</f>
        <v>S28 Tony (8/10): This challenge today is huge. I’m thinking in my head: LJ’s a clever guy. It’s going to be a matter of who throws the first punch between the both of us. Timing is everything and this could be my time to strike. So if LJ doesn’t win immunity, he might be the next one going home.</v>
      </c>
      <c r="AB47" s="4"/>
      <c r="AC47" s="3" t="str">
        <f>IFERROR(__xludf.DUMMYFUNCTION("""COMPUTED_VALUE"""),"S27 Tyson (5/8): Our alliance is debating Tina versus Ciera right now and I'll probably just let Gervase and Monica figure it out and go with them because it takes a little heat off of me.")</f>
        <v>S27 Tyson (5/8): Our alliance is debating Tina versus Ciera right now and I'll probably just let Gervase and Monica figure it out and go with them because it takes a little heat off of me.</v>
      </c>
      <c r="AD47" s="4"/>
      <c r="AE47" s="3" t="str">
        <f>IFERROR(__xludf.DUMMYFUNCTION("""COMPUTED_VALUE"""),"S26 Cochran (5/9): Andrea is a smart player, and Andrea, like me, is thinking well beyond the six, and it's Andrea's opinion that the right big move to make is to blindside Brenda. She can go on an immunity streak. She’s one of the more capable challenge "&amp;"competitors in this game, but this game is all about timing.")</f>
        <v>S26 Cochran (5/9): Andrea is a smart player, and Andrea, like me, is thinking well beyond the six, and it's Andrea's opinion that the right big move to make is to blindside Brenda. She can go on an immunity streak. She’s one of the more capable challenge competitors in this game, but this game is all about timing.</v>
      </c>
      <c r="AF47" s="4"/>
      <c r="AG47" s="3"/>
      <c r="AH47" s="4"/>
      <c r="AI47" s="3" t="str">
        <f>IFERROR(__xludf.DUMMYFUNCTION("""COMPUTED_VALUE"""),"S24 Kim: I've been in the driver's seat this whole time but I feel like this game is, like, closing in on me, and I feel like if I can run just fast enough in the perfect direction, I might make it out of this tunnel before it all crashes down on my head.")</f>
        <v>S24 Kim: I've been in the driver's seat this whole time but I feel like this game is, like, closing in on me, and I feel like if I can run just fast enough in the perfect direction, I might make it out of this tunnel before it all crashes down on my head.</v>
      </c>
      <c r="AJ47" s="4"/>
      <c r="AK47" s="3"/>
      <c r="AL47" s="4"/>
      <c r="AM47" s="3" t="str">
        <f>IFERROR(__xludf.DUMMYFUNCTION("""COMPUTED_VALUE"""),"S22 Rob (1/5): If Matt wins, it's no good for me personally, because, you know, I'm the one who sent him to Redemption Island. So I'm figuring he's holding that against me. And there's a possibility he might defect to the other team. I mean, that's what I"&amp;" would do.")</f>
        <v>S22 Rob (1/5): If Matt wins, it's no good for me personally, because, you know, I'm the one who sent him to Redemption Island. So I'm figuring he's holding that against me. And there's a possibility he might defect to the other team. I mean, that's what I would do.</v>
      </c>
      <c r="AN47" s="4"/>
      <c r="AO47" s="3"/>
      <c r="AP47" s="4"/>
      <c r="AQ47" s="3"/>
      <c r="AR47" s="4"/>
      <c r="AS47" s="3"/>
      <c r="AT47" s="4"/>
      <c r="AU47" s="3"/>
      <c r="AV47" s="4"/>
      <c r="AW47" s="3"/>
      <c r="AX47" s="4"/>
      <c r="AY47" s="3"/>
      <c r="AZ47" s="4"/>
      <c r="BA47" s="3"/>
      <c r="BB47" s="4"/>
      <c r="BC47" s="3"/>
      <c r="BD47" s="4"/>
      <c r="BE47" s="3"/>
      <c r="BF47" s="4"/>
      <c r="BG47" s="3"/>
      <c r="BH47" s="4"/>
      <c r="BI47" s="3"/>
      <c r="BJ47" s="4"/>
      <c r="BK47" s="3" t="str">
        <f>IFERROR(__xludf.DUMMYFUNCTION("""COMPUTED_VALUE"""),"S10 Tom (3/5): Caryn had two options: go with the girls, or go with us and trust the guys. And Ian just wavers and said, “Well, I can’t promise and I can’t do this,” and I just said, “Oh, my God.” He better be really tight with Katie.")</f>
        <v>S10 Tom (3/5): Caryn had two options: go with the girls, or go with us and trust the guys. And Ian just wavers and said, “Well, I can’t promise and I can’t do this,” and I just said, “Oh, my God.” He better be really tight with Katie.</v>
      </c>
      <c r="BL47" s="4"/>
      <c r="BM47" s="3" t="str">
        <f>IFERROR(__xludf.DUMMYFUNCTION("""COMPUTED_VALUE"""),"S09 Chris (6/16): You know, Julie won the reward. It didn't surprise me that she picked me. She wants to go further in the game, and she knows that her name is coming up for elimination.")</f>
        <v>S09 Chris (6/16): You know, Julie won the reward. It didn't surprise me that she picked me. She wants to go further in the game, and she knows that her name is coming up for elimination.</v>
      </c>
      <c r="BN47" s="4"/>
      <c r="BO47" s="3" t="str">
        <f>IFERROR(__xludf.DUMMYFUNCTION("""COMPUTED_VALUE"""),"S08 Amber (9/11): We're taking in every last moment. We're not really taking anything for granted. So going to one of our little favorite spots and just enjoying it one last time, and knowing that nobody else was around, it was just our island. Just a gre"&amp;"at, great feeling.")</f>
        <v>S08 Amber (9/11): We're taking in every last moment. We're not really taking anything for granted. So going to one of our little favorite spots and just enjoying it one last time, and knowing that nobody else was around, it was just our island. Just a great, great feeling.</v>
      </c>
      <c r="BP47" s="4"/>
      <c r="BQ47" s="3" t="str">
        <f>IFERROR(__xludf.DUMMYFUNCTION("""COMPUTED_VALUE"""),"S07 Sandra (6/6): He was like, ""Swear on your kids."" And then he said, ""Let me see your hands,"" 'cause he didn't want me, I guess, to have my fingers crossed. How dumb is that? So, I said, ""I swear on my kids."" And in my head, in mumbling under my b"&amp;"reath, I was like, ""I swear on my kids that I'm going to screw you and Burton.""")</f>
        <v>S07 Sandra (6/6): He was like, "Swear on your kids." And then he said, "Let me see your hands," 'cause he didn't want me, I guess, to have my fingers crossed. How dumb is that? So, I said, "I swear on my kids." And in my head, in mumbling under my breath, I was like, "I swear on my kids that I'm going to screw you and Burton."</v>
      </c>
      <c r="BR47" s="4"/>
      <c r="BS47" s="3"/>
      <c r="BT47" s="4"/>
      <c r="BU47" s="3"/>
      <c r="BV47" s="4"/>
      <c r="BW47" s="3"/>
      <c r="BX47" s="4"/>
      <c r="BY47" s="3"/>
      <c r="BZ47" s="4"/>
      <c r="CA47" s="3"/>
      <c r="CB47" s="4"/>
      <c r="CC47" s="3"/>
      <c r="CD47" s="4"/>
    </row>
    <row r="48">
      <c r="A48" s="3"/>
      <c r="B48" s="4"/>
      <c r="C48" s="3" t="str">
        <f>IFERROR(__xludf.DUMMYFUNCTION("""COMPUTED_VALUE"""),"S40 Tony (8/8): So, now I’m 100% worried about Kim trying to get these lower-tier threats together. So, if Jeremy goes home, we’re screwed, ‘cause the ladies are gonna stick together and possibly use Nick.")</f>
        <v>S40 Tony (8/8): So, now I’m 100% worried about Kim trying to get these lower-tier threats together. So, if Jeremy goes home, we’re screwed, ‘cause the ladies are gonna stick together and possibly use Nick.</v>
      </c>
      <c r="D48" s="4"/>
      <c r="E48" s="3"/>
      <c r="F48" s="4"/>
      <c r="G48" s="3"/>
      <c r="H48" s="4"/>
      <c r="I48" s="3"/>
      <c r="J48" s="4"/>
      <c r="K48" s="3"/>
      <c r="L48" s="4"/>
      <c r="M48" s="3" t="str">
        <f>IFERROR(__xludf.DUMMYFUNCTION("""COMPUTED_VALUE"""),"S35 Ben (1/12): I am so excited. I can’t believe that just happened. You know, the only way I felt I could keep me in the game is to turn everyone on me and paint a target on myself and then use the idol and get Lauren out. Seeing six votes for yourself, "&amp;"and then, you know, you pulling off the only, you know, vote and getting to choose solely on who gets to… (chuckles) go home, I mean, that’s a good feeling.")</f>
        <v>S35 Ben (1/12): I am so excited. I can’t believe that just happened. You know, the only way I felt I could keep me in the game is to turn everyone on me and paint a target on myself and then use the idol and get Lauren out. Seeing six votes for yourself, and then, you know, you pulling off the only, you know, vote and getting to choose solely on who gets to… (chuckles) go home, I mean, that’s a good feeling.</v>
      </c>
      <c r="N48" s="4"/>
      <c r="O48" s="3"/>
      <c r="P48" s="4"/>
      <c r="Q48" s="3" t="str">
        <f>IFERROR(__xludf.DUMMYFUNCTION("""COMPUTED_VALUE"""),"S33 Adam (1/8): Bret is definitely a threat, but this is an opportunity to finally take out Jay. He could very well win two more individual Immunity Challenges and end up in the final three and win this game.")</f>
        <v>S33 Adam (1/8): Bret is definitely a threat, but this is an opportunity to finally take out Jay. He could very well win two more individual Immunity Challenges and end up in the final three and win this game.</v>
      </c>
      <c r="R48" s="4"/>
      <c r="S48" s="3" t="str">
        <f>IFERROR(__xludf.DUMMYFUNCTION("""COMPUTED_VALUE"""),"S32 Michele (1/12): Now that Joe was pulled from the game, alliances, they’re being reshifted. Everyone is trying to scramble for power. The beauty of this game is that you never know what’s gonna happen, and everything is up in the air right now. It’s an"&amp;"yone's game if you play your cards right.")</f>
        <v>S32 Michele (1/12): Now that Joe was pulled from the game, alliances, they’re being reshifted. Everyone is trying to scramble for power. The beauty of this game is that you never know what’s gonna happen, and everything is up in the air right now. It’s anyone's game if you play your cards right.</v>
      </c>
      <c r="T48" s="4"/>
      <c r="U48" s="3"/>
      <c r="V48" s="4"/>
      <c r="W48" s="3" t="str">
        <f>IFERROR(__xludf.DUMMYFUNCTION("""COMPUTED_VALUE"""),"S30 Mike (1/3): The Reward Challenge started off really, really good. We had a lead but lost it. It was me doing the work while three other people stood around and watched. It ended up being the losing strategy. You know, I'm just gonna take full credit f"&amp;"or that. If my tribemates are mad at me, I mean, how much more mad can they be? I'm already their number one public enemy. So I got nothing to lose at this point.")</f>
        <v>S30 Mike (1/3): The Reward Challenge started off really, really good. We had a lead but lost it. It was me doing the work while three other people stood around and watched. It ended up being the losing strategy. You know, I'm just gonna take full credit for that. If my tribemates are mad at me, I mean, how much more mad can they be? I'm already their number one public enemy. So I got nothing to lose at this point.</v>
      </c>
      <c r="X48" s="4"/>
      <c r="Y48" s="3" t="str">
        <f>IFERROR(__xludf.DUMMYFUNCTION("""COMPUTED_VALUE"""),"S29 Natalie (9/9): I've actually learned a lot about myself. The fact that I was able to navigate through this without the one comfort I've had my entire life, which is Nadiya, and I was able to do this on my own makes me really proud. And I know, our par"&amp;"ents will be proud too because they feel like we can't do anything without each other. Now I need to really work though what I'm going to say to the jury. I don't want to leave having any regrets about this Final Tribal. I can't leave anything up to fate."&amp;" I gotta do the jury job for them. I gotta make them see why they need to pick me and why I deserve to be the Sole Survivor.")</f>
        <v>S29 Natalie (9/9): I've actually learned a lot about myself. The fact that I was able to navigate through this without the one comfort I've had my entire life, which is Nadiya, and I was able to do this on my own makes me really proud. And I know, our parents will be proud too because they feel like we can't do anything without each other. Now I need to really work though what I'm going to say to the jury. I don't want to leave having any regrets about this Final Tribal. I can't leave anything up to fate. I gotta do the jury job for them. I gotta make them see why they need to pick me and why I deserve to be the Sole Survivor.</v>
      </c>
      <c r="Z48" s="4"/>
      <c r="AA48" s="3" t="str">
        <f>IFERROR(__xludf.DUMMYFUNCTION("""COMPUTED_VALUE"""),"S28 Tony (9/10): Here’s the deal: I’m not going to wait to get a punch thrown at me by LJ. He said he was willing to blindside Woo. It’s true I kind of set him up, but I don’t care. I’m gonna try to pin all the trouble making around camp on LJ because tha"&amp;"t’s what I have to do. LJ’s a threat. So I gotta strike now before he gets the idea of doing it to me. But first, I have a lot of work to do.")</f>
        <v>S28 Tony (9/10): Here’s the deal: I’m not going to wait to get a punch thrown at me by LJ. He said he was willing to blindside Woo. It’s true I kind of set him up, but I don’t care. I’m gonna try to pin all the trouble making around camp on LJ because that’s what I have to do. LJ’s a threat. So I gotta strike now before he gets the idea of doing it to me. But first, I have a lot of work to do.</v>
      </c>
      <c r="AB48" s="4"/>
      <c r="AC48" s="3" t="str">
        <f>IFERROR(__xludf.DUMMYFUNCTION("""COMPUTED_VALUE"""),"S27 Tyson (6/8): Since the merge, I felt safe 'cause I did have the Hidden Immunity Idol, but idols don't exist right now, they're all done. And we're down to one of the last days and now I need it more than ever. It's make or break. It's do or die right "&amp;"now. So, the most important part of the game is still to come.")</f>
        <v>S27 Tyson (6/8): Since the merge, I felt safe 'cause I did have the Hidden Immunity Idol, but idols don't exist right now, they're all done. And we're down to one of the last days and now I need it more than ever. It's make or break. It's do or die right now. So, the most important part of the game is still to come.</v>
      </c>
      <c r="AD48" s="4"/>
      <c r="AE48" s="3" t="str">
        <f>IFERROR(__xludf.DUMMYFUNCTION("""COMPUTED_VALUE"""),"S26 Cochran (6/9): I'm all about making big moves, and Andrea to her credit, is willing to make a big move, but it's a big move I don't agree with. Once again, she's talking about taking out Brenda, but also Dawn, who’s probably my closest ally in this ga"&amp;"me.")</f>
        <v>S26 Cochran (6/9): I'm all about making big moves, and Andrea to her credit, is willing to make a big move, but it's a big move I don't agree with. Once again, she's talking about taking out Brenda, but also Dawn, who’s probably my closest ally in this game.</v>
      </c>
      <c r="AF48" s="4"/>
      <c r="AG48" s="3"/>
      <c r="AH48" s="4"/>
      <c r="AI48" s="3" t="str">
        <f>IFERROR(__xludf.DUMMYFUNCTION("""COMPUTED_VALUE"""),"S24 Kim (1/8): It's a good moment coming back to camp tonight after Tribal to, like, walk into camp and reflect on how far we've come as women, like, from Day 1, being miserable with a crappy little shelter, no fire. And to walk in with good friends and h"&amp;"ave a decent shelter to sleep in tonight. But tomorrow I'm going to wake up and I'm going to play as hard as I can, and that's how I plan to finish the game.")</f>
        <v>S24 Kim (1/8): It's a good moment coming back to camp tonight after Tribal to, like, walk into camp and reflect on how far we've come as women, like, from Day 1, being miserable with a crappy little shelter, no fire. And to walk in with good friends and have a decent shelter to sleep in tonight. But tomorrow I'm going to wake up and I'm going to play as hard as I can, and that's how I plan to finish the game.</v>
      </c>
      <c r="AJ48" s="4"/>
      <c r="AK48" s="3"/>
      <c r="AL48" s="4"/>
      <c r="AM48" s="3" t="str">
        <f>IFERROR(__xludf.DUMMYFUNCTION("""COMPUTED_VALUE"""),"S22 Rob (2/5): Murlonio doesn't mean anything. It's just an inside joke between Amber and I. She has bunch of stuffed animals and Murlonio is like the ringleader. So that's the name of our new tribe.")</f>
        <v>S22 Rob (2/5): Murlonio doesn't mean anything. It's just an inside joke between Amber and I. She has bunch of stuffed animals and Murlonio is like the ringleader. So that's the name of our new tribe.</v>
      </c>
      <c r="AN48" s="4"/>
      <c r="AO48" s="3"/>
      <c r="AP48" s="4"/>
      <c r="AQ48" s="3"/>
      <c r="AR48" s="4"/>
      <c r="AS48" s="3"/>
      <c r="AT48" s="4"/>
      <c r="AU48" s="3"/>
      <c r="AV48" s="4"/>
      <c r="AW48" s="3"/>
      <c r="AX48" s="4"/>
      <c r="AY48" s="3"/>
      <c r="AZ48" s="4"/>
      <c r="BA48" s="3"/>
      <c r="BB48" s="4"/>
      <c r="BC48" s="3"/>
      <c r="BD48" s="4"/>
      <c r="BE48" s="3"/>
      <c r="BF48" s="4"/>
      <c r="BG48" s="3"/>
      <c r="BH48" s="4"/>
      <c r="BI48" s="3"/>
      <c r="BJ48" s="4"/>
      <c r="BK48" s="3" t="str">
        <f>IFERROR(__xludf.DUMMYFUNCTION("""COMPUTED_VALUE"""),"S10 Tom (4/5): At this point now, it-- it’s, uh, scrambling. You know, save your own neck, and, uh, you can take that alliance so far, and then everybody looks out for their own better interests and it’s usually that weakest person in the alliance who’s g"&amp;"onna flop to the other majority. Katie’s the weaker member, and she’s looking to better-deal us now. I don’t hold it against her for doing it, but that is the reality of this game.")</f>
        <v>S10 Tom (4/5): At this point now, it-- it’s, uh, scrambling. You know, save your own neck, and, uh, you can take that alliance so far, and then everybody looks out for their own better interests and it’s usually that weakest person in the alliance who’s gonna flop to the other majority. Katie’s the weaker member, and she’s looking to better-deal us now. I don’t hold it against her for doing it, but that is the reality of this game.</v>
      </c>
      <c r="BL48" s="4"/>
      <c r="BM48" s="3" t="str">
        <f>IFERROR(__xludf.DUMMYFUNCTION("""COMPUTED_VALUE"""),"S09 Chris (7/16): Me and Julie got a little bit of a, you know, a bond between us. You know, she let me know that she doesn't wanna leave. She wants to stay in the game.")</f>
        <v>S09 Chris (7/16): Me and Julie got a little bit of a, you know, a bond between us. You know, she let me know that she doesn't wanna leave. She wants to stay in the game.</v>
      </c>
      <c r="BN48" s="4"/>
      <c r="BO48" s="3" t="str">
        <f>IFERROR(__xludf.DUMMYFUNCTION("""COMPUTED_VALUE"""),"S08 Amber (10/11): There is a very important night coming up. And there are a lot of anxious people who are really looking forward to grilling us. I hope I'm not forced into saying why they should pick me over Rob.")</f>
        <v>S08 Amber (10/11): There is a very important night coming up. And there are a lot of anxious people who are really looking forward to grilling us. I hope I'm not forced into saying why they should pick me over Rob.</v>
      </c>
      <c r="BP48" s="4"/>
      <c r="BQ48" s="3" t="str">
        <f>IFERROR(__xludf.DUMMYFUNCTION("""COMPUTED_VALUE"""),"S07 Sandra (1/9): I got four letters from home: one from my husband, my two girls and my mom. So l started crying because you can't help but to cry. It really felt good at a time like this when you got so many other things on your mind, and you do worry a"&amp;"bout your family. And then, to get a letter and know that everything's okay, okay fine, then l don't have to worry about them anymore. Now, it's time to focus on the end of the game.")</f>
        <v>S07 Sandra (1/9): I got four letters from home: one from my husband, my two girls and my mom. So l started crying because you can't help but to cry. It really felt good at a time like this when you got so many other things on your mind, and you do worry about your family. And then, to get a letter and know that everything's okay, okay fine, then l don't have to worry about them anymore. Now, it's time to focus on the end of the game.</v>
      </c>
      <c r="BR48" s="4"/>
      <c r="BS48" s="3"/>
      <c r="BT48" s="4"/>
      <c r="BU48" s="3"/>
      <c r="BV48" s="4"/>
      <c r="BW48" s="3"/>
      <c r="BX48" s="4"/>
      <c r="BY48" s="3"/>
      <c r="BZ48" s="4"/>
      <c r="CA48" s="3"/>
      <c r="CB48" s="4"/>
      <c r="CC48" s="3"/>
      <c r="CD48" s="4"/>
    </row>
    <row r="49">
      <c r="A49" s="3"/>
      <c r="B49" s="4"/>
      <c r="C49" s="3" t="str">
        <f>IFERROR(__xludf.DUMMYFUNCTION("""COMPUTED_VALUE"""),"S40 Tony (1/5): This thing, right, with Jeremy-- he’s a fireman. I’m a police officer. We’re always feuding, and-and we have a little rivalry going. It’s for fun over here on Survivor. But I know Jeremy is a number for me. I know he trusts me. So, right n"&amp;"ow, my plan is to try to keep Jeremy around. Because if Jeremy goes home, the hyenas are gonna come out in a full pack and start attacking us.")</f>
        <v>S40 Tony (1/5): This thing, right, with Jeremy-- he’s a fireman. I’m a police officer. We’re always feuding, and-and we have a little rivalry going. It’s for fun over here on Survivor. But I know Jeremy is a number for me. I know he trusts me. So, right now, my plan is to try to keep Jeremy around. Because if Jeremy goes home, the hyenas are gonna come out in a full pack and start attacking us.</v>
      </c>
      <c r="D49" s="4"/>
      <c r="E49" s="3"/>
      <c r="F49" s="4"/>
      <c r="G49" s="3"/>
      <c r="H49" s="4"/>
      <c r="I49" s="3"/>
      <c r="J49" s="4"/>
      <c r="K49" s="3"/>
      <c r="L49" s="4"/>
      <c r="M49" s="3" t="str">
        <f>IFERROR(__xludf.DUMMYFUNCTION("""COMPUTED_VALUE"""),"S35 Ben (2/12): I got Devon who is calling me out, and everybody is painting me the bad guy, and, uh, you know, I have no alliances anymore. So I got a long, hard road ahead of me now.")</f>
        <v>S35 Ben (2/12): I got Devon who is calling me out, and everybody is painting me the bad guy, and, uh, you know, I have no alliances anymore. So I got a long, hard road ahead of me now.</v>
      </c>
      <c r="N49" s="4"/>
      <c r="O49" s="3"/>
      <c r="P49" s="4"/>
      <c r="Q49" s="3" t="str">
        <f>IFERROR(__xludf.DUMMYFUNCTION("""COMPUTED_VALUE"""),"S33 Adam (2/8): Tonight is a very tough decision. I could save Jay. We share this weird relationship where we're bitter rivals but we also have grown into this brotherly love, and I genuinely believe that Jay wants to take me to the end. He's promised me "&amp;"final three. The question is: Could I beat him?")</f>
        <v>S33 Adam (2/8): Tonight is a very tough decision. I could save Jay. We share this weird relationship where we're bitter rivals but we also have grown into this brotherly love, and I genuinely believe that Jay wants to take me to the end. He's promised me final three. The question is: Could I beat him?</v>
      </c>
      <c r="R49" s="4"/>
      <c r="S49" s="3" t="str">
        <f>IFERROR(__xludf.DUMMYFUNCTION("""COMPUTED_VALUE"""),"S32 Michele (2/12): I think Aubry made a really poor choice of her Reward Challenge. She chose Cydney last time and left me and Tai on the outs, and then she gets the reward today and she chooses Cydney again. That made me think, “Well, I have to make sur"&amp;"e that I have a backup plan.” It took Aubry winning to kick me in the ass and make me start thinking a little bit outside of the box.")</f>
        <v>S32 Michele (2/12): I think Aubry made a really poor choice of her Reward Challenge. She chose Cydney last time and left me and Tai on the outs, and then she gets the reward today and she chooses Cydney again. That made me think, “Well, I have to make sure that I have a backup plan.” It took Aubry winning to kick me in the ass and make me start thinking a little bit outside of the box.</v>
      </c>
      <c r="T49" s="4"/>
      <c r="U49" s="3"/>
      <c r="V49" s="4"/>
      <c r="W49" s="3" t="str">
        <f>IFERROR(__xludf.DUMMYFUNCTION("""COMPUTED_VALUE"""),"S30 Mike (2/3): I won. It feels pretty good. It feels pretty awesome. And today I don't have to worry about anything, because I'm safe. But I'm not guaranteed to win the next immunity, so I got some work to do in order to get myself further in this game.")</f>
        <v>S30 Mike (2/3): I won. It feels pretty good. It feels pretty awesome. And today I don't have to worry about anything, because I'm safe. But I'm not guaranteed to win the next immunity, so I got some work to do in order to get myself further in this game.</v>
      </c>
      <c r="X49" s="4"/>
      <c r="Y49" s="3"/>
      <c r="Z49" s="4"/>
      <c r="AA49" s="3" t="str">
        <f>IFERROR(__xludf.DUMMYFUNCTION("""COMPUTED_VALUE"""),"S28 Tony (10/10): Right now, I have a huge plan in play, but Trish is telling me let’s just keep the Six strong. So if I get rid of LJ, there’s going to be a lot of hard feelings. Trish has been with me since Day One. She’s my closest ally, but if I do th"&amp;"is, she might turn her back on me and the whole thing could blow up in my face. If that’s the case, then I’m going to have to stick with my alliance. I’d rather make my power move now, but in life, as in Survivor, you’ve got to know when to kiss ass and g"&amp;"otta know when to kick ass. And unfortunately I’m in a position right now where I might have to kiss ass and get rid of Spencer or Jeremiah.")</f>
        <v>S28 Tony (10/10): Right now, I have a huge plan in play, but Trish is telling me let’s just keep the Six strong. So if I get rid of LJ, there’s going to be a lot of hard feelings. Trish has been with me since Day One. She’s my closest ally, but if I do this, she might turn her back on me and the whole thing could blow up in my face. If that’s the case, then I’m going to have to stick with my alliance. I’d rather make my power move now, but in life, as in Survivor, you’ve got to know when to kiss ass and gotta know when to kick ass. And unfortunately I’m in a position right now where I might have to kiss ass and get rid of Spencer or Jeremiah.</v>
      </c>
      <c r="AB49" s="4"/>
      <c r="AC49" s="3" t="str">
        <f>IFERROR(__xludf.DUMMYFUNCTION("""COMPUTED_VALUE"""),"S27 Tyson (7/8): This is the first time I've made it to Day 39 and I have a lot of best days in my life... winning the challenge today, is probably pretty close. So, we'll see if I can top it tomorrow by giving a speech so awesome that I win a million dol"&amp;"lars. But right now, this is the best day of my life.")</f>
        <v>S27 Tyson (7/8): This is the first time I've made it to Day 39 and I have a lot of best days in my life... winning the challenge today, is probably pretty close. So, we'll see if I can top it tomorrow by giving a speech so awesome that I win a million dollars. But right now, this is the best day of my life.</v>
      </c>
      <c r="AD49" s="4"/>
      <c r="AE49" s="3" t="str">
        <f>IFERROR(__xludf.DUMMYFUNCTION("""COMPUTED_VALUE"""),"S26 Cochran (7/9): Andrea, I think, is one of the few remaining independent thinkers, and that's a dangerous thing, and the time to make a big move is rapidly approaching. So if Andrea doesn't win the next Immunity Challenge and she doesn't play the idol,"&amp;" she might be going home.")</f>
        <v>S26 Cochran (7/9): Andrea, I think, is one of the few remaining independent thinkers, and that's a dangerous thing, and the time to make a big move is rapidly approaching. So if Andrea doesn't win the next Immunity Challenge and she doesn't play the idol, she might be going home.</v>
      </c>
      <c r="AF49" s="4"/>
      <c r="AG49" s="3"/>
      <c r="AH49" s="4"/>
      <c r="AI49" s="3" t="str">
        <f>IFERROR(__xludf.DUMMYFUNCTION("""COMPUTED_VALUE"""),"S24 Kim (2/8): Winning the Immunity Idol today, huge, but also feels funny. I have so many options and things running around in my head that I feel like my head is about to explode. At this point in the game, every person I send to the jury is either a vo"&amp;"te for me or against me, I have to start running numbers, like, it's huge. Every person you send home could make the difference.")</f>
        <v>S24 Kim (2/8): Winning the Immunity Idol today, huge, but also feels funny. I have so many options and things running around in my head that I feel like my head is about to explode. At this point in the game, every person I send to the jury is either a vote for me or against me, I have to start running numbers, like, it's huge. Every person you send home could make the difference.</v>
      </c>
      <c r="AJ49" s="4"/>
      <c r="AK49" s="3"/>
      <c r="AL49" s="4"/>
      <c r="AM49" s="3" t="str">
        <f>IFERROR(__xludf.DUMMYFUNCTION("""COMPUTED_VALUE"""),"S22 Rob (3/5): There's like a Christian coalition brewing here in Nicaragua. Look, I got nothing against God. I mean, I go to church on Sunday, but anytime a group of individuals likes the same thing, I don't like that. It could be romantic comedies. It c"&amp;"ould be Oreo cookies. If they're all liking it together, I want that broken up. Who knows? Mike, maybe he already thinks he's going to grab one or two of them. Can't let that happen. If Mike doesn't win individual immunity I feel like, you know, he should"&amp;" be the first sent over there to Redemption Island.")</f>
        <v>S22 Rob (3/5): There's like a Christian coalition brewing here in Nicaragua. Look, I got nothing against God. I mean, I go to church on Sunday, but anytime a group of individuals likes the same thing, I don't like that. It could be romantic comedies. It could be Oreo cookies. If they're all liking it together, I want that broken up. Who knows? Mike, maybe he already thinks he's going to grab one or two of them. Can't let that happen. If Mike doesn't win individual immunity I feel like, you know, he should be the first sent over there to Redemption Island.</v>
      </c>
      <c r="AN49" s="4"/>
      <c r="AO49" s="3"/>
      <c r="AP49" s="4"/>
      <c r="AQ49" s="3"/>
      <c r="AR49" s="4"/>
      <c r="AS49" s="3"/>
      <c r="AT49" s="4"/>
      <c r="AU49" s="3"/>
      <c r="AV49" s="4"/>
      <c r="AW49" s="3"/>
      <c r="AX49" s="4"/>
      <c r="AY49" s="3"/>
      <c r="AZ49" s="4"/>
      <c r="BA49" s="3"/>
      <c r="BB49" s="4"/>
      <c r="BC49" s="3"/>
      <c r="BD49" s="4"/>
      <c r="BE49" s="3"/>
      <c r="BF49" s="4"/>
      <c r="BG49" s="3"/>
      <c r="BH49" s="4"/>
      <c r="BI49" s="3"/>
      <c r="BJ49" s="4"/>
      <c r="BK49" s="3" t="str">
        <f>IFERROR(__xludf.DUMMYFUNCTION("""COMPUTED_VALUE"""),"S10 Tom (5/5): I said this morning that immunity was about as important as it’s ever going to be for me today, and, uh, I pulled another one out of the hat. Just, uh, got lucky. There may still be a female alliance, and they may be taking out Ian tonight,"&amp;" and, uh, if he’s gone -- um, and I’ve done everything I can to keep him here -- then it’s an alliance of three against me, and any immunity I don’t win, I’m gone.")</f>
        <v>S10 Tom (5/5): I said this morning that immunity was about as important as it’s ever going to be for me today, and, uh, I pulled another one out of the hat. Just, uh, got lucky. There may still be a female alliance, and they may be taking out Ian tonight, and, uh, if he’s gone -- um, and I’ve done everything I can to keep him here -- then it’s an alliance of three against me, and any immunity I don’t win, I’m gone.</v>
      </c>
      <c r="BL49" s="4"/>
      <c r="BM49" s="3" t="str">
        <f>IFERROR(__xludf.DUMMYFUNCTION("""COMPUTED_VALUE"""),"S09 Chris (8/16): I don't know, Julie worked it pretty good. There's nothing that Julie or Eliza would like more than for me to jump on their side and vote off Twila. And I didn't tell her no. I'm the last guy standing. I sit and I think, ""Is this a bad "&amp;"thing or a good thing?"" I just haven't decided yet.")</f>
        <v>S09 Chris (8/16): I don't know, Julie worked it pretty good. There's nothing that Julie or Eliza would like more than for me to jump on their side and vote off Twila. And I didn't tell her no. I'm the last guy standing. I sit and I think, "Is this a bad thing or a good thing?" I just haven't decided yet.</v>
      </c>
      <c r="BN49" s="4"/>
      <c r="BO49" s="3" t="str">
        <f>IFERROR(__xludf.DUMMYFUNCTION("""COMPUTED_VALUE"""),"S08 Amber (11/11): The way the day is ending with this rain and being miserable is, of course, bringing on the miserable feelings of going to Tribal Council. I think the vibe of the jury tonight is going to be pretty cold. You know, they came out here wit"&amp;"h their second chance, and the fact that they didn't get to finish it and we did... I don't think they're going to make this easy for us at all. I think the jury would love to see Rob and I squirm.")</f>
        <v>S08 Amber (11/11): The way the day is ending with this rain and being miserable is, of course, bringing on the miserable feelings of going to Tribal Council. I think the vibe of the jury tonight is going to be pretty cold. You know, they came out here with their second chance, and the fact that they didn't get to finish it and we did... I don't think they're going to make this easy for us at all. I think the jury would love to see Rob and I squirm.</v>
      </c>
      <c r="BP49" s="4"/>
      <c r="BQ49" s="3" t="str">
        <f>IFERROR(__xludf.DUMMYFUNCTION("""COMPUTED_VALUE"""),"S07 Sandra (2/9): We went to get water and Darrah was just talking about, ""We need to get rid of Lill. I think it would be good to keep Jon,"" um, “because he would be perfect to go into the final two."" So, now, she's thinking Jon. Fine. It could be Lil"&amp;"l as long as it's not me. I come back, Darrah takes off. Now, Lill comes to me with her own strategy.")</f>
        <v>S07 Sandra (2/9): We went to get water and Darrah was just talking about, "We need to get rid of Lill. I think it would be good to keep Jon," um, “because he would be perfect to go into the final two." So, now, she's thinking Jon. Fine. It could be Lill as long as it's not me. I come back, Darrah takes off. Now, Lill comes to me with her own strategy.</v>
      </c>
      <c r="BR49" s="4"/>
      <c r="BS49" s="3"/>
      <c r="BT49" s="4"/>
      <c r="BU49" s="3"/>
      <c r="BV49" s="4"/>
      <c r="BW49" s="3"/>
      <c r="BX49" s="4"/>
      <c r="BY49" s="3"/>
      <c r="BZ49" s="4"/>
      <c r="CA49" s="3"/>
      <c r="CB49" s="4"/>
      <c r="CC49" s="3"/>
      <c r="CD49" s="4"/>
    </row>
    <row r="50">
      <c r="A50" s="3"/>
      <c r="B50" s="4"/>
      <c r="C50" s="3" t="str">
        <f>IFERROR(__xludf.DUMMYFUNCTION("""COMPUTED_VALUE"""),"S40 Tony (2/5): So, Sarah and I, we’ve played this game. Six years ago, we formed an alliance, Cops-R-Us, and I burned her.")</f>
        <v>S40 Tony (2/5): So, Sarah and I, we’ve played this game. Six years ago, we formed an alliance, Cops-R-Us, and I burned her.</v>
      </c>
      <c r="D50" s="4"/>
      <c r="E50" s="3"/>
      <c r="F50" s="4"/>
      <c r="G50" s="3"/>
      <c r="H50" s="4"/>
      <c r="I50" s="3"/>
      <c r="J50" s="4"/>
      <c r="K50" s="3"/>
      <c r="L50" s="4"/>
      <c r="M50" s="3" t="str">
        <f>IFERROR(__xludf.DUMMYFUNCTION("""COMPUTED_VALUE"""),"S35 Ben (3/12): Traditionally in Survivor, once an idol is played, it gets introduced back into the game. So I get up this morning, and-and the fire is not going, and so I make a fire and kind of look around, and everybody is still sleeping. There’s not m"&amp;"uch wood, so I’m going to start looking for an idol while I… (air quotes) “gather wood,” you know? Idols are not easy to find at all. These forests and these jungles and these islands are huge, but the last time I found one there was a rock that said dig "&amp;"on it. So I’m looking for something like that. I’m looking in trees, looking at rocks. I’m looking on the ground. I’m looking everywhere.")</f>
        <v>S35 Ben (3/12): Traditionally in Survivor, once an idol is played, it gets introduced back into the game. So I get up this morning, and-and the fire is not going, and so I make a fire and kind of look around, and everybody is still sleeping. There’s not much wood, so I’m going to start looking for an idol while I… (air quotes) “gather wood,” you know? Idols are not easy to find at all. These forests and these jungles and these islands are huge, but the last time I found one there was a rock that said dig on it. So I’m looking for something like that. I’m looking in trees, looking at rocks. I’m looking on the ground. I’m looking everywhere.</v>
      </c>
      <c r="N50" s="4"/>
      <c r="O50" s="3"/>
      <c r="P50" s="4"/>
      <c r="Q50" s="3" t="str">
        <f>IFERROR(__xludf.DUMMYFUNCTION("""COMPUTED_VALUE"""),"S33 Adam (3/8): I was this close to having a guaranteed ticket to the final four, and I dropped the ball. But the fact that Dave didn't win is huge for my game, because I need Dave to go home tonight. More important than strategizing with people this afte"&amp;"rnoon, is making sure that if there is an idol out here, it doesn't end up in Dave's pocket. I know that Bret's on my side, and I know that Hannah is on my side, but an idol can screw everything up. Dave is an incredible guy, but it's why he needs to go, "&amp;"because he would win this game. I'm terrified that if this thing isn't out there, it probably means that Dave already has it.")</f>
        <v>S33 Adam (3/8): I was this close to having a guaranteed ticket to the final four, and I dropped the ball. But the fact that Dave didn't win is huge for my game, because I need Dave to go home tonight. More important than strategizing with people this afternoon, is making sure that if there is an idol out here, it doesn't end up in Dave's pocket. I know that Bret's on my side, and I know that Hannah is on my side, but an idol can screw everything up. Dave is an incredible guy, but it's why he needs to go, because he would win this game. I'm terrified that if this thing isn't out there, it probably means that Dave already has it.</v>
      </c>
      <c r="R50" s="4"/>
      <c r="S50" s="3" t="str">
        <f>IFERROR(__xludf.DUMMYFUNCTION("""COMPUTED_VALUE"""),"S32 Michele (3/12): It feels surreal to have the necklace on and know that I’m in the final three. Two days ago, nobody really gave a crap where I stood, you know, like I could have been going home tonight if I didn’t win, and, you know, now I feel that I"&amp;" am in kind of a power position. I’ve built relationships with all three of these people, so it’s going to be sad to see one of them go, but this vote, it will decide who I go to the end with, and if I pick the wrong person, boom, there goes the million d"&amp;"ollars.")</f>
        <v>S32 Michele (3/12): It feels surreal to have the necklace on and know that I’m in the final three. Two days ago, nobody really gave a crap where I stood, you know, like I could have been going home tonight if I didn’t win, and, you know, now I feel that I am in kind of a power position. I’ve built relationships with all three of these people, so it’s going to be sad to see one of them go, but this vote, it will decide who I go to the end with, and if I pick the wrong person, boom, there goes the million dollars.</v>
      </c>
      <c r="T50" s="4"/>
      <c r="U50" s="3"/>
      <c r="V50" s="4"/>
      <c r="W50" s="3" t="str">
        <f>IFERROR(__xludf.DUMMYFUNCTION("""COMPUTED_VALUE"""),"S30 Mike (3/3): There was a time in this game when I would have said Dan is my strongest ally, but I screwed up and I wish there was a way that I could convince him of how loyal I truly am to him. But Dan is unwilling to give me a chance. So now I see wha"&amp;"t kind of a person he truly is, and it's sad that you put your faith and trust in someone and, uh, they turn out being a lot different than you thought they were. This whole game I've been playing ninety to nothing. And there is definitely some strategy t"&amp;"o be thought of about using the Hidden Immunity Idol tonight, for the simple fact that I could get a big threat out of this game. Everyone is going to be voting Shirin. I could literally give the idol to Shirin and shake this game all up again. Who knows?"&amp;" Let's see where the chips fall and maybe those chips will fall in my direction.")</f>
        <v>S30 Mike (3/3): There was a time in this game when I would have said Dan is my strongest ally, but I screwed up and I wish there was a way that I could convince him of how loyal I truly am to him. But Dan is unwilling to give me a chance. So now I see what kind of a person he truly is, and it's sad that you put your faith and trust in someone and, uh, they turn out being a lot different than you thought they were. This whole game I've been playing ninety to nothing. And there is definitely some strategy to be thought of about using the Hidden Immunity Idol tonight, for the simple fact that I could get a big threat out of this game. Everyone is going to be voting Shirin. I could literally give the idol to Shirin and shake this game all up again. Who knows? Let's see where the chips fall and maybe those chips will fall in my direction.</v>
      </c>
      <c r="X50" s="4"/>
      <c r="Y50" s="3"/>
      <c r="Z50" s="4"/>
      <c r="AA50" s="3" t="str">
        <f>IFERROR(__xludf.DUMMYFUNCTION("""COMPUTED_VALUE"""),"S28 Tony (1/9): Right now, my red flag is raised because I blindsided LJ. I’m in trouble, so I’m gonna have to do something to get myself out of it. Most people, including myself, we go all the way to the water well ‘cause it’s a bit further away from cam"&amp;"p where people can’t hear you and that’s where they talk strategy. So I started working on some blueprints to make a nice little shack around the water well. The water well is here, there’s a tree there and I put some bushes and some shrubs and some broke"&amp;"n branches where I can hide right in there and I’m within five feet away. That’s where I’ll be the most patient: when I’m sitting in my spy shack.")</f>
        <v>S28 Tony (1/9): Right now, my red flag is raised because I blindsided LJ. I’m in trouble, so I’m gonna have to do something to get myself out of it. Most people, including myself, we go all the way to the water well ‘cause it’s a bit further away from camp where people can’t hear you and that’s where they talk strategy. So I started working on some blueprints to make a nice little shack around the water well. The water well is here, there’s a tree there and I put some bushes and some shrubs and some broken branches where I can hide right in there and I’m within five feet away. That’s where I’ll be the most patient: when I’m sitting in my spy shack.</v>
      </c>
      <c r="AB50" s="4"/>
      <c r="AC50" s="3" t="str">
        <f>IFERROR(__xludf.DUMMYFUNCTION("""COMPUTED_VALUE"""),"S27 Tyson (8/8): This morning, me, Monica and Gervase woke up, headed to Tree Mail and the breakfast I've been dreaming of since Day 1 and even before that day, was there and ready for consumption. There were so many moments along the way where I thought,"&amp;" “I'm not gonna do this. I'm not going to get to Day 39.” But with six people left in the game, five people left in the game I thought, “This is actually gonna happen. I'm gonna find myself in the Final Tribal Council.” And now I have to focus on winning "&amp;"a million dollars.")</f>
        <v>S27 Tyson (8/8): This morning, me, Monica and Gervase woke up, headed to Tree Mail and the breakfast I've been dreaming of since Day 1 and even before that day, was there and ready for consumption. There were so many moments along the way where I thought, “I'm not gonna do this. I'm not going to get to Day 39.” But with six people left in the game, five people left in the game I thought, “This is actually gonna happen. I'm gonna find myself in the Final Tribal Council.” And now I have to focus on winning a million dollars.</v>
      </c>
      <c r="AD50" s="4"/>
      <c r="AE50" s="3" t="str">
        <f>IFERROR(__xludf.DUMMYFUNCTION("""COMPUTED_VALUE"""),"S26 Cochran (8/9): I haven't been able to mention Eddie's name for the past 10 days without Andrea saying, “No, Eddie is harmless. I control his vote. He’s fantastic, he’s great.” And now it all makes sense, she wants to go to the final three with him. Wh"&amp;"ether it's personal, whether it's strategic, I don't know, but the fact of the matter is, Eddie is moving up on Andrea's priority list so I'm worried that I'm going to be replaced by Eddie. I admire Andrea for having a game plan, but that plan doesn't inc"&amp;"lude me. I want to be a part of everybody's plan, and if I'm not a part of your plan, Andrea, you're not going to be a part of mine.")</f>
        <v>S26 Cochran (8/9): I haven't been able to mention Eddie's name for the past 10 days without Andrea saying, “No, Eddie is harmless. I control his vote. He’s fantastic, he’s great.” And now it all makes sense, she wants to go to the final three with him. Whether it's personal, whether it's strategic, I don't know, but the fact of the matter is, Eddie is moving up on Andrea's priority list so I'm worried that I'm going to be replaced by Eddie. I admire Andrea for having a game plan, but that plan doesn't include me. I want to be a part of everybody's plan, and if I'm not a part of your plan, Andrea, you're not going to be a part of mine.</v>
      </c>
      <c r="AF50" s="4"/>
      <c r="AG50" s="3"/>
      <c r="AH50" s="4"/>
      <c r="AI50" s="3" t="str">
        <f>IFERROR(__xludf.DUMMYFUNCTION("""COMPUTED_VALUE"""),"S24 Kim (3/8): I feel like the two big options that I’m considering tonight, um, one would be to stick with Chelsea and vote for Alicia. Christina is sort of a no-brainer to take to the end. My other option would be to vote Chelsea out tonight.")</f>
        <v>S24 Kim (3/8): I feel like the two big options that I’m considering tonight, um, one would be to stick with Chelsea and vote for Alicia. Christina is sort of a no-brainer to take to the end. My other option would be to vote Chelsea out tonight.</v>
      </c>
      <c r="AJ50" s="4"/>
      <c r="AK50" s="3"/>
      <c r="AL50" s="4"/>
      <c r="AM50" s="3" t="str">
        <f>IFERROR(__xludf.DUMMYFUNCTION("""COMPUTED_VALUE"""),"S22 Rob (4/5): Matt just told me he was thinking about flipping and going with Zapatera. I mean, first of all, he has the audacity to think that he's going to come up with plan to vote me out. And then the stupidity to tell me that. It just confirmed he c"&amp;"an't be trusted. So because of that, I'm giving him a one-way ticket back to Redemption Island.")</f>
        <v>S22 Rob (4/5): Matt just told me he was thinking about flipping and going with Zapatera. I mean, first of all, he has the audacity to think that he's going to come up with plan to vote me out. And then the stupidity to tell me that. It just confirmed he can't be trusted. So because of that, I'm giving him a one-way ticket back to Redemption Island.</v>
      </c>
      <c r="AN50" s="4"/>
      <c r="AO50" s="3"/>
      <c r="AP50" s="4"/>
      <c r="AQ50" s="3"/>
      <c r="AR50" s="4"/>
      <c r="AS50" s="3"/>
      <c r="AT50" s="4"/>
      <c r="AU50" s="3"/>
      <c r="AV50" s="4"/>
      <c r="AW50" s="3"/>
      <c r="AX50" s="4"/>
      <c r="AY50" s="3"/>
      <c r="AZ50" s="4"/>
      <c r="BA50" s="3"/>
      <c r="BB50" s="4"/>
      <c r="BC50" s="3"/>
      <c r="BD50" s="4"/>
      <c r="BE50" s="3"/>
      <c r="BF50" s="4"/>
      <c r="BG50" s="3"/>
      <c r="BH50" s="4"/>
      <c r="BI50" s="3"/>
      <c r="BJ50" s="4"/>
      <c r="BK50" s="3" t="str">
        <f>IFERROR(__xludf.DUMMYFUNCTION("""COMPUTED_VALUE"""),"S10 Tom (1/9): There have been no gimmes in this game -- you fight for what you get -- so to just get something today for nothing, just for making final four, it was just a, uh… like an “attaboy.” That’s what we call it in the firehouse. You know, you got"&amp;" an attaboy.")</f>
        <v>S10 Tom (1/9): There have been no gimmes in this game -- you fight for what you get -- so to just get something today for nothing, just for making final four, it was just a, uh… like an “attaboy.” That’s what we call it in the firehouse. You know, you got an attaboy.</v>
      </c>
      <c r="BL50" s="4"/>
      <c r="BM50" s="3" t="str">
        <f>IFERROR(__xludf.DUMMYFUNCTION("""COMPUTED_VALUE"""),"S09 Chris (9/16): So Joe comes back and, you know, we're like, okay. He goes, ""Look, I'm going to take you up here."" So we all three took off up this little trail up the volcano.")</f>
        <v>S09 Chris (9/16): So Joe comes back and, you know, we're like, okay. He goes, "Look, I'm going to take you up here." So we all three took off up this little trail up the volcano.</v>
      </c>
      <c r="BN50" s="4"/>
      <c r="BO50" s="3"/>
      <c r="BP50" s="4"/>
      <c r="BQ50" s="3" t="str">
        <f>IFERROR(__xludf.DUMMYFUNCTION("""COMPUTED_VALUE"""),"S07 Sandra (3/9): As it stands now, if either Darrah or Lill wins immunity, then the other one goes. I really don't give a damn which one of the two goes, as long as it ain't me.")</f>
        <v>S07 Sandra (3/9): As it stands now, if either Darrah or Lill wins immunity, then the other one goes. I really don't give a damn which one of the two goes, as long as it ain't me.</v>
      </c>
      <c r="BR50" s="4"/>
      <c r="BS50" s="3"/>
      <c r="BT50" s="4"/>
      <c r="BU50" s="3"/>
      <c r="BV50" s="4"/>
      <c r="BW50" s="3"/>
      <c r="BX50" s="4"/>
      <c r="BY50" s="3"/>
      <c r="BZ50" s="4"/>
      <c r="CA50" s="3"/>
      <c r="CB50" s="4"/>
      <c r="CC50" s="3"/>
      <c r="CD50" s="4"/>
    </row>
    <row r="51">
      <c r="A51" s="3"/>
      <c r="B51" s="4"/>
      <c r="C51" s="3" t="str">
        <f>IFERROR(__xludf.DUMMYFUNCTION("""COMPUTED_VALUE"""),"S40 Tony (3/5): Now I got to know Sarah, and we said, “Let’s just stick together and just keep this Cops-R-Us going all the way to the end.” And we’ve been doing good so far. I mean, that’s our plan right now, is to take Cops-R-Us all the way to the end.")</f>
        <v>S40 Tony (3/5): Now I got to know Sarah, and we said, “Let’s just stick together and just keep this Cops-R-Us going all the way to the end.” And we’ve been doing good so far. I mean, that’s our plan right now, is to take Cops-R-Us all the way to the end.</v>
      </c>
      <c r="D51" s="4"/>
      <c r="E51" s="3"/>
      <c r="F51" s="4"/>
      <c r="G51" s="3"/>
      <c r="H51" s="4"/>
      <c r="I51" s="3"/>
      <c r="J51" s="4"/>
      <c r="K51" s="3"/>
      <c r="L51" s="4"/>
      <c r="M51" s="3" t="str">
        <f>IFERROR(__xludf.DUMMYFUNCTION("""COMPUTED_VALUE"""),"S35 Ben (4/12): My time is dwindling here, and I know that, and I accept that fate. So I need to find an idol or win immunity to keep me in the game, because I ain’t going to quit until I’m out.")</f>
        <v>S35 Ben (4/12): My time is dwindling here, and I know that, and I accept that fate. So I need to find an idol or win immunity to keep me in the game, because I ain’t going to quit until I’m out.</v>
      </c>
      <c r="N51" s="4"/>
      <c r="O51" s="3"/>
      <c r="P51" s="4"/>
      <c r="Q51" s="3" t="str">
        <f>IFERROR(__xludf.DUMMYFUNCTION("""COMPUTED_VALUE"""),"S33 Adam (4/8): I mean, finding one and knowing how proud my mom was going to be of that was such a feeling of joy that I haven't had for seven months outside of this game since my mom was diagnosed. (cries) It's been an absolute nightmare, so to have som"&amp;"e feeling of joy here and to know that my mom is going to share that, and get to do it twice, that's the best. You can't ask for anything better than that.")</f>
        <v>S33 Adam (4/8): I mean, finding one and knowing how proud my mom was going to be of that was such a feeling of joy that I haven't had for seven months outside of this game since my mom was diagnosed. (cries) It's been an absolute nightmare, so to have some feeling of joy here and to know that my mom is going to share that, and get to do it twice, that's the best. You can't ask for anything better than that.</v>
      </c>
      <c r="R51" s="4"/>
      <c r="S51" s="3" t="str">
        <f>IFERROR(__xludf.DUMMYFUNCTION("""COMPUTED_VALUE"""),"S32 Michele (4/12): Aubry sitting next to me rather than Cydney definitely changes my chances in a really negative way. She’s made great relationships with everyone, you know, and fought her way here. I’ve been gunning for Aubry and nobody’s wanted to jum"&amp;"p on the bandwagon.")</f>
        <v>S32 Michele (4/12): Aubry sitting next to me rather than Cydney definitely changes my chances in a really negative way. She’s made great relationships with everyone, you know, and fought her way here. I’ve been gunning for Aubry and nobody’s wanted to jump on the bandwagon.</v>
      </c>
      <c r="T51" s="4"/>
      <c r="U51" s="3"/>
      <c r="V51" s="4"/>
      <c r="W51" s="3" t="str">
        <f>IFERROR(__xludf.DUMMYFUNCTION("""COMPUTED_VALUE"""),"S30 Mike (1/5): When we got back to camp after Tribal, they called a little team meeting of the Six, and it was kind of fun. It was kind of fun to start watching people scramble 'cause for the past three votes... I've been scrambling. Right now I'm safe w"&amp;"ith my Hidden Immunity Idol. So that target is taken off of me and they'll start turning on each other. The fallout of all of this it's going to be interesting to watch, and that's for sure.")</f>
        <v>S30 Mike (1/5): When we got back to camp after Tribal, they called a little team meeting of the Six, and it was kind of fun. It was kind of fun to start watching people scramble 'cause for the past three votes... I've been scrambling. Right now I'm safe with my Hidden Immunity Idol. So that target is taken off of me and they'll start turning on each other. The fallout of all of this it's going to be interesting to watch, and that's for sure.</v>
      </c>
      <c r="X51" s="4"/>
      <c r="Y51" s="3"/>
      <c r="Z51" s="4"/>
      <c r="AA51" s="3" t="str">
        <f>IFERROR(__xludf.DUMMYFUNCTION("""COMPUTED_VALUE"""),"S28 Tony (2/9): While I was doing my surveillance, I did hear Jefra and Trish talking and, uh, Trish said that Tony’s going to win a-an Academy Award for his acting skills.")</f>
        <v>S28 Tony (2/9): While I was doing my surveillance, I did hear Jefra and Trish talking and, uh, Trish said that Tony’s going to win a-an Academy Award for his acting skills.</v>
      </c>
      <c r="AB51" s="4"/>
      <c r="AC51" s="3"/>
      <c r="AD51" s="4"/>
      <c r="AE51" s="3" t="str">
        <f>IFERROR(__xludf.DUMMYFUNCTION("""COMPUTED_VALUE"""),"S26 Cochran (9/9): Once again, I have to trust Erik, the ice cream scooper, who gave up his idol and was promptly voted out, and that's scary.")</f>
        <v>S26 Cochran (9/9): Once again, I have to trust Erik, the ice cream scooper, who gave up his idol and was promptly voted out, and that's scary.</v>
      </c>
      <c r="AF51" s="4"/>
      <c r="AG51" s="3"/>
      <c r="AH51" s="4"/>
      <c r="AI51" s="3" t="str">
        <f>IFERROR(__xludf.DUMMYFUNCTION("""COMPUTED_VALUE"""),"S24 Kim (4/8): At the time, it seemed like such a smart thing to tell Chelsea that I had the idol. I can honestly say, sitting here today, I wish she didn't know because now that I’m sitting here with immunity, she's expecting me to play the idol for her "&amp;"no matter what. It’s like, I just have to be so careful about how I play tonight. I feel like I have all these, like, weapons in my belt and I want to play the right ones, and not just, like, get them all out and play all of them for the hell of it.")</f>
        <v>S24 Kim (4/8): At the time, it seemed like such a smart thing to tell Chelsea that I had the idol. I can honestly say, sitting here today, I wish she didn't know because now that I’m sitting here with immunity, she's expecting me to play the idol for her no matter what. It’s like, I just have to be so careful about how I play tonight. I feel like I have all these, like, weapons in my belt and I want to play the right ones, and not just, like, get them all out and play all of them for the hell of it.</v>
      </c>
      <c r="AJ51" s="4"/>
      <c r="AK51" s="3"/>
      <c r="AL51" s="4"/>
      <c r="AM51" s="3" t="str">
        <f>IFERROR(__xludf.DUMMYFUNCTION("""COMPUTED_VALUE"""),"S22 Rob (5/5): Tonight's vote is monumental. If things go down the way they're supposed to go down, then Matty is going home. If Matt and Andrea are with them, then I'm going to be in a world of hurt.")</f>
        <v>S22 Rob (5/5): Tonight's vote is monumental. If things go down the way they're supposed to go down, then Matty is going home. If Matt and Andrea are with them, then I'm going to be in a world of hurt.</v>
      </c>
      <c r="AN51" s="4"/>
      <c r="AO51" s="3"/>
      <c r="AP51" s="4"/>
      <c r="AQ51" s="3"/>
      <c r="AR51" s="4"/>
      <c r="AS51" s="3"/>
      <c r="AT51" s="4"/>
      <c r="AU51" s="3"/>
      <c r="AV51" s="4"/>
      <c r="AW51" s="3"/>
      <c r="AX51" s="4"/>
      <c r="AY51" s="3"/>
      <c r="AZ51" s="4"/>
      <c r="BA51" s="3"/>
      <c r="BB51" s="4"/>
      <c r="BC51" s="3"/>
      <c r="BD51" s="4"/>
      <c r="BE51" s="3"/>
      <c r="BF51" s="4"/>
      <c r="BG51" s="3"/>
      <c r="BH51" s="4"/>
      <c r="BI51" s="3"/>
      <c r="BJ51" s="4"/>
      <c r="BK51" s="3" t="str">
        <f>IFERROR(__xludf.DUMMYFUNCTION("""COMPUTED_VALUE"""),"S10 Tom (2/9): You know, it’s a treacherous game and you tell lies, or whatever you got to do to get ahead.")</f>
        <v>S10 Tom (2/9): You know, it’s a treacherous game and you tell lies, or whatever you got to do to get ahead.</v>
      </c>
      <c r="BL51" s="4"/>
      <c r="BM51" s="3" t="str">
        <f>IFERROR(__xludf.DUMMYFUNCTION("""COMPUTED_VALUE"""),"S09 Chris (10/16): It was amazing because every time the volcano erupted, the volcanic rock would shoot out and it just glowed. I mean, it was like the Fourth of July.")</f>
        <v>S09 Chris (10/16): It was amazing because every time the volcano erupted, the volcanic rock would shoot out and it just glowed. I mean, it was like the Fourth of July.</v>
      </c>
      <c r="BN51" s="4"/>
      <c r="BO51" s="3"/>
      <c r="BP51" s="4"/>
      <c r="BQ51" s="3" t="str">
        <f>IFERROR(__xludf.DUMMYFUNCTION("""COMPUTED_VALUE"""),"S07 Sandra (4/9): The Tree Mail came and, uh, it said something about just head out to Tribal Council as usual. That your peers and your fate will be determined, l guess, by the ""peers,"" meaning the jury. So, um, everyone's kind of freaking out.")</f>
        <v>S07 Sandra (4/9): The Tree Mail came and, uh, it said something about just head out to Tribal Council as usual. That your peers and your fate will be determined, l guess, by the "peers," meaning the jury. So, um, everyone's kind of freaking out.</v>
      </c>
      <c r="BR51" s="4"/>
      <c r="BS51" s="3"/>
      <c r="BT51" s="4"/>
      <c r="BU51" s="3"/>
      <c r="BV51" s="4"/>
      <c r="BW51" s="3"/>
      <c r="BX51" s="4"/>
      <c r="BY51" s="3"/>
      <c r="BZ51" s="4"/>
      <c r="CA51" s="3"/>
      <c r="CB51" s="4"/>
      <c r="CC51" s="3"/>
      <c r="CD51" s="4"/>
    </row>
    <row r="52">
      <c r="A52" s="3"/>
      <c r="B52" s="4"/>
      <c r="C52" s="3" t="str">
        <f>IFERROR(__xludf.DUMMYFUNCTION("""COMPUTED_VALUE"""),"S40 Tony (4/5): So, Jeremy, he wants to vote out Ben. Jeremy and Ben been clashing for a while now. So, he wants Ben out of the game for his best interest. That’s not my best interest. Not for the cop. I really don’t want to get rid of Jeremy, but, at thi"&amp;"s point, Sarah and I think that our best thing to do would be to stay strong with Ben.")</f>
        <v>S40 Tony (4/5): So, Jeremy, he wants to vote out Ben. Jeremy and Ben been clashing for a while now. So, he wants Ben out of the game for his best interest. That’s not my best interest. Not for the cop. I really don’t want to get rid of Jeremy, but, at this point, Sarah and I think that our best thing to do would be to stay strong with Ben.</v>
      </c>
      <c r="D52" s="4"/>
      <c r="E52" s="3"/>
      <c r="F52" s="4"/>
      <c r="G52" s="3"/>
      <c r="H52" s="4"/>
      <c r="I52" s="3"/>
      <c r="J52" s="4"/>
      <c r="K52" s="3"/>
      <c r="L52" s="4"/>
      <c r="M52" s="3" t="str">
        <f>IFERROR(__xludf.DUMMYFUNCTION("""COMPUTED_VALUE"""),"S35 Ben (5/12): I wanted to go on this reward to look for a clue to a Hidden Immunity Idol, but Ashley is all hangry, which perfect for me. That’s going to be the only way I can start stirring stuff up.")</f>
        <v>S35 Ben (5/12): I wanted to go on this reward to look for a clue to a Hidden Immunity Idol, but Ashley is all hangry, which perfect for me. That’s going to be the only way I can start stirring stuff up.</v>
      </c>
      <c r="N52" s="4"/>
      <c r="O52" s="3"/>
      <c r="P52" s="4"/>
      <c r="Q52" s="3" t="str">
        <f>IFERROR(__xludf.DUMMYFUNCTION("""COMPUTED_VALUE"""),"S33 Adam (5/8): I could not have found this idol at a better moment, because this is when I need it. Dave and Ken decided to gun for me at the exact moment where I got safety for myself. So if anything, they're going to look stupid. I have total power ove"&amp;"r tonight's vote.")</f>
        <v>S33 Adam (5/8): I could not have found this idol at a better moment, because this is when I need it. Dave and Ken decided to gun for me at the exact moment where I got safety for myself. So if anything, they're going to look stupid. I have total power over tonight's vote.</v>
      </c>
      <c r="R52" s="4"/>
      <c r="S52" s="3" t="str">
        <f>IFERROR(__xludf.DUMMYFUNCTION("""COMPUTED_VALUE"""),"S32 Michele (5/12): I’m trying hard to think up a case against Aubry and she’s been in control a lot of this game and I think Tai just gave her a million dollars.")</f>
        <v>S32 Michele (5/12): I’m trying hard to think up a case against Aubry and she’s been in control a lot of this game and I think Tai just gave her a million dollars.</v>
      </c>
      <c r="T52" s="4"/>
      <c r="U52" s="3"/>
      <c r="V52" s="4"/>
      <c r="W52" s="3" t="str">
        <f>IFERROR(__xludf.DUMMYFUNCTION("""COMPUTED_VALUE"""),"S30 Mike (2/5): Carolyn, Sierra, myself get to jump in the back of this truck loaded down with toys, bags, balls, school supplies and we get to go to this orphanage where in this truck we get to be ambassadors of goodwill for Survivor.")</f>
        <v>S30 Mike (2/5): Carolyn, Sierra, myself get to jump in the back of this truck loaded down with toys, bags, balls, school supplies and we get to go to this orphanage where in this truck we get to be ambassadors of goodwill for Survivor.</v>
      </c>
      <c r="X52" s="4"/>
      <c r="Y52" s="3"/>
      <c r="Z52" s="4"/>
      <c r="AA52" s="3" t="str">
        <f>IFERROR(__xludf.DUMMYFUNCTION("""COMPUTED_VALUE"""),"S28 Tony (3/9): Right now, in the game, I trust Trish, I trust Woo, I trust Kass. That’s pretty much it. I-I don’t really trust Jefra anymore because she doesn’t trust me and if she doesn’t trust me, I’m not gonna trust her. So now I’m in trouble.")</f>
        <v>S28 Tony (3/9): Right now, in the game, I trust Trish, I trust Woo, I trust Kass. That’s pretty much it. I-I don’t really trust Jefra anymore because she doesn’t trust me and if she doesn’t trust me, I’m not gonna trust her. So now I’m in trouble.</v>
      </c>
      <c r="AB52" s="4"/>
      <c r="AC52" s="3"/>
      <c r="AD52" s="4"/>
      <c r="AE52" s="3" t="str">
        <f>IFERROR(__xludf.DUMMYFUNCTION("""COMPUTED_VALUE"""),"S26 Cochran (1/7): I always thought, “I'm the little, worthless, scrawny, annoying twerp who's not good at challenges. Of course, everybody is going to go to the end with me!” But now I'm kind of taking a step back and looking at myself and thinking, ""Wa"&amp;"it, can I really get to the end of this game or do I have an expiration date that's, you know, rapidly approaching?”")</f>
        <v>S26 Cochran (1/7): I always thought, “I'm the little, worthless, scrawny, annoying twerp who's not good at challenges. Of course, everybody is going to go to the end with me!” But now I'm kind of taking a step back and looking at myself and thinking, "Wait, can I really get to the end of this game or do I have an expiration date that's, you know, rapidly approaching?”</v>
      </c>
      <c r="AF52" s="4"/>
      <c r="AG52" s="3"/>
      <c r="AH52" s="4"/>
      <c r="AI52" s="3" t="str">
        <f>IFERROR(__xludf.DUMMYFUNCTION("""COMPUTED_VALUE"""),"S24 Kim (5/8): Everybody knows where everyone else stands because of me. I mean, I've told Sabrina and Chelsea what the other side is doing, and I’ve told Alicia and Christina what they're doing, and I really could go either way at this point.")</f>
        <v>S24 Kim (5/8): Everybody knows where everyone else stands because of me. I mean, I've told Sabrina and Chelsea what the other side is doing, and I’ve told Alicia and Christina what they're doing, and I really could go either way at this point.</v>
      </c>
      <c r="AJ52" s="4"/>
      <c r="AK52" s="3"/>
      <c r="AL52" s="4"/>
      <c r="AM52" s="3" t="str">
        <f>IFERROR(__xludf.DUMMYFUNCTION("""COMPUTED_VALUE"""),"S22 Rob (1/8): Voting Matty off last night accomplished one main goal and that was bringing the old Ometepe tribe much closer together. I have a whole vision that I'm trying to put into action here, keeping us versus them mentality, thus, the separate she"&amp;"lters, the separate eating times. I want my group to hate Zapatera. It's us versus them, and we're better than them. And we're going to be arrogant about it, and we're going to show it. I'm not. But I want them to. Because I want their votes at the end of"&amp;" the day.")</f>
        <v>S22 Rob (1/8): Voting Matty off last night accomplished one main goal and that was bringing the old Ometepe tribe much closer together. I have a whole vision that I'm trying to put into action here, keeping us versus them mentality, thus, the separate shelters, the separate eating times. I want my group to hate Zapatera. It's us versus them, and we're better than them. And we're going to be arrogant about it, and we're going to show it. I'm not. But I want them to. Because I want their votes at the end of the day.</v>
      </c>
      <c r="AN52" s="4"/>
      <c r="AO52" s="3"/>
      <c r="AP52" s="4"/>
      <c r="AQ52" s="3"/>
      <c r="AR52" s="4"/>
      <c r="AS52" s="3"/>
      <c r="AT52" s="4"/>
      <c r="AU52" s="3"/>
      <c r="AV52" s="4"/>
      <c r="AW52" s="3"/>
      <c r="AX52" s="4"/>
      <c r="AY52" s="3"/>
      <c r="AZ52" s="4"/>
      <c r="BA52" s="3"/>
      <c r="BB52" s="4"/>
      <c r="BC52" s="3"/>
      <c r="BD52" s="4"/>
      <c r="BE52" s="3"/>
      <c r="BF52" s="4"/>
      <c r="BG52" s="3"/>
      <c r="BH52" s="4"/>
      <c r="BI52" s="3"/>
      <c r="BJ52" s="4"/>
      <c r="BK52" s="3" t="str">
        <f>IFERROR(__xludf.DUMMYFUNCTION("""COMPUTED_VALUE"""),"S10 Tom (3/9): You know when the other guy is gonna stand by you, and he should know that you’ll stand by him. I’m taking a risk, but that’s my move.")</f>
        <v>S10 Tom (3/9): You know when the other guy is gonna stand by you, and he should know that you’ll stand by him. I’m taking a risk, but that’s my move.</v>
      </c>
      <c r="BL52" s="4"/>
      <c r="BM52" s="3" t="str">
        <f>IFERROR(__xludf.DUMMYFUNCTION("""COMPUTED_VALUE"""),"S09 Chris (11/16): There is absolutely no other experience in my life I can compare it to. I don't know if I'll ever have another experience like it. I mean, how often do you get to sit at the mouth of a volcano and watch it explode?")</f>
        <v>S09 Chris (11/16): There is absolutely no other experience in my life I can compare it to. I don't know if I'll ever have another experience like it. I mean, how often do you get to sit at the mouth of a volcano and watch it explode?</v>
      </c>
      <c r="BN52" s="4"/>
      <c r="BO52" s="3"/>
      <c r="BP52" s="4"/>
      <c r="BQ52" s="3" t="str">
        <f>IFERROR(__xludf.DUMMYFUNCTION("""COMPUTED_VALUE"""),"S07 Sandra (5/9): Tonight at Tribal Council, we knew where the vote had to go. Darrah had won immunity three times in a row and she was still the strongest one of all of us. So, um, we all decided that she would be the one going home tonight. So, now, it'"&amp;"s down to Jon, Lill and myself.")</f>
        <v>S07 Sandra (5/9): Tonight at Tribal Council, we knew where the vote had to go. Darrah had won immunity three times in a row and she was still the strongest one of all of us. So, um, we all decided that she would be the one going home tonight. So, now, it's down to Jon, Lill and myself.</v>
      </c>
      <c r="BR52" s="4"/>
      <c r="BS52" s="3"/>
      <c r="BT52" s="4"/>
      <c r="BU52" s="3"/>
      <c r="BV52" s="4"/>
      <c r="BW52" s="3"/>
      <c r="BX52" s="4"/>
      <c r="BY52" s="3"/>
      <c r="BZ52" s="4"/>
      <c r="CA52" s="3"/>
      <c r="CB52" s="4"/>
      <c r="CC52" s="3"/>
      <c r="CD52" s="4"/>
    </row>
    <row r="53">
      <c r="A53" s="3"/>
      <c r="B53" s="4"/>
      <c r="C53" s="3" t="str">
        <f>IFERROR(__xludf.DUMMYFUNCTION("""COMPUTED_VALUE"""),"S40 Tony (5/5): So, we’re gonna split the votes between Michele and Jeremy. So, the guys-- me, Nick and Ben-- we’re voting Jeremy. Denise and Sarah, they’re voting Michele. And then Michele can play her advantage that she has, a 50/50. And whether it’s “S"&amp;"afe” or “Not Safe,” our real votes tonight are going to Jeremy.")</f>
        <v>S40 Tony (5/5): So, we’re gonna split the votes between Michele and Jeremy. So, the guys-- me, Nick and Ben-- we’re voting Jeremy. Denise and Sarah, they’re voting Michele. And then Michele can play her advantage that she has, a 50/50. And whether it’s “Safe” or “Not Safe,” our real votes tonight are going to Jeremy.</v>
      </c>
      <c r="D53" s="4"/>
      <c r="E53" s="3"/>
      <c r="F53" s="4"/>
      <c r="G53" s="3"/>
      <c r="H53" s="4"/>
      <c r="I53" s="3"/>
      <c r="J53" s="4"/>
      <c r="K53" s="3"/>
      <c r="L53" s="4"/>
      <c r="M53" s="3" t="str">
        <f>IFERROR(__xludf.DUMMYFUNCTION("""COMPUTED_VALUE"""),"S35 Ben (6/12): These two are walking around like a bunch of crying babies. You know, they’re hungry and tired and am I going to try to use that to my advantage? Well, yeah, I mean, that’s the only thing I got at this point.")</f>
        <v>S35 Ben (6/12): These two are walking around like a bunch of crying babies. You know, they’re hungry and tired and am I going to try to use that to my advantage? Well, yeah, I mean, that’s the only thing I got at this point.</v>
      </c>
      <c r="N53" s="4"/>
      <c r="O53" s="3"/>
      <c r="P53" s="4"/>
      <c r="Q53" s="3" t="str">
        <f>IFERROR(__xludf.DUMMYFUNCTION("""COMPUTED_VALUE"""),"S33 Adam (6/8): I'm so blown away by what happened tonight. We just put Dave, the biggest threat in the game, one challenge away from the Final Tribal Council.")</f>
        <v>S33 Adam (6/8): I'm so blown away by what happened tonight. We just put Dave, the biggest threat in the game, one challenge away from the Final Tribal Council.</v>
      </c>
      <c r="R53" s="4"/>
      <c r="S53" s="3" t="str">
        <f>IFERROR(__xludf.DUMMYFUNCTION("""COMPUTED_VALUE"""),"S32 Michele (6/12): Oh, my God! Once again, here I am having to fight for my life. We all kind of thought yesterday was the last challenge, and now we find out that two people are going to the end, the person who wins gets to choose who they’re taking.")</f>
        <v>S32 Michele (6/12): Oh, my God! Once again, here I am having to fight for my life. We all kind of thought yesterday was the last challenge, and now we find out that two people are going to the end, the person who wins gets to choose who they’re taking.</v>
      </c>
      <c r="T53" s="4"/>
      <c r="U53" s="3"/>
      <c r="V53" s="4"/>
      <c r="W53" s="3" t="str">
        <f>IFERROR(__xludf.DUMMYFUNCTION("""COMPUTED_VALUE"""),"S30 Mike (3/5): To see the faces of all these little boys and girls when we pulled up, built me up inside because I just enjoy being around kids. And being a kid 'cause I'm a big kid. The only thing I can think in my head were these beautiful, beautiful l"&amp;"ittle children... don't have a mom, they don't have a dad.")</f>
        <v>S30 Mike (3/5): To see the faces of all these little boys and girls when we pulled up, built me up inside because I just enjoy being around kids. And being a kid 'cause I'm a big kid. The only thing I can think in my head were these beautiful, beautiful little children... don't have a mom, they don't have a dad.</v>
      </c>
      <c r="X53" s="4"/>
      <c r="Y53" s="3"/>
      <c r="Z53" s="4"/>
      <c r="AA53" s="3" t="str">
        <f>IFERROR(__xludf.DUMMYFUNCTION("""COMPUTED_VALUE"""),"S28 Tony (4/9): We lost today’s challenge and the first thing that comes to my mind is we’re in trouble. Tony’s in trouble too, but we’re all in trouble now. There’s four people: Spencer, Tash, Jeremiah, Jefra – Jefra that doesn’t believe in me anymore; t"&amp;"hat doesn’t believe that she’s in an alliance anymore. That’s a problem. Bad things are going to happen.")</f>
        <v>S28 Tony (4/9): We lost today’s challenge and the first thing that comes to my mind is we’re in trouble. Tony’s in trouble too, but we’re all in trouble now. There’s four people: Spencer, Tash, Jeremiah, Jefra – Jefra that doesn’t believe in me anymore; that doesn’t believe that she’s in an alliance anymore. That’s a problem. Bad things are going to happen.</v>
      </c>
      <c r="AB53" s="4"/>
      <c r="AC53" s="3"/>
      <c r="AD53" s="4"/>
      <c r="AE53" s="3" t="str">
        <f>IFERROR(__xludf.DUMMYFUNCTION("""COMPUTED_VALUE"""),"S26 Cochran (2/7): Summer of 2000, I'm thirteen years old, sitting on the couch at home with my mom watching Survivor: Borneo. Over the next thirteen years, still been watching it, never missed an episode. You know, I’ve gone through my first kiss, pubert"&amp;"y, uh, a little bit more than that and this is the culmination of thirteen years of loving this and loving this with somebody I love. And getting to share this night with somebody I love? Eh, you can't beat it.")</f>
        <v>S26 Cochran (2/7): Summer of 2000, I'm thirteen years old, sitting on the couch at home with my mom watching Survivor: Borneo. Over the next thirteen years, still been watching it, never missed an episode. You know, I’ve gone through my first kiss, puberty, uh, a little bit more than that and this is the culmination of thirteen years of loving this and loving this with somebody I love. And getting to share this night with somebody I love? Eh, you can't beat it.</v>
      </c>
      <c r="AF53" s="4"/>
      <c r="AG53" s="3"/>
      <c r="AH53" s="4"/>
      <c r="AI53" s="3" t="str">
        <f>IFERROR(__xludf.DUMMYFUNCTION("""COMPUTED_VALUE"""),"S24 Kim (6/8): I won the Immunity Challenge today. It was awesome. That was the one I've been wanting, you know? I mean, you have to take it challenge by challenge, but to know, like, to go tonight knowing that it's not me, it feels awesome.")</f>
        <v>S24 Kim (6/8): I won the Immunity Challenge today. It was awesome. That was the one I've been wanting, you know? I mean, you have to take it challenge by challenge, but to know, like, to go tonight knowing that it's not me, it feels awesome.</v>
      </c>
      <c r="AJ53" s="4"/>
      <c r="AK53" s="3"/>
      <c r="AL53" s="4"/>
      <c r="AM53" s="3" t="str">
        <f>IFERROR(__xludf.DUMMYFUNCTION("""COMPUTED_VALUE"""),"S22 Rob (2/8): So Natalie just came and told me that Ralph approached Ashley and said that if she makes it to the top three that he's voting for her. He's doing that so that Ashley makes a case to not vote off Ralph. (chuckles) We're going to vote his ass"&amp;" off anyway. Okay, he's not going to vote for me, Ralph? Well, you're not going to vote for Ashley, because she ain't going to be there now and it's your fault. Ashley, you could have made it to the end but you decided not to tell me anything. You have to"&amp;" tell me everything. It's my game. I'm in charge.")</f>
        <v>S22 Rob (2/8): So Natalie just came and told me that Ralph approached Ashley and said that if she makes it to the top three that he's voting for her. He's doing that so that Ashley makes a case to not vote off Ralph. (chuckles) We're going to vote his ass off anyway. Okay, he's not going to vote for me, Ralph? Well, you're not going to vote for Ashley, because she ain't going to be there now and it's your fault. Ashley, you could have made it to the end but you decided not to tell me anything. You have to tell me everything. It's my game. I'm in charge.</v>
      </c>
      <c r="AN53" s="4"/>
      <c r="AO53" s="3"/>
      <c r="AP53" s="4"/>
      <c r="AQ53" s="3"/>
      <c r="AR53" s="4"/>
      <c r="AS53" s="3"/>
      <c r="AT53" s="4"/>
      <c r="AU53" s="3"/>
      <c r="AV53" s="4"/>
      <c r="AW53" s="3"/>
      <c r="AX53" s="4"/>
      <c r="AY53" s="3"/>
      <c r="AZ53" s="4"/>
      <c r="BA53" s="3"/>
      <c r="BB53" s="4"/>
      <c r="BC53" s="3"/>
      <c r="BD53" s="4"/>
      <c r="BE53" s="3"/>
      <c r="BF53" s="4"/>
      <c r="BG53" s="3"/>
      <c r="BH53" s="4"/>
      <c r="BI53" s="3"/>
      <c r="BJ53" s="4"/>
      <c r="BK53" s="3" t="str">
        <f>IFERROR(__xludf.DUMMYFUNCTION("""COMPUTED_VALUE"""),"S10 Tom (4/9): I thought that it was an easy choice, and he told me, “Wow, I was glad I didn’t have to make it, that would’ve been a tough one,” and I thought we were rock solid, and when he said that, I was like, “Well, maybe he wouldn’t have chosen me.”"&amp;" Makes me think. Makes me think.")</f>
        <v>S10 Tom (4/9): I thought that it was an easy choice, and he told me, “Wow, I was glad I didn’t have to make it, that would’ve been a tough one,” and I thought we were rock solid, and when he said that, I was like, “Well, maybe he wouldn’t have chosen me.” Makes me think. Makes me think.</v>
      </c>
      <c r="BL53" s="4"/>
      <c r="BM53" s="3" t="str">
        <f>IFERROR(__xludf.DUMMYFUNCTION("""COMPUTED_VALUE"""),"S09 Chris (12/16): After the reward this morning, we come back to camp. Right away, you know, Scout hugged me and… she's thinking the same thing I'm thinking. It's game time. I just let her know nothing has changed. We're all four together and then, you k"&amp;"now, Twila, she's a basket case, you got to reassure her. Coming back to camp was perfect. Everything fell together. Everyone's thinking on the same terms. Keeping an eye on things, that's what I got to do.")</f>
        <v>S09 Chris (12/16): After the reward this morning, we come back to camp. Right away, you know, Scout hugged me and… she's thinking the same thing I'm thinking. It's game time. I just let her know nothing has changed. We're all four together and then, you know, Twila, she's a basket case, you got to reassure her. Coming back to camp was perfect. Everything fell together. Everyone's thinking on the same terms. Keeping an eye on things, that's what I got to do.</v>
      </c>
      <c r="BN53" s="4"/>
      <c r="BO53" s="3"/>
      <c r="BP53" s="4"/>
      <c r="BQ53" s="3" t="str">
        <f>IFERROR(__xludf.DUMMYFUNCTION("""COMPUTED_VALUE"""),"S07 Sandra (6/9): It was the first time we ever received Tree Mail at night and it mentioned having to go to Pirates Cove before sunrise. So that means we're going to be getting up early, early, early and heading off to a challenge. This is going to be ve"&amp;"ry important because this-- it's the last Immunity Challenge. And it's going to decide what's going to happen at Tribal Council tomorrow.")</f>
        <v>S07 Sandra (6/9): It was the first time we ever received Tree Mail at night and it mentioned having to go to Pirates Cove before sunrise. So that means we're going to be getting up early, early, early and heading off to a challenge. This is going to be very important because this-- it's the last Immunity Challenge. And it's going to decide what's going to happen at Tribal Council tomorrow.</v>
      </c>
      <c r="BR53" s="4"/>
      <c r="BS53" s="3"/>
      <c r="BT53" s="4"/>
      <c r="BU53" s="3"/>
      <c r="BV53" s="4"/>
      <c r="BW53" s="3"/>
      <c r="BX53" s="4"/>
      <c r="BY53" s="3"/>
      <c r="BZ53" s="4"/>
      <c r="CA53" s="3"/>
      <c r="CB53" s="4"/>
      <c r="CC53" s="3"/>
      <c r="CD53" s="4"/>
    </row>
    <row r="54">
      <c r="A54" s="3"/>
      <c r="B54" s="4"/>
      <c r="C54" s="3" t="str">
        <f>IFERROR(__xludf.DUMMYFUNCTION("""COMPUTED_VALUE"""),"S40 Tony (1/6): Tribal worked out exactly as planned. This whole entire game, I’ve been on the right side of the votes. This whole entire game. And then you have Michele that’s always been outside every vote. She has no idea what’s going on in the game. I"&amp;"n other seasons, you would call that a goat and you would want to go to the end with them. Not on the Super Bowl season of Survivor. You don’t, you don’t want that around.")</f>
        <v>S40 Tony (1/6): Tribal worked out exactly as planned. This whole entire game, I’ve been on the right side of the votes. This whole entire game. And then you have Michele that’s always been outside every vote. She has no idea what’s going on in the game. In other seasons, you would call that a goat and you would want to go to the end with them. Not on the Super Bowl season of Survivor. You don’t, you don’t want that around.</v>
      </c>
      <c r="D54" s="4"/>
      <c r="E54" s="3"/>
      <c r="F54" s="4"/>
      <c r="G54" s="3"/>
      <c r="H54" s="4"/>
      <c r="I54" s="3"/>
      <c r="J54" s="4"/>
      <c r="K54" s="3"/>
      <c r="L54" s="4"/>
      <c r="M54" s="3" t="str">
        <f>IFERROR(__xludf.DUMMYFUNCTION("""COMPUTED_VALUE"""),"S35 Ben (7/12): Mike wants me gone. So, uh, he’s going to be my next target. You know, I’m hoping I’m going to be able to work with Ash, but I got a lot of work to do to keep my butt in this game.")</f>
        <v>S35 Ben (7/12): Mike wants me gone. So, uh, he’s going to be my next target. You know, I’m hoping I’m going to be able to work with Ash, but I got a lot of work to do to keep my butt in this game.</v>
      </c>
      <c r="N54" s="4"/>
      <c r="O54" s="3"/>
      <c r="P54" s="4"/>
      <c r="Q54" s="3" t="str">
        <f>IFERROR(__xludf.DUMMYFUNCTION("""COMPUTED_VALUE"""),"S33 Adam (7/8): Dave and I both know that we're voting for the other person. It's entirely clear, and, you know, playing around it would just be pointless at this point. Meanwhile, Hannah's out in the water right now with Ken hopefully trying to convince "&amp;"him to vote out Dave tonight, but if that doesn't work, then I need my Plan B, which is attempting to beat Dave in a fire-making, uh, challenge. I'm practicing making fire with a machete, with flint, because I know if the votes are tied tonight, that's wh"&amp;"at I'm going to be doing. It's entirely possible. I'm so nervous. I shouldn't be because tonight should be a no-brainer. It really should, but not with these people.")</f>
        <v>S33 Adam (7/8): Dave and I both know that we're voting for the other person. It's entirely clear, and, you know, playing around it would just be pointless at this point. Meanwhile, Hannah's out in the water right now with Ken hopefully trying to convince him to vote out Dave tonight, but if that doesn't work, then I need my Plan B, which is attempting to beat Dave in a fire-making, uh, challenge. I'm practicing making fire with a machete, with flint, because I know if the votes are tied tonight, that's what I'm going to be doing. It's entirely possible. I'm so nervous. I shouldn't be because tonight should be a no-brainer. It really should, but not with these people.</v>
      </c>
      <c r="R54" s="4"/>
      <c r="S54" s="3" t="str">
        <f>IFERROR(__xludf.DUMMYFUNCTION("""COMPUTED_VALUE"""),"S32 Michele (7/12): When Jeff said, “You’re the final three,” I couldn’t have been more ecstatic. But then Jeff turns around and says, “Whoever wins this challenge has a chance to vote out a jury member,” and that’s huge! This has never happened in this g"&amp;"ame, so it’s new territory, and I want to make sure that I have thought of every possible outcome because it could be a million dollar decision that I’m making tonight.")</f>
        <v>S32 Michele (7/12): When Jeff said, “You’re the final three,” I couldn’t have been more ecstatic. But then Jeff turns around and says, “Whoever wins this challenge has a chance to vote out a jury member,” and that’s huge! This has never happened in this game, so it’s new territory, and I want to make sure that I have thought of every possible outcome because it could be a million dollar decision that I’m making tonight.</v>
      </c>
      <c r="T54" s="4"/>
      <c r="U54" s="3"/>
      <c r="V54" s="4"/>
      <c r="W54" s="3" t="str">
        <f>IFERROR(__xludf.DUMMYFUNCTION("""COMPUTED_VALUE"""),"S30 Mike (4/5): I see right through the plan: trying to make me feel like I'm safe so I don't play my idol. But that ain't happening, brother. I'm not an idiot. Just 'cause I talk slow don't mean I think slow.")</f>
        <v>S30 Mike (4/5): I see right through the plan: trying to make me feel like I'm safe so I don't play my idol. But that ain't happening, brother. I'm not an idiot. Just 'cause I talk slow don't mean I think slow.</v>
      </c>
      <c r="X54" s="4"/>
      <c r="Y54" s="3"/>
      <c r="Z54" s="4"/>
      <c r="AA54" s="3" t="str">
        <f>IFERROR(__xludf.DUMMYFUNCTION("""COMPUTED_VALUE"""),"S28 Tony (5/9): I’m telling Trish I’m trying to talk strategy, I’m trying to do something, trying to enlighten them on what’s going on; how-how crucial this was today. I mean, this can be the beginning of our demise. And she’s saying, “Where’s the limes a"&amp;"nd the papayas?” So Tony has to go strategise by himself as usual. And I just need a few minutes to myself, I’m gonna go look for the idol. As far as the idol that’s hiding in the riverbank, is very possible that Spencer, Tash or Jeremiah have it. But whe"&amp;"n we had a merge, it said hidden near camp is an idol with special powers. That’s all I know about it. Let me find that idol. I’ll be Super Tony. Tony in trouble no more.")</f>
        <v>S28 Tony (5/9): I’m telling Trish I’m trying to talk strategy, I’m trying to do something, trying to enlighten them on what’s going on; how-how crucial this was today. I mean, this can be the beginning of our demise. And she’s saying, “Where’s the limes and the papayas?” So Tony has to go strategise by himself as usual. And I just need a few minutes to myself, I’m gonna go look for the idol. As far as the idol that’s hiding in the riverbank, is very possible that Spencer, Tash or Jeremiah have it. But when we had a merge, it said hidden near camp is an idol with special powers. That’s all I know about it. Let me find that idol. I’ll be Super Tony. Tony in trouble no more.</v>
      </c>
      <c r="AB54" s="4"/>
      <c r="AC54" s="3"/>
      <c r="AD54" s="4"/>
      <c r="AE54" s="3" t="str">
        <f>IFERROR(__xludf.DUMMYFUNCTION("""COMPUTED_VALUE"""),"S26 Cochran (3/7): My dad's a neurologist, kind of a bookish guy. He's wearing sunglasses all of a sudden and he’s working the grill like an old pro. I think he’s putting kind of an act to look like a cool dude when he's anything but. I mean, he's basical"&amp;"ly me in forty years. I don't know if he's gone Hollywood or what's going on but he's flipping burgers and poking at hot dogs on a grill. Like, “Since when are we doing that, dad?!”")</f>
        <v>S26 Cochran (3/7): My dad's a neurologist, kind of a bookish guy. He's wearing sunglasses all of a sudden and he’s working the grill like an old pro. I think he’s putting kind of an act to look like a cool dude when he's anything but. I mean, he's basically me in forty years. I don't know if he's gone Hollywood or what's going on but he's flipping burgers and poking at hot dogs on a grill. Like, “Since when are we doing that, dad?!”</v>
      </c>
      <c r="AF54" s="4"/>
      <c r="AG54" s="3"/>
      <c r="AH54" s="4"/>
      <c r="AI54" s="3" t="str">
        <f>IFERROR(__xludf.DUMMYFUNCTION("""COMPUTED_VALUE"""),"S24 Kim (7/8): The interesting thing about Christina's response is that she literally didn't fight for it. I feel like I did make my decision to go with Chelsea and Sabrina, but I think I'm starting to second guess myself. Like, up until this point there "&amp;"was less at stake, you know what I mean? It’s like, there were more chances to go home. And, I mean, the decision is going to change who I sit there at the end with. I think if I do take Christina, then I really don't think she could get one vote. And I d"&amp;"o think Sabrina will receive quite a few more votes than Christina would. So I'm going to try to just make what I think is the best decision for myself in this game.")</f>
        <v>S24 Kim (7/8): The interesting thing about Christina's response is that she literally didn't fight for it. I feel like I did make my decision to go with Chelsea and Sabrina, but I think I'm starting to second guess myself. Like, up until this point there was less at stake, you know what I mean? It’s like, there were more chances to go home. And, I mean, the decision is going to change who I sit there at the end with. I think if I do take Christina, then I really don't think she could get one vote. And I do think Sabrina will receive quite a few more votes than Christina would. So I'm going to try to just make what I think is the best decision for myself in this game.</v>
      </c>
      <c r="AJ54" s="4"/>
      <c r="AK54" s="3"/>
      <c r="AL54" s="4"/>
      <c r="AM54" s="3" t="str">
        <f>IFERROR(__xludf.DUMMYFUNCTION("""COMPUTED_VALUE"""),"S22 Rob (3/8): Here's the thing... I still can't shake this idol paranoia. Like, idols are what killed me last time around, and I'm still struggling with them. I know I have one idol. But last night at Tribal, Ralph played his idol. So I believe another i"&amp;"dol could be in play at this point. Tonight, we basically have to make up a vote blind. It could potentially cost me my Survivor life.")</f>
        <v>S22 Rob (3/8): Here's the thing... I still can't shake this idol paranoia. Like, idols are what killed me last time around, and I'm still struggling with them. I know I have one idol. But last night at Tribal, Ralph played his idol. So I believe another idol could be in play at this point. Tonight, we basically have to make up a vote blind. It could potentially cost me my Survivor life.</v>
      </c>
      <c r="AN54" s="4"/>
      <c r="AO54" s="3"/>
      <c r="AP54" s="4"/>
      <c r="AQ54" s="3"/>
      <c r="AR54" s="4"/>
      <c r="AS54" s="3"/>
      <c r="AT54" s="4"/>
      <c r="AU54" s="3"/>
      <c r="AV54" s="4"/>
      <c r="AW54" s="3"/>
      <c r="AX54" s="4"/>
      <c r="AY54" s="3"/>
      <c r="AZ54" s="4"/>
      <c r="BA54" s="3"/>
      <c r="BB54" s="4"/>
      <c r="BC54" s="3"/>
      <c r="BD54" s="4"/>
      <c r="BE54" s="3"/>
      <c r="BF54" s="4"/>
      <c r="BG54" s="3"/>
      <c r="BH54" s="4"/>
      <c r="BI54" s="3"/>
      <c r="BJ54" s="4"/>
      <c r="BK54" s="3" t="str">
        <f>IFERROR(__xludf.DUMMYFUNCTION("""COMPUTED_VALUE"""),"S10 Tom (5/9): We came back to camp, and-and I’m thinking, “Wow, I just cast a vote against Ian and tried to get rid of him.” He’s still here. And then you’re saying to yourself, “I am right, aren’t I?” I mean, he did just try to submarine me. You know, i"&amp;"t’s a personal grudge now.")</f>
        <v>S10 Tom (5/9): We came back to camp, and-and I’m thinking, “Wow, I just cast a vote against Ian and tried to get rid of him.” He’s still here. And then you’re saying to yourself, “I am right, aren’t I?” I mean, he did just try to submarine me. You know, it’s a personal grudge now.</v>
      </c>
      <c r="BL54" s="4"/>
      <c r="BM54" s="3" t="str">
        <f>IFERROR(__xludf.DUMMYFUNCTION("""COMPUTED_VALUE"""),"S09 Chris (13/16): I sat down with Eliza on the beach. We went over a scenario about me, her and Julie taking out Twila. I mean, I don't trust Scout. I don't trust Twila. I don't trust Eliza. I don't trust Julie. And they don't trust each other. And the m"&amp;"ost screwed-up thing about it is, I think they all trust me. So… it's… it's getting really crazy. Um, I've probably made it this way myself because I am playing both sides.")</f>
        <v>S09 Chris (13/16): I sat down with Eliza on the beach. We went over a scenario about me, her and Julie taking out Twila. I mean, I don't trust Scout. I don't trust Twila. I don't trust Eliza. I don't trust Julie. And they don't trust each other. And the most screwed-up thing about it is, I think they all trust me. So… it's… it's getting really crazy. Um, I've probably made it this way myself because I am playing both sides.</v>
      </c>
      <c r="BN54" s="4"/>
      <c r="BO54" s="3"/>
      <c r="BP54" s="4"/>
      <c r="BQ54" s="3" t="str">
        <f>IFERROR(__xludf.DUMMYFUNCTION("""COMPUTED_VALUE"""),"S07 Sandra (7/9): If she were smart, she'd keep Jon and vote me out tonight. I will be in damn shock if l'm not voted out tonight.")</f>
        <v>S07 Sandra (7/9): If she were smart, she'd keep Jon and vote me out tonight. I will be in damn shock if l'm not voted out tonight.</v>
      </c>
      <c r="BR54" s="4"/>
      <c r="BS54" s="3"/>
      <c r="BT54" s="4"/>
      <c r="BU54" s="3"/>
      <c r="BV54" s="4"/>
      <c r="BW54" s="3"/>
      <c r="BX54" s="4"/>
      <c r="BY54" s="3"/>
      <c r="BZ54" s="4"/>
      <c r="CA54" s="3"/>
      <c r="CB54" s="4"/>
      <c r="CC54" s="3"/>
      <c r="CD54" s="4"/>
    </row>
    <row r="55">
      <c r="A55" s="3"/>
      <c r="B55" s="4"/>
      <c r="C55" s="3" t="str">
        <f>IFERROR(__xludf.DUMMYFUNCTION("""COMPUTED_VALUE"""),"S40 Tony (2/6): She’s a hyena in the game. And you know what? Time for you to go home.")</f>
        <v>S40 Tony (2/6): She’s a hyena in the game. And you know what? Time for you to go home.</v>
      </c>
      <c r="D55" s="4"/>
      <c r="E55" s="3"/>
      <c r="F55" s="4"/>
      <c r="G55" s="3"/>
      <c r="H55" s="4"/>
      <c r="I55" s="3"/>
      <c r="J55" s="4"/>
      <c r="K55" s="3"/>
      <c r="L55" s="4"/>
      <c r="M55" s="3" t="str">
        <f>IFERROR(__xludf.DUMMYFUNCTION("""COMPUTED_VALUE"""),"S35 Ben (8/12): I don’t get far with Ashley. Trying to patch everything over with her is like talking to a brick wall. So I’m going to keep looking and trying to find this dang idol.")</f>
        <v>S35 Ben (8/12): I don’t get far with Ashley. Trying to patch everything over with her is like talking to a brick wall. So I’m going to keep looking and trying to find this dang idol.</v>
      </c>
      <c r="N55" s="4"/>
      <c r="O55" s="3"/>
      <c r="P55" s="4"/>
      <c r="Q55" s="3" t="str">
        <f>IFERROR(__xludf.DUMMYFUNCTION("""COMPUTED_VALUE"""),"S33 Adam (8/8): I have played a really hard game. I found Hidden Immunity Idols. I won individual immunity. I've blindsided others, but I haven't done it in a way that made me a target. This has been the absolute hardest thing that I've ever done, is leav"&amp;"e my family and my mom in this time because of her cancer. If she knew that I was this close to actually winning, I can only imagine how happy it would make her. That's why I fought so hard to stay in this game. I have to do everything that I possibly can"&amp;" tonight to win it… (tearfully) for her. I cannot let this chance slip away.")</f>
        <v>S33 Adam (8/8): I have played a really hard game. I found Hidden Immunity Idols. I won individual immunity. I've blindsided others, but I haven't done it in a way that made me a target. This has been the absolute hardest thing that I've ever done, is leave my family and my mom in this time because of her cancer. If she knew that I was this close to actually winning, I can only imagine how happy it would make her. That's why I fought so hard to stay in this game. I have to do everything that I possibly can tonight to win it… (tearfully) for her. I cannot let this chance slip away.</v>
      </c>
      <c r="R55" s="4"/>
      <c r="S55" s="3" t="str">
        <f>IFERROR(__xludf.DUMMYFUNCTION("""COMPUTED_VALUE"""),"S32 Michele (8/12): I have a number of options, and I’m weighing them out right now trying to decide which way would be better for me. And it’s scary, because if I take out the wrong person, then I’m going to look really stupid. And this decision that I m"&amp;"ake, that will be the last thing that the jury is gonna remember before the final vote.")</f>
        <v>S32 Michele (8/12): I have a number of options, and I’m weighing them out right now trying to decide which way would be better for me. And it’s scary, because if I take out the wrong person, then I’m going to look really stupid. And this decision that I make, that will be the last thing that the jury is gonna remember before the final vote.</v>
      </c>
      <c r="T55" s="4"/>
      <c r="U55" s="3"/>
      <c r="V55" s="4"/>
      <c r="W55" s="3" t="str">
        <f>IFERROR(__xludf.DUMMYFUNCTION("""COMPUTED_VALUE"""),"S30 Mike (5/5): I really, really, really hope Mama C is 100% on board with me right now because my options of who to work with at this point are a little bit limited.")</f>
        <v>S30 Mike (5/5): I really, really, really hope Mama C is 100% on board with me right now because my options of who to work with at this point are a little bit limited.</v>
      </c>
      <c r="X55" s="4"/>
      <c r="Y55" s="3"/>
      <c r="Z55" s="4"/>
      <c r="AA55" s="3" t="str">
        <f>IFERROR(__xludf.DUMMYFUNCTION("""COMPUTED_VALUE"""),"S28 Tony (6/9): No necklace for Tony once again. So today, I’m not chopping down no wood, I’m not making a fire, I’m not boiling water. I’m on a mission. I need an Immunity Idol. In the past seasons of Survivor, it’s always something iconic. Something... "&amp;"Some landmark. So I figured there’s a crazy-looking tree behind Tree Mail. I checked that when I first came here. I’m gonna check that again. I’m looking for that special idol. And you know what? I’m gonna find it.")</f>
        <v>S28 Tony (6/9): No necklace for Tony once again. So today, I’m not chopping down no wood, I’m not making a fire, I’m not boiling water. I’m on a mission. I need an Immunity Idol. In the past seasons of Survivor, it’s always something iconic. Something... Some landmark. So I figured there’s a crazy-looking tree behind Tree Mail. I checked that when I first came here. I’m gonna check that again. I’m looking for that special idol. And you know what? I’m gonna find it.</v>
      </c>
      <c r="AB55" s="4"/>
      <c r="AC55" s="3"/>
      <c r="AD55" s="4"/>
      <c r="AE55" s="3" t="str">
        <f>IFERROR(__xludf.DUMMYFUNCTION("""COMPUTED_VALUE"""),"S26 Cochran (4/7): At the time that Brenda made her decision to give up her reward and let the four other Survivors enjoy it, there was a sense, “Oh, my God, Brenda is fantastic. She is selfless. This is unbelievable. This is a game winning move.” That's "&amp;"actually what my mom whispered to me. She said, ""Brenda is going to win this game."" But the better and more likable and more untouchable Brenda seems, the more people are going to want to get her out ‘cause we're at that point in the game where likabili"&amp;"ty is a liability and I know that better than anyone else and I think Brenda is going to be experiencing that soon if I have any say in it.")</f>
        <v>S26 Cochran (4/7): At the time that Brenda made her decision to give up her reward and let the four other Survivors enjoy it, there was a sense, “Oh, my God, Brenda is fantastic. She is selfless. This is unbelievable. This is a game winning move.” That's actually what my mom whispered to me. She said, "Brenda is going to win this game." But the better and more likable and more untouchable Brenda seems, the more people are going to want to get her out ‘cause we're at that point in the game where likability is a liability and I know that better than anyone else and I think Brenda is going to be experiencing that soon if I have any say in it.</v>
      </c>
      <c r="AF55" s="4"/>
      <c r="AG55" s="3"/>
      <c r="AH55" s="4"/>
      <c r="AI55" s="3" t="str">
        <f>IFERROR(__xludf.DUMMYFUNCTION("""COMPUTED_VALUE"""),"S24 Kim (8/8): This year has been kind of a tough year for me. I just recently got divorced and, you know, coming out of a really tough marriage, um, after almost four years, you look back and you’re like, “Man, I got married to this person, and, wow, it "&amp;"really doesn't work.” It sort of shakes something in you. So coming out here, and having to make decisions quickly day in and day out, and have them work and-and get to sit here at the end and say, “Wow, these decisions worked out and went really well,” I"&amp;" have definitely gained some of my confidence back, and trusting myself, trusting my discernment, my intuition, and there hasn't been a wrong turn. I'm excited to-to take this and take it back to my real life.")</f>
        <v>S24 Kim (8/8): This year has been kind of a tough year for me. I just recently got divorced and, you know, coming out of a really tough marriage, um, after almost four years, you look back and you’re like, “Man, I got married to this person, and, wow, it really doesn't work.” It sort of shakes something in you. So coming out here, and having to make decisions quickly day in and day out, and have them work and-and get to sit here at the end and say, “Wow, these decisions worked out and went really well,” I have definitely gained some of my confidence back, and trusting myself, trusting my discernment, my intuition, and there hasn't been a wrong turn. I'm excited to-to take this and take it back to my real life.</v>
      </c>
      <c r="AJ55" s="4"/>
      <c r="AK55" s="3"/>
      <c r="AL55" s="4"/>
      <c r="AM55" s="3" t="str">
        <f>IFERROR(__xludf.DUMMYFUNCTION("""COMPUTED_VALUE"""),"S22 Rob (4/8): So we have to pick someone to vote out tonight knowing the possibility that person may actually have an idol or somebody else may have one and give it to that person. This is one of those times in Survivor where you have to gamble.")</f>
        <v>S22 Rob (4/8): So we have to pick someone to vote out tonight knowing the possibility that person may actually have an idol or somebody else may have one and give it to that person. This is one of those times in Survivor where you have to gamble.</v>
      </c>
      <c r="AN55" s="4"/>
      <c r="AO55" s="3"/>
      <c r="AP55" s="4"/>
      <c r="AQ55" s="3"/>
      <c r="AR55" s="4"/>
      <c r="AS55" s="3"/>
      <c r="AT55" s="4"/>
      <c r="AU55" s="3"/>
      <c r="AV55" s="4"/>
      <c r="AW55" s="3"/>
      <c r="AX55" s="4"/>
      <c r="AY55" s="3"/>
      <c r="AZ55" s="4"/>
      <c r="BA55" s="3"/>
      <c r="BB55" s="4"/>
      <c r="BC55" s="3"/>
      <c r="BD55" s="4"/>
      <c r="BE55" s="3"/>
      <c r="BF55" s="4"/>
      <c r="BG55" s="3"/>
      <c r="BH55" s="4"/>
      <c r="BI55" s="3"/>
      <c r="BJ55" s="4"/>
      <c r="BK55" s="3" t="str">
        <f>IFERROR(__xludf.DUMMYFUNCTION("""COMPUTED_VALUE"""),"S10 Tom (6/9): Today is one of the, uh, the sweet moments of this game as you go to your final battle and acknowledge everybody who played with you, against you, sometimes for you, and, uh, give them a burial at sea.")</f>
        <v>S10 Tom (6/9): Today is one of the, uh, the sweet moments of this game as you go to your final battle and acknowledge everybody who played with you, against you, sometimes for you, and, uh, give them a burial at sea.</v>
      </c>
      <c r="BL55" s="4"/>
      <c r="BM55" s="3" t="str">
        <f>IFERROR(__xludf.DUMMYFUNCTION("""COMPUTED_VALUE"""),"S09 Chris (14/16): Scout and Twila are definitely convinced that Julie's the next to go. And then there's me. I'm still weighing my options, but I'm going back and forth like a teeter-totter, you know? I'm thinking, one moment I think I'm gonna keep Julie"&amp;" around, and the next moment, you know, I'm thinking maybe I better stick with Twila and Scout.")</f>
        <v>S09 Chris (14/16): Scout and Twila are definitely convinced that Julie's the next to go. And then there's me. I'm still weighing my options, but I'm going back and forth like a teeter-totter, you know? I'm thinking, one moment I think I'm gonna keep Julie around, and the next moment, you know, I'm thinking maybe I better stick with Twila and Scout.</v>
      </c>
      <c r="BN55" s="4"/>
      <c r="BO55" s="3"/>
      <c r="BP55" s="4"/>
      <c r="BQ55" s="3" t="str">
        <f>IFERROR(__xludf.DUMMYFUNCTION("""COMPUTED_VALUE"""),"S07 Sandra (8/9): I thought, before we even left the camp, that my fate was sealed, that l was third in line. In my head, l already had it planned. ""Okay, grab the torch, step in the right place,"" 'cause every time somebody's surprised and in shock, the"&amp;"y're all over the damn place.")</f>
        <v>S07 Sandra (8/9): I thought, before we even left the camp, that my fate was sealed, that l was third in line. In my head, l already had it planned. "Okay, grab the torch, step in the right place," 'cause every time somebody's surprised and in shock, they're all over the damn place.</v>
      </c>
      <c r="BR55" s="4"/>
      <c r="BS55" s="3"/>
      <c r="BT55" s="4"/>
      <c r="BU55" s="3"/>
      <c r="BV55" s="4"/>
      <c r="BW55" s="3"/>
      <c r="BX55" s="4"/>
      <c r="BY55" s="3"/>
      <c r="BZ55" s="4"/>
      <c r="CA55" s="3"/>
      <c r="CB55" s="4"/>
      <c r="CC55" s="3"/>
      <c r="CD55" s="4"/>
    </row>
    <row r="56">
      <c r="A56" s="3"/>
      <c r="B56" s="4"/>
      <c r="C56" s="3" t="str">
        <f>IFERROR(__xludf.DUMMYFUNCTION("""COMPUTED_VALUE"""),"S40 Tony (3/6): There’s definitely a big consideration to get rid of Ben. Ben won his season with a fire-making challenge. I don’t want to go up against Ben. I played a very hard game. I don’t want to lose it to fire. I know Ben has an idol now. So if I’m"&amp;" gonna make a move, now’s the time to make the move and get rid of Ben. But, in the meantime, I wanna open up the spy nest again. I wanna open it up for business. My spy nest is… I- built it so nice. It’s up there collecting dust. So I say, you know what?"&amp;" I gotta put it back to use, because intel in this game has been the key. ‘Cause this is war. And in war, the more intel you have, the more you can prepare yourself for a counterattack.")</f>
        <v>S40 Tony (3/6): There’s definitely a big consideration to get rid of Ben. Ben won his season with a fire-making challenge. I don’t want to go up against Ben. I played a very hard game. I don’t want to lose it to fire. I know Ben has an idol now. So if I’m gonna make a move, now’s the time to make the move and get rid of Ben. But, in the meantime, I wanna open up the spy nest again. I wanna open it up for business. My spy nest is… I- built it so nice. It’s up there collecting dust. So I say, you know what? I gotta put it back to use, because intel in this game has been the key. ‘Cause this is war. And in war, the more intel you have, the more you can prepare yourself for a counterattack.</v>
      </c>
      <c r="D56" s="4"/>
      <c r="E56" s="3"/>
      <c r="F56" s="4"/>
      <c r="G56" s="3"/>
      <c r="H56" s="4"/>
      <c r="I56" s="3"/>
      <c r="J56" s="4"/>
      <c r="K56" s="3"/>
      <c r="L56" s="4"/>
      <c r="M56" s="3" t="str">
        <f>IFERROR(__xludf.DUMMYFUNCTION("""COMPUTED_VALUE"""),"S35 Ben (9/12): Damn, friggin’ puzzles. This one hurts. This one hurts big time. I needed that one, because considering how last Tribal went, I’m 100% sure everyone is targeting me tonight. But being a marine, you never give up. So I’ma go look around thi"&amp;"s darn island for another idol. Those people are crazy for not following me.")</f>
        <v>S35 Ben (9/12): Damn, friggin’ puzzles. This one hurts. This one hurts big time. I needed that one, because considering how last Tribal went, I’m 100% sure everyone is targeting me tonight. But being a marine, you never give up. So I’ma go look around this darn island for another idol. Those people are crazy for not following me.</v>
      </c>
      <c r="N56" s="4"/>
      <c r="O56" s="3"/>
      <c r="P56" s="4"/>
      <c r="Q56" s="3"/>
      <c r="R56" s="4"/>
      <c r="S56" s="3" t="str">
        <f>IFERROR(__xludf.DUMMYFUNCTION("""COMPUTED_VALUE"""),"S32 Michele (9/12): Neal went out kicking and screaming, and, you know, it proved my point that he was probably going to bash me at Tribal, and I didn’t give him that opportunity. So it was a good choice on my end. But if tonight was any taste of what tom"&amp;"orrow’s going to be like, I think we’re all in for a world of hurt.")</f>
        <v>S32 Michele (9/12): Neal went out kicking and screaming, and, you know, it proved my point that he was probably going to bash me at Tribal, and I didn’t give him that opportunity. So it was a good choice on my end. But if tonight was any taste of what tomorrow’s going to be like, I think we’re all in for a world of hurt.</v>
      </c>
      <c r="T56" s="4"/>
      <c r="U56" s="3"/>
      <c r="V56" s="4"/>
      <c r="W56" s="3" t="str">
        <f>IFERROR(__xludf.DUMMYFUNCTION("""COMPUTED_VALUE"""),"S30 Mike (1/8): Tribal tonight was a whole lot of fun for me because, uh, I finally got to break apart the Six. Because I played my idol tonight, I could be vulnerable, so to secure my spot, I either need to find another idol, or I need to win immunity th"&amp;"e rest of the time out.")</f>
        <v>S30 Mike (1/8): Tribal tonight was a whole lot of fun for me because, uh, I finally got to break apart the Six. Because I played my idol tonight, I could be vulnerable, so to secure my spot, I either need to find another idol, or I need to win immunity the rest of the time out.</v>
      </c>
      <c r="X56" s="4"/>
      <c r="Y56" s="3"/>
      <c r="Z56" s="4"/>
      <c r="AA56" s="3" t="str">
        <f>IFERROR(__xludf.DUMMYFUNCTION("""COMPUTED_VALUE"""),"S28 Tony (7/9): So I went to the crazy-looking tree by Tree Mail. Nothing is there. So I say, “Y’know what? Let me just walk the path in case something pops out.” I run into a tree. It looked like a rocket ship! It had, like, these big roots like... I’ve "&amp;"never seen anything like it! I said, “I gotta start looking here.”")</f>
        <v>S28 Tony (7/9): So I went to the crazy-looking tree by Tree Mail. Nothing is there. So I say, “Y’know what? Let me just walk the path in case something pops out.” I run into a tree. It looked like a rocket ship! It had, like, these big roots like... I’ve never seen anything like it! I said, “I gotta start looking here.”</v>
      </c>
      <c r="AB56" s="4"/>
      <c r="AC56" s="3"/>
      <c r="AD56" s="4"/>
      <c r="AE56" s="3" t="str">
        <f>IFERROR(__xludf.DUMMYFUNCTION("""COMPUTED_VALUE"""),"S26 Cochran (5/7): I'm not going to be jumping out of this challenge. I want to win it but if Eddie wins immunity, it's going to be a pretty stressful day at camp.")</f>
        <v>S26 Cochran (5/7): I'm not going to be jumping out of this challenge. I want to win it but if Eddie wins immunity, it's going to be a pretty stressful day at camp.</v>
      </c>
      <c r="AF56" s="4"/>
      <c r="AG56" s="3"/>
      <c r="AH56" s="4"/>
      <c r="AI56" s="3"/>
      <c r="AJ56" s="4"/>
      <c r="AK56" s="3"/>
      <c r="AL56" s="4"/>
      <c r="AM56" s="3" t="str">
        <f>IFERROR(__xludf.DUMMYFUNCTION("""COMPUTED_VALUE"""),"S22 Rob (5/8): Tonight's Tribal Council was pretty interesting. I think the biggest thing that I took away from it is that Phillip is slowly becoming a very loyal soldier. Which is good for me. And even when faced with, ""You're at the bottom of the pack"&amp;""" comments, by the other tribe, he responded that, ""I love being at the bottom. That's where I'm comfortable."" I'm very happy that Phillip is obeying and doing as he's told and he'll be rewarded for it. Phillip's not really crazy. He's kind of playing "&amp;"crazy. But he is a little crazy, you know? So even this early, I'm still thinking about my end game and the jury. So as far as Phillip and I go, Phillip's at the top of my list. He's my number one. That's all he needs to know. So... Natalie and Phillip ar"&amp;"e coming to the final three with me.")</f>
        <v>S22 Rob (5/8): Tonight's Tribal Council was pretty interesting. I think the biggest thing that I took away from it is that Phillip is slowly becoming a very loyal soldier. Which is good for me. And even when faced with, "You're at the bottom of the pack" comments, by the other tribe, he responded that, "I love being at the bottom. That's where I'm comfortable." I'm very happy that Phillip is obeying and doing as he's told and he'll be rewarded for it. Phillip's not really crazy. He's kind of playing crazy. But he is a little crazy, you know? So even this early, I'm still thinking about my end game and the jury. So as far as Phillip and I go, Phillip's at the top of my list. He's my number one. That's all he needs to know. So... Natalie and Phillip are coming to the final three with me.</v>
      </c>
      <c r="AN56" s="4"/>
      <c r="AO56" s="3"/>
      <c r="AP56" s="4"/>
      <c r="AQ56" s="3"/>
      <c r="AR56" s="4"/>
      <c r="AS56" s="3"/>
      <c r="AT56" s="4"/>
      <c r="AU56" s="3"/>
      <c r="AV56" s="4"/>
      <c r="AW56" s="3"/>
      <c r="AX56" s="4"/>
      <c r="AY56" s="3"/>
      <c r="AZ56" s="4"/>
      <c r="BA56" s="3"/>
      <c r="BB56" s="4"/>
      <c r="BC56" s="3"/>
      <c r="BD56" s="4"/>
      <c r="BE56" s="3"/>
      <c r="BF56" s="4"/>
      <c r="BG56" s="3"/>
      <c r="BH56" s="4"/>
      <c r="BI56" s="3"/>
      <c r="BJ56" s="4"/>
      <c r="BK56" s="3" t="str">
        <f>IFERROR(__xludf.DUMMYFUNCTION("""COMPUTED_VALUE"""),"S10 Tom (7/9): Katie is so likable, and she’s such a character, that, you know, you just don’t know if people just say, “You know what? I’ve had enough of Tom and his Immunity Necklace. I’m going to give it to the one who was able to make it there just by"&amp;" riding with Tom.” To be here today as one of the final two is almost disconnecting. I’m, you know, really having trouble, um… processing it. It’s-it’s like, uh, I’m kind of numb to the whole thing right now. Final Tribal Council is tonight. We won’t be b"&amp;"ack to this beach. This is our last day here. And, uh, you know, it’s bittersweet. It’s-it’s… it’s been tough here, but it’s been the experience of a lifetime and, uh… I think we’re going to take this place apart with a little lump in our throat.")</f>
        <v>S10 Tom (7/9): Katie is so likable, and she’s such a character, that, you know, you just don’t know if people just say, “You know what? I’ve had enough of Tom and his Immunity Necklace. I’m going to give it to the one who was able to make it there just by riding with Tom.” To be here today as one of the final two is almost disconnecting. I’m, you know, really having trouble, um… processing it. It’s-it’s like, uh, I’m kind of numb to the whole thing right now. Final Tribal Council is tonight. We won’t be back to this beach. This is our last day here. And, uh, you know, it’s bittersweet. It’s-it’s… it’s been tough here, but it’s been the experience of a lifetime and, uh… I think we’re going to take this place apart with a little lump in our throat.</v>
      </c>
      <c r="BL56" s="4"/>
      <c r="BM56" s="3" t="str">
        <f>IFERROR(__xludf.DUMMYFUNCTION("""COMPUTED_VALUE"""),"S09 Chris (15/16): Everybody's scrambling. I just think I'm in a better position than, you know, Twila, Scout, Eliza, or Julie right now because I’m-I'm pretty much the middle man, as far as I know. You know, what them four have conspired or talked about,"&amp;" I don't know. I don't trust any of them. They're thick as thieves, man. They're all women. How do you trust any of them? So, I don't know what I'm going to do. I'm messing with both sides, but it's… it’s kind of easy to do right now. I mean, I need to do"&amp;" it to figure out what my best option is right now.")</f>
        <v>S09 Chris (15/16): Everybody's scrambling. I just think I'm in a better position than, you know, Twila, Scout, Eliza, or Julie right now because I’m-I'm pretty much the middle man, as far as I know. You know, what them four have conspired or talked about, I don't know. I don't trust any of them. They're thick as thieves, man. They're all women. How do you trust any of them? So, I don't know what I'm going to do. I'm messing with both sides, but it's… it’s kind of easy to do right now. I mean, I need to do it to figure out what my best option is right now.</v>
      </c>
      <c r="BN56" s="4"/>
      <c r="BO56" s="3"/>
      <c r="BP56" s="4"/>
      <c r="BQ56" s="3" t="str">
        <f>IFERROR(__xludf.DUMMYFUNCTION("""COMPUTED_VALUE"""),"S07 Sandra (9/9): To this day, no one has ever put my name on a piece of parchment. They write it tonight, it's to give me the money. It'Il be for a good reason, not for a bad reason. And that was one of my goals. Lill is a good person. So, l don't know w"&amp;"hy she doesn't deserve it more than l do or why she does deserve it more than l do. I hope l win a million dollars tonight. I think l have a good chance. I think that what this will come down to is a three to four vote. It's going to be something real clo"&amp;"se.")</f>
        <v>S07 Sandra (9/9): To this day, no one has ever put my name on a piece of parchment. They write it tonight, it's to give me the money. It'Il be for a good reason, not for a bad reason. And that was one of my goals. Lill is a good person. So, l don't know why she doesn't deserve it more than l do or why she does deserve it more than l do. I hope l win a million dollars tonight. I think l have a good chance. I think that what this will come down to is a three to four vote. It's going to be something real close.</v>
      </c>
      <c r="BR56" s="4"/>
      <c r="BS56" s="3"/>
      <c r="BT56" s="4"/>
      <c r="BU56" s="3"/>
      <c r="BV56" s="4"/>
      <c r="BW56" s="3"/>
      <c r="BX56" s="4"/>
      <c r="BY56" s="3"/>
      <c r="BZ56" s="4"/>
      <c r="CA56" s="3"/>
      <c r="CB56" s="4"/>
      <c r="CC56" s="3"/>
      <c r="CD56" s="4"/>
    </row>
    <row r="57">
      <c r="A57" s="3"/>
      <c r="B57" s="4"/>
      <c r="C57" s="3" t="str">
        <f>IFERROR(__xludf.DUMMYFUNCTION("""COMPUTED_VALUE"""),"S40 Tony (4/6): So, I was open for business, and the spy nest? (exhales) It came through for me big time, because I got to hear a lot of stuff.")</f>
        <v>S40 Tony (4/6): So, I was open for business, and the spy nest? (exhales) It came through for me big time, because I got to hear a lot of stuff.</v>
      </c>
      <c r="D57" s="4"/>
      <c r="E57" s="3"/>
      <c r="F57" s="4"/>
      <c r="G57" s="3"/>
      <c r="H57" s="4"/>
      <c r="I57" s="3"/>
      <c r="J57" s="4"/>
      <c r="K57" s="3"/>
      <c r="L57" s="4"/>
      <c r="M57" s="3" t="str">
        <f>IFERROR(__xludf.DUMMYFUNCTION("""COMPUTED_VALUE"""),"S35 Ben (10/12): Looking around, I peek around a tree, and I see a purple box with a black arrow pointed down.")</f>
        <v>S35 Ben (10/12): Looking around, I peek around a tree, and I see a purple box with a black arrow pointed down.</v>
      </c>
      <c r="N57" s="4"/>
      <c r="O57" s="3"/>
      <c r="P57" s="4"/>
      <c r="Q57" s="3"/>
      <c r="R57" s="4"/>
      <c r="S57" s="3" t="str">
        <f>IFERROR(__xludf.DUMMYFUNCTION("""COMPUTED_VALUE"""),"S32 Michele (10/12): Being here and knowing that I’m final three, I’m like, “Okay, there is a freakin’ shot.”")</f>
        <v>S32 Michele (10/12): Being here and knowing that I’m final three, I’m like, “Okay, there is a freakin’ shot.”</v>
      </c>
      <c r="T57" s="4"/>
      <c r="U57" s="3"/>
      <c r="V57" s="4"/>
      <c r="W57" s="3" t="str">
        <f>IFERROR(__xludf.DUMMYFUNCTION("""COMPUTED_VALUE"""),"S30 Mike (2/8): I love my new little angel Carolyn, 'cause I know what Dan's advantage is now. I hope that she feels like she can trust me and that we can move forward and work together a little bit to eliminate some bigger threats in this game.")</f>
        <v>S30 Mike (2/8): I love my new little angel Carolyn, 'cause I know what Dan's advantage is now. I hope that she feels like she can trust me and that we can move forward and work together a little bit to eliminate some bigger threats in this game.</v>
      </c>
      <c r="X57" s="4"/>
      <c r="Y57" s="3"/>
      <c r="Z57" s="4"/>
      <c r="AA57" s="3" t="str">
        <f>IFERROR(__xludf.DUMMYFUNCTION("""COMPUTED_VALUE"""),"S28 Tony (8/9): So I start digging, I start scratching. And then I felt something! So I took a piece of stick and I start digging, I start digging, I start digging! I said, “Oh please, please let this be it!” I almost passed out. I was just so happy. And "&amp;"then when I opened it, it’s the special idol. Oh! This special idol that I found today is priceless. After you see the votes, you can use it? (blows raspberry) Everybody’s eyes say, “Bing!”")</f>
        <v>S28 Tony (8/9): So I start digging, I start scratching. And then I felt something! So I took a piece of stick and I start digging, I start digging, I start digging! I said, “Oh please, please let this be it!” I almost passed out. I was just so happy. And then when I opened it, it’s the special idol. Oh! This special idol that I found today is priceless. After you see the votes, you can use it? (blows raspberry) Everybody’s eyes say, “Bing!”</v>
      </c>
      <c r="AB57" s="4"/>
      <c r="AC57" s="3"/>
      <c r="AD57" s="4"/>
      <c r="AE57" s="3" t="str">
        <f>IFERROR(__xludf.DUMMYFUNCTION("""COMPUTED_VALUE"""),"S26 Cochran (6/7): If I had my pick between Eddie and Brenda, personally, I'd like to have Brenda go. I think it's a great move that benefits me and actually even indirectly benefits Dawn and Sherri. But I'm thinking, “Okay, the problem with that is that "&amp;"everybody is so gung-ho about getting Eddie out.” I mean, it's a foregone conclusion when we got back to camp, so I thought, “This is going to be a pretty hard sell.”")</f>
        <v>S26 Cochran (6/7): If I had my pick between Eddie and Brenda, personally, I'd like to have Brenda go. I think it's a great move that benefits me and actually even indirectly benefits Dawn and Sherri. But I'm thinking, “Okay, the problem with that is that everybody is so gung-ho about getting Eddie out.” I mean, it's a foregone conclusion when we got back to camp, so I thought, “This is going to be a pretty hard sell.”</v>
      </c>
      <c r="AF57" s="4"/>
      <c r="AG57" s="3"/>
      <c r="AH57" s="4"/>
      <c r="AI57" s="3"/>
      <c r="AJ57" s="4"/>
      <c r="AK57" s="3"/>
      <c r="AL57" s="4"/>
      <c r="AM57" s="3" t="str">
        <f>IFERROR(__xludf.DUMMYFUNCTION("""COMPUTED_VALUE"""),"S22 Rob (6/8): A win is always important. I never want to lose. I always like to have an edge. I don't want the Zapatera people to have immunity. I don't want them to have any kind of momentum. I don't want them to feel like they have any power. So as lon"&amp;"g as someone from our side wins, I'm going to be happy at this point.")</f>
        <v>S22 Rob (6/8): A win is always important. I never want to lose. I always like to have an edge. I don't want the Zapatera people to have immunity. I don't want them to have any kind of momentum. I don't want them to feel like they have any power. So as long as someone from our side wins, I'm going to be happy at this point.</v>
      </c>
      <c r="AN57" s="4"/>
      <c r="AO57" s="3"/>
      <c r="AP57" s="4"/>
      <c r="AQ57" s="3"/>
      <c r="AR57" s="4"/>
      <c r="AS57" s="3"/>
      <c r="AT57" s="4"/>
      <c r="AU57" s="3"/>
      <c r="AV57" s="4"/>
      <c r="AW57" s="3"/>
      <c r="AX57" s="4"/>
      <c r="AY57" s="3"/>
      <c r="AZ57" s="4"/>
      <c r="BA57" s="3"/>
      <c r="BB57" s="4"/>
      <c r="BC57" s="3"/>
      <c r="BD57" s="4"/>
      <c r="BE57" s="3"/>
      <c r="BF57" s="4"/>
      <c r="BG57" s="3"/>
      <c r="BH57" s="4"/>
      <c r="BI57" s="3"/>
      <c r="BJ57" s="4"/>
      <c r="BK57" s="3" t="str">
        <f>IFERROR(__xludf.DUMMYFUNCTION("""COMPUTED_VALUE"""),"S10 Tom (8/9): We’re going to get a good bonfire going, and, uh, it’ll be a celebratory bonfire, and the picnic table won’t be used by any other tribe, or family gathering. That’s, uh… it fed this tribe, this family, and, uh… it’s a great day to be here.")</f>
        <v>S10 Tom (8/9): We’re going to get a good bonfire going, and, uh, it’ll be a celebratory bonfire, and the picnic table won’t be used by any other tribe, or family gathering. That’s, uh… it fed this tribe, this family, and, uh… it’s a great day to be here.</v>
      </c>
      <c r="BL57" s="4"/>
      <c r="BM57" s="3" t="str">
        <f>IFERROR(__xludf.DUMMYFUNCTION("""COMPUTED_VALUE"""),"S09 Chris (16/16): I told Julie that I'm keeping her. I told Twila that I'm keeping her. I'm gonna put myself in the best possible situation to win the game. It's tough right now. I'm gonna have to make a decision before long.")</f>
        <v>S09 Chris (16/16): I told Julie that I'm keeping her. I told Twila that I'm keeping her. I'm gonna put myself in the best possible situation to win the game. It's tough right now. I'm gonna have to make a decision before long.</v>
      </c>
      <c r="BN57" s="4"/>
      <c r="BO57" s="3"/>
      <c r="BP57" s="4"/>
      <c r="BQ57" s="3"/>
      <c r="BR57" s="4"/>
      <c r="BS57" s="3"/>
      <c r="BT57" s="4"/>
      <c r="BU57" s="3"/>
      <c r="BV57" s="4"/>
      <c r="BW57" s="3"/>
      <c r="BX57" s="4"/>
      <c r="BY57" s="3"/>
      <c r="BZ57" s="4"/>
      <c r="CA57" s="3"/>
      <c r="CB57" s="4"/>
      <c r="CC57" s="3"/>
      <c r="CD57" s="4"/>
    </row>
    <row r="58">
      <c r="A58" s="3"/>
      <c r="B58" s="4"/>
      <c r="C58" s="3" t="str">
        <f>IFERROR(__xludf.DUMMYFUNCTION("""COMPUTED_VALUE"""),"S40 Tony (5/6): Denise was like, “Hey, guys, what are you thinking about the Final Four? Because I don’t think we can beat Tony.” So, once I heard that, I knew Denise has to go, because she doesn’t want me in the finals. If you don’t want me in the finals"&amp;", that means I don’t want you in the finals. So you gotta go. Let’s see who gets the first punch first.")</f>
        <v>S40 Tony (5/6): Denise was like, “Hey, guys, what are you thinking about the Final Four? Because I don’t think we can beat Tony.” So, once I heard that, I knew Denise has to go, because she doesn’t want me in the finals. If you don’t want me in the finals, that means I don’t want you in the finals. So you gotta go. Let’s see who gets the first punch first.</v>
      </c>
      <c r="D58" s="4"/>
      <c r="E58" s="3"/>
      <c r="F58" s="4"/>
      <c r="G58" s="3"/>
      <c r="H58" s="4"/>
      <c r="I58" s="3"/>
      <c r="J58" s="4"/>
      <c r="K58" s="3"/>
      <c r="L58" s="4"/>
      <c r="M58" s="3" t="str">
        <f>IFERROR(__xludf.DUMMYFUNCTION("""COMPUTED_VALUE"""),"S35 Ben (11/12): No way! No way! I found it! I found the dang clue. I got the map to the idol. On it is a picture of our bed. It has an “X” on the bed, so I’m pretty nervous, ‘cause it’s in plain sight of everybody. I’m hoping that nobody back at camp. I "&amp;"get back to camp and Ryan, Devon and Mike was at the fire. I don’t know how I’m going to pull this off.")</f>
        <v>S35 Ben (11/12): No way! No way! I found it! I found the dang clue. I got the map to the idol. On it is a picture of our bed. It has an “X” on the bed, so I’m pretty nervous, ‘cause it’s in plain sight of everybody. I’m hoping that nobody back at camp. I get back to camp and Ryan, Devon and Mike was at the fire. I don’t know how I’m going to pull this off.</v>
      </c>
      <c r="N58" s="4"/>
      <c r="O58" s="3"/>
      <c r="P58" s="4"/>
      <c r="Q58" s="3"/>
      <c r="R58" s="4"/>
      <c r="S58" s="3" t="str">
        <f>IFERROR(__xludf.DUMMYFUNCTION("""COMPUTED_VALUE"""),"S32 Michele (11/12): Tonight, I’m gonna convince the jury that I didn’t get here by luck or by chance and that, you know, I didn’t slide through. I made little adjustments here and there and fought my way to my spot here. And when I needed to win challeng"&amp;"es, that’s exactly what I did.")</f>
        <v>S32 Michele (11/12): Tonight, I’m gonna convince the jury that I didn’t get here by luck or by chance and that, you know, I didn’t slide through. I made little adjustments here and there and fought my way to my spot here. And when I needed to win challenges, that’s exactly what I did.</v>
      </c>
      <c r="T58" s="4"/>
      <c r="U58" s="3"/>
      <c r="V58" s="4"/>
      <c r="W58" s="3" t="str">
        <f>IFERROR(__xludf.DUMMYFUNCTION("""COMPUTED_VALUE"""),"S30 Mike (3/8): I've never been on a helicopter before in my entire life, and it was... epic.")</f>
        <v>S30 Mike (3/8): I've never been on a helicopter before in my entire life, and it was... epic.</v>
      </c>
      <c r="X58" s="4"/>
      <c r="Y58" s="3"/>
      <c r="Z58" s="4"/>
      <c r="AA58" s="3" t="str">
        <f>IFERROR(__xludf.DUMMYFUNCTION("""COMPUTED_VALUE"""),"S28 Tony (9/9): You know how powerful that is? I’m gonna show you how powerful that is.")</f>
        <v>S28 Tony (9/9): You know how powerful that is? I’m gonna show you how powerful that is.</v>
      </c>
      <c r="AB58" s="4"/>
      <c r="AC58" s="3"/>
      <c r="AD58" s="4"/>
      <c r="AE58" s="3" t="str">
        <f>IFERROR(__xludf.DUMMYFUNCTION("""COMPUTED_VALUE"""),"S26 Cochran (7/7): It is the perfect move ‘cause tonight is the perfect night to make it. If Brenda had one more day in this game, she could upset everything. There are only a few days left. She could go on a winning streak. She would win at the Final Tri"&amp;"bal Council. I'm making sure that doesn't happen.")</f>
        <v>S26 Cochran (7/7): It is the perfect move ‘cause tonight is the perfect night to make it. If Brenda had one more day in this game, she could upset everything. There are only a few days left. She could go on a winning streak. She would win at the Final Tribal Council. I'm making sure that doesn't happen.</v>
      </c>
      <c r="AF58" s="4"/>
      <c r="AG58" s="3"/>
      <c r="AH58" s="4"/>
      <c r="AI58" s="3"/>
      <c r="AJ58" s="4"/>
      <c r="AK58" s="3"/>
      <c r="AL58" s="4"/>
      <c r="AM58" s="3" t="str">
        <f>IFERROR(__xludf.DUMMYFUNCTION("""COMPUTED_VALUE"""),"S22 Rob (7/8): Here's the thing, I'm running my tribe like the Army. I'm the general, they're soldiers and they're all doing as they're told which is a wonderful thing.")</f>
        <v>S22 Rob (7/8): Here's the thing, I'm running my tribe like the Army. I'm the general, they're soldiers and they're all doing as they're told which is a wonderful thing.</v>
      </c>
      <c r="AN58" s="4"/>
      <c r="AO58" s="3"/>
      <c r="AP58" s="4"/>
      <c r="AQ58" s="3"/>
      <c r="AR58" s="4"/>
      <c r="AS58" s="3"/>
      <c r="AT58" s="4"/>
      <c r="AU58" s="3"/>
      <c r="AV58" s="4"/>
      <c r="AW58" s="3"/>
      <c r="AX58" s="4"/>
      <c r="AY58" s="3"/>
      <c r="AZ58" s="4"/>
      <c r="BA58" s="3"/>
      <c r="BB58" s="4"/>
      <c r="BC58" s="3"/>
      <c r="BD58" s="4"/>
      <c r="BE58" s="3"/>
      <c r="BF58" s="4"/>
      <c r="BG58" s="3"/>
      <c r="BH58" s="4"/>
      <c r="BI58" s="3"/>
      <c r="BJ58" s="4"/>
      <c r="BK58" s="3" t="str">
        <f>IFERROR(__xludf.DUMMYFUNCTION("""COMPUTED_VALUE"""),"S10 Tom (9/9): The jury tonight, um, no treachery or half-truths or-or sugarcoating things. Uh, whatever I did got me to where I am right now and, uh, so be it. Now it’s in their hands, not mine.")</f>
        <v>S10 Tom (9/9): The jury tonight, um, no treachery or half-truths or-or sugarcoating things. Uh, whatever I did got me to where I am right now and, uh, so be it. Now it’s in their hands, not mine.</v>
      </c>
      <c r="BL58" s="4"/>
      <c r="BM58" s="3" t="str">
        <f>IFERROR(__xludf.DUMMYFUNCTION("""COMPUTED_VALUE"""),"S09 Chris (1/15): I voted off Julie tonight at Tribal Council. Uh, took Eliza by surprise. Oh, well, Julie had it coming. She pulled a fast one on me after the merge. I got her back. It's all in good game.")</f>
        <v>S09 Chris (1/15): I voted off Julie tonight at Tribal Council. Uh, took Eliza by surprise. Oh, well, Julie had it coming. She pulled a fast one on me after the merge. I got her back. It's all in good game.</v>
      </c>
      <c r="BN58" s="4"/>
      <c r="BO58" s="3"/>
      <c r="BP58" s="4"/>
      <c r="BQ58" s="3"/>
      <c r="BR58" s="4"/>
      <c r="BS58" s="3"/>
      <c r="BT58" s="4"/>
      <c r="BU58" s="3"/>
      <c r="BV58" s="4"/>
      <c r="BW58" s="3"/>
      <c r="BX58" s="4"/>
      <c r="BY58" s="3"/>
      <c r="BZ58" s="4"/>
      <c r="CA58" s="3"/>
      <c r="CB58" s="4"/>
      <c r="CC58" s="3"/>
      <c r="CD58" s="4"/>
    </row>
    <row r="59">
      <c r="A59" s="3"/>
      <c r="B59" s="4"/>
      <c r="C59" s="3" t="str">
        <f>IFERROR(__xludf.DUMMYFUNCTION("""COMPUTED_VALUE"""),"S40 Tony (6/6): I was tossing the idea of blindsiding Ben, but now no more. So, right now the pecking order has changed, and it went straight to Denise.")</f>
        <v>S40 Tony (6/6): I was tossing the idea of blindsiding Ben, but now no more. So, right now the pecking order has changed, and it went straight to Denise.</v>
      </c>
      <c r="D59" s="4"/>
      <c r="E59" s="3"/>
      <c r="F59" s="4"/>
      <c r="G59" s="3"/>
      <c r="H59" s="4"/>
      <c r="I59" s="3"/>
      <c r="J59" s="4"/>
      <c r="K59" s="3"/>
      <c r="L59" s="4"/>
      <c r="M59" s="3" t="str">
        <f>IFERROR(__xludf.DUMMYFUNCTION("""COMPUTED_VALUE"""),"S35 Ben (12/12): If I start digging around the base of the bed and pull out a purple thing, everyone is going to know what that is. Time is running out. I can’t see nothing. Everybody on this camp wants me gone, but if I can find the idol, I can blow up t"&amp;"his whole game, so I’m not going anywhere until I get that idol.")</f>
        <v>S35 Ben (12/12): If I start digging around the base of the bed and pull out a purple thing, everyone is going to know what that is. Time is running out. I can’t see nothing. Everybody on this camp wants me gone, but if I can find the idol, I can blow up this whole game, so I’m not going anywhere until I get that idol.</v>
      </c>
      <c r="N59" s="4"/>
      <c r="O59" s="3"/>
      <c r="P59" s="4"/>
      <c r="Q59" s="3"/>
      <c r="R59" s="4"/>
      <c r="S59" s="3" t="str">
        <f>IFERROR(__xludf.DUMMYFUNCTION("""COMPUTED_VALUE"""),"S32 Michele (12/12): At the end of the day, I need that million dollars, so I’m putting it all on the line, and I hope that people can see that I’m not some timid girl who’s glided along, but rather, somebody who strategically made moves this whole game.")</f>
        <v>S32 Michele (12/12): At the end of the day, I need that million dollars, so I’m putting it all on the line, and I hope that people can see that I’m not some timid girl who’s glided along, but rather, somebody who strategically made moves this whole game.</v>
      </c>
      <c r="T59" s="4"/>
      <c r="U59" s="3"/>
      <c r="V59" s="4"/>
      <c r="W59" s="3" t="str">
        <f>IFERROR(__xludf.DUMMYFUNCTION("""COMPUTED_VALUE"""),"S30 Mike (4/8): We land in this open field, and there's this table and its got all the food on it that you could ever want or need to get yourself through the rest of this game.")</f>
        <v>S30 Mike (4/8): We land in this open field, and there's this table and its got all the food on it that you could ever want or need to get yourself through the rest of this game.</v>
      </c>
      <c r="X59" s="4"/>
      <c r="Y59" s="3"/>
      <c r="Z59" s="4"/>
      <c r="AA59" s="3" t="str">
        <f>IFERROR(__xludf.DUMMYFUNCTION("""COMPUTED_VALUE"""),"S28 Tony (1/13): Historically, in the game of Survivor, every time there’s an Auction, there’s always some kind of advantage to a challenge. The second I hear Jeff say, “Adva... (raises hand) Five hundred!” I want that advantage and I don’t want Spencer o"&amp;"r Tash to have it.")</f>
        <v>S28 Tony (1/13): Historically, in the game of Survivor, every time there’s an Auction, there’s always some kind of advantage to a challenge. The second I hear Jeff say, “Adva... (raises hand) Five hundred!” I want that advantage and I don’t want Spencer or Tash to have it.</v>
      </c>
      <c r="AB59" s="4"/>
      <c r="AC59" s="3"/>
      <c r="AD59" s="4"/>
      <c r="AE59" s="3" t="str">
        <f>IFERROR(__xludf.DUMMYFUNCTION("""COMPUTED_VALUE"""),"S26 Cochran: I’ve been watching Survivor with my parents for thirteen years. I need to win this game and I’m willing to go to any length to snatch that title.")</f>
        <v>S26 Cochran: I’ve been watching Survivor with my parents for thirteen years. I need to win this game and I’m willing to go to any length to snatch that title.</v>
      </c>
      <c r="AF59" s="4"/>
      <c r="AG59" s="3"/>
      <c r="AH59" s="4"/>
      <c r="AI59" s="3"/>
      <c r="AJ59" s="4"/>
      <c r="AK59" s="3"/>
      <c r="AL59" s="4"/>
      <c r="AM59" s="3" t="str">
        <f>IFERROR(__xludf.DUMMYFUNCTION("""COMPUTED_VALUE"""),"S22 Rob (8/8): You know, what it comes down to tonight, is David or Steve. Do I eliminate what I consider the biggest strategical threat in the game right now, or do I give the old dying T. rex what he wants? Because I think he wants to go home and gettin"&amp;"g rid of Steve, it may give me a jury vote. I mean, I've been known to have a mercy killing in me from time to time. Haven't I?")</f>
        <v>S22 Rob (8/8): You know, what it comes down to tonight, is David or Steve. Do I eliminate what I consider the biggest strategical threat in the game right now, or do I give the old dying T. rex what he wants? Because I think he wants to go home and getting rid of Steve, it may give me a jury vote. I mean, I've been known to have a mercy killing in me from time to time. Haven't I?</v>
      </c>
      <c r="AN59" s="4"/>
      <c r="AO59" s="3"/>
      <c r="AP59" s="4"/>
      <c r="AQ59" s="3"/>
      <c r="AR59" s="4"/>
      <c r="AS59" s="3"/>
      <c r="AT59" s="4"/>
      <c r="AU59" s="3"/>
      <c r="AV59" s="4"/>
      <c r="AW59" s="3"/>
      <c r="AX59" s="4"/>
      <c r="AY59" s="3"/>
      <c r="AZ59" s="4"/>
      <c r="BA59" s="3"/>
      <c r="BB59" s="4"/>
      <c r="BC59" s="3"/>
      <c r="BD59" s="4"/>
      <c r="BE59" s="3"/>
      <c r="BF59" s="4"/>
      <c r="BG59" s="3"/>
      <c r="BH59" s="4"/>
      <c r="BI59" s="3"/>
      <c r="BJ59" s="4"/>
      <c r="BK59" s="3"/>
      <c r="BL59" s="4"/>
      <c r="BM59" s="3" t="str">
        <f>IFERROR(__xludf.DUMMYFUNCTION("""COMPUTED_VALUE"""),"S09 Chris (2/15): I don't know. I don't think much about any of the women here since the final seven of us were here. I mean, they're all just playing the game. They turned on each other, and they all got their own opinion, and Eliza and Twila don't like "&amp;"each other, I love it. It puts a little bit of, you know, excitement in camp.")</f>
        <v>S09 Chris (2/15): I don't know. I don't think much about any of the women here since the final seven of us were here. I mean, they're all just playing the game. They turned on each other, and they all got their own opinion, and Eliza and Twila don't like each other, I love it. It puts a little bit of, you know, excitement in camp.</v>
      </c>
      <c r="BN59" s="4"/>
      <c r="BO59" s="3"/>
      <c r="BP59" s="4"/>
      <c r="BQ59" s="3"/>
      <c r="BR59" s="4"/>
      <c r="BS59" s="3"/>
      <c r="BT59" s="4"/>
      <c r="BU59" s="3"/>
      <c r="BV59" s="4"/>
      <c r="BW59" s="3"/>
      <c r="BX59" s="4"/>
      <c r="BY59" s="3"/>
      <c r="BZ59" s="4"/>
      <c r="CA59" s="3"/>
      <c r="CB59" s="4"/>
      <c r="CC59" s="3"/>
      <c r="CD59" s="4"/>
    </row>
    <row r="60">
      <c r="A60" s="3"/>
      <c r="B60" s="4"/>
      <c r="C60" s="3" t="str">
        <f>IFERROR(__xludf.DUMMYFUNCTION("""COMPUTED_VALUE"""),"S40 Tony (1/15): When I seen all these people and they’re telling their stories-- the hardships, the suffering, the struggling that they did on the Edge-- it really hurt me on an emotional level. However, I got to put the emotions to the side. We have a g"&amp;"ame to play. I’m not gonna let off the gas for one second. As a matter of fact, I’m gonna press it even harder, if I can. I’ll put it right through the floor at this time, because the end is coming up.")</f>
        <v>S40 Tony (1/15): When I seen all these people and they’re telling their stories-- the hardships, the suffering, the struggling that they did on the Edge-- it really hurt me on an emotional level. However, I got to put the emotions to the side. We have a game to play. I’m not gonna let off the gas for one second. As a matter of fact, I’m gonna press it even harder, if I can. I’ll put it right through the floor at this time, because the end is coming up.</v>
      </c>
      <c r="D60" s="4"/>
      <c r="E60" s="3"/>
      <c r="F60" s="4"/>
      <c r="G60" s="3"/>
      <c r="H60" s="4"/>
      <c r="I60" s="3"/>
      <c r="J60" s="4"/>
      <c r="K60" s="3"/>
      <c r="L60" s="4"/>
      <c r="M60" s="3" t="str">
        <f>IFERROR(__xludf.DUMMYFUNCTION("""COMPUTED_VALUE"""),"S35 Ben: I’m not going to give up. I’m going to keep trying. And I’m going to go look around this island for another idol, and if I can’t find it, I’m going to do my best to win immunity.")</f>
        <v>S35 Ben: I’m not going to give up. I’m going to keep trying. And I’m going to go look around this island for another idol, and if I can’t find it, I’m going to do my best to win immunity.</v>
      </c>
      <c r="N60" s="4"/>
      <c r="O60" s="3"/>
      <c r="P60" s="4"/>
      <c r="Q60" s="3"/>
      <c r="R60" s="4"/>
      <c r="S60" s="3"/>
      <c r="T60" s="4"/>
      <c r="U60" s="3"/>
      <c r="V60" s="4"/>
      <c r="W60" s="3" t="str">
        <f>IFERROR(__xludf.DUMMYFUNCTION("""COMPUTED_VALUE"""),"S30 Mike (5/8): I don't honestly know exactly where Carolyn's head is at. I'm hoping that it's with me, but if she's not with me and she's with them, I've got to win the immunities to stay in this game.")</f>
        <v>S30 Mike (5/8): I don't honestly know exactly where Carolyn's head is at. I'm hoping that it's with me, but if she's not with me and she's with them, I've got to win the immunities to stay in this game.</v>
      </c>
      <c r="X60" s="4"/>
      <c r="Y60" s="3"/>
      <c r="Z60" s="4"/>
      <c r="AA60" s="3" t="str">
        <f>IFERROR(__xludf.DUMMYFUNCTION("""COMPUTED_VALUE"""),"S28 Tony (2/13): My stomach is starting to tie up in knots. I-I-I didn’t know if I could hold out on temptation. I-I felt shaky, I felt light-headed and I just had to hold off. I wasn’t walking out of there without an advantage.")</f>
        <v>S28 Tony (2/13): My stomach is starting to tie up in knots. I-I-I didn’t know if I could hold out on temptation. I-I felt shaky, I felt light-headed and I just had to hold off. I wasn’t walking out of there without an advantage.</v>
      </c>
      <c r="AB60" s="4"/>
      <c r="AC60" s="3"/>
      <c r="AD60" s="4"/>
      <c r="AE60" s="3" t="str">
        <f>IFERROR(__xludf.DUMMYFUNCTION("""COMPUTED_VALUE"""),"S26 Cochran (1/10): When I looked at Erik, I saw somebody that was very dazed and looked disoriented and just kind of out of it. He was swirling his hands around his head. And I feel bad for him. I know he is a super fan like I am.")</f>
        <v>S26 Cochran (1/10): When I looked at Erik, I saw somebody that was very dazed and looked disoriented and just kind of out of it. He was swirling his hands around his head. And I feel bad for him. I know he is a super fan like I am.</v>
      </c>
      <c r="AF60" s="4"/>
      <c r="AG60" s="3"/>
      <c r="AH60" s="4"/>
      <c r="AI60" s="3"/>
      <c r="AJ60" s="4"/>
      <c r="AK60" s="3"/>
      <c r="AL60" s="4"/>
      <c r="AM60" s="3" t="str">
        <f>IFERROR(__xludf.DUMMYFUNCTION("""COMPUTED_VALUE"""),"S22 Rob (1/3): David's going to be the first member of the jury. We're trying to send people to the duel to beat other people that are already there... namely, Matt. We sent Mike and we sent David, and David failed, so Matt is still in there. If he comes "&amp;"back and beats me, it's over.")</f>
        <v>S22 Rob (1/3): David's going to be the first member of the jury. We're trying to send people to the duel to beat other people that are already there... namely, Matt. We sent Mike and we sent David, and David failed, so Matt is still in there. If he comes back and beats me, it's over.</v>
      </c>
      <c r="AN60" s="4"/>
      <c r="AO60" s="3"/>
      <c r="AP60" s="4"/>
      <c r="AQ60" s="3"/>
      <c r="AR60" s="4"/>
      <c r="AS60" s="3"/>
      <c r="AT60" s="4"/>
      <c r="AU60" s="3"/>
      <c r="AV60" s="4"/>
      <c r="AW60" s="3"/>
      <c r="AX60" s="4"/>
      <c r="AY60" s="3"/>
      <c r="AZ60" s="4"/>
      <c r="BA60" s="3"/>
      <c r="BB60" s="4"/>
      <c r="BC60" s="3"/>
      <c r="BD60" s="4"/>
      <c r="BE60" s="3"/>
      <c r="BF60" s="4"/>
      <c r="BG60" s="3"/>
      <c r="BH60" s="4"/>
      <c r="BI60" s="3"/>
      <c r="BJ60" s="4"/>
      <c r="BK60" s="3"/>
      <c r="BL60" s="4"/>
      <c r="BM60" s="3" t="str">
        <f>IFERROR(__xludf.DUMMYFUNCTION("""COMPUTED_VALUE"""),"S09 Chris (3/15): Oh, man, I needed it bad. I never give up. That's the one thing. I just knew. I'm the last man standing, I'm not giving up on this game. Twila gave me a run for my money, but immunity-- that's just what I wanted. That's all I needed. It'"&amp;"s a good day. I definitely had my work cut out for me. An alliance you've got with somebody or trust… it's not meaning a whole lot right now. It's making that final two and getting a chance to win.")</f>
        <v>S09 Chris (3/15): Oh, man, I needed it bad. I never give up. That's the one thing. I just knew. I'm the last man standing, I'm not giving up on this game. Twila gave me a run for my money, but immunity-- that's just what I wanted. That's all I needed. It's a good day. I definitely had my work cut out for me. An alliance you've got with somebody or trust… it's not meaning a whole lot right now. It's making that final two and getting a chance to win.</v>
      </c>
      <c r="BN60" s="4"/>
      <c r="BO60" s="3"/>
      <c r="BP60" s="4"/>
      <c r="BQ60" s="3"/>
      <c r="BR60" s="4"/>
      <c r="BS60" s="3"/>
      <c r="BT60" s="4"/>
      <c r="BU60" s="3"/>
      <c r="BV60" s="4"/>
      <c r="BW60" s="3"/>
      <c r="BX60" s="4"/>
      <c r="BY60" s="3"/>
      <c r="BZ60" s="4"/>
      <c r="CA60" s="3"/>
      <c r="CB60" s="4"/>
      <c r="CC60" s="3"/>
      <c r="CD60" s="4"/>
    </row>
    <row r="61">
      <c r="A61" s="3"/>
      <c r="B61" s="4"/>
      <c r="C61" s="3" t="str">
        <f>IFERROR(__xludf.DUMMYFUNCTION("""COMPUTED_VALUE"""),"S40 Tony (2/15): You have somebody like Natalie coming into this from the Edge; it’s very tricky. It’s very dangerous for my game, ‘cause she can say whatever she wants to us. That information could be total lies, because nobody’s here from the Edge to de"&amp;"bunk it. And she started blowing up people’s spots, especially mine. She’s like, “Oh, everybody loves you, Tony.” Uh… “You’re-you’re their favorite. You’re-you’re gonna-- you’re-you’re the winner in their eyes.” And I’m like, uh, you know what, this is no"&amp;" good. I hope nobody believes that. I-I mean, deep down inside, I hope it’s true. But I hope nobody believes that, because I don’t want to put this target on my back that I don’t need right now. It’s poison.")</f>
        <v>S40 Tony (2/15): You have somebody like Natalie coming into this from the Edge; it’s very tricky. It’s very dangerous for my game, ‘cause she can say whatever she wants to us. That information could be total lies, because nobody’s here from the Edge to debunk it. And she started blowing up people’s spots, especially mine. She’s like, “Oh, everybody loves you, Tony.” Uh… “You’re-you’re their favorite. You’re-you’re gonna-- you’re-you’re the winner in their eyes.” And I’m like, uh, you know what, this is no good. I hope nobody believes that. I-I mean, deep down inside, I hope it’s true. But I hope nobody believes that, because I don’t want to put this target on my back that I don’t need right now. It’s poison.</v>
      </c>
      <c r="D61" s="4"/>
      <c r="E61" s="3"/>
      <c r="F61" s="4"/>
      <c r="G61" s="3"/>
      <c r="H61" s="4"/>
      <c r="I61" s="3"/>
      <c r="J61" s="4"/>
      <c r="K61" s="3"/>
      <c r="L61" s="4"/>
      <c r="M61" s="3" t="str">
        <f>IFERROR(__xludf.DUMMYFUNCTION("""COMPUTED_VALUE"""),"S35 Ben (1/12): I’m vulnerable. You know, I have no protection now. I have no alliance. And I know they’re gunning for me. The only thing that could blow up their game is if I find another idol. It is absolutely crazy. Nobody’s followed me. They’re feelin"&amp;"g too comfortable. I don’t know why ‘cause them idols can be played till five, and so as long as my heart is beating, I’m looking for an idol. Everybody’s sleeping. Everybody’s zonked out, cozy with their blankets and pillows, and I’m out here for my fami"&amp;"ly. So there ain’t no time for sleeping or rest. This is more than a game for me. You know, this is a mission. This is a job.")</f>
        <v>S35 Ben (1/12): I’m vulnerable. You know, I have no protection now. I have no alliance. And I know they’re gunning for me. The only thing that could blow up their game is if I find another idol. It is absolutely crazy. Nobody’s followed me. They’re feeling too comfortable. I don’t know why ‘cause them idols can be played till five, and so as long as my heart is beating, I’m looking for an idol. Everybody’s sleeping. Everybody’s zonked out, cozy with their blankets and pillows, and I’m out here for my family. So there ain’t no time for sleeping or rest. This is more than a game for me. You know, this is a mission. This is a job.</v>
      </c>
      <c r="N61" s="4"/>
      <c r="O61" s="3"/>
      <c r="P61" s="4"/>
      <c r="Q61" s="3"/>
      <c r="R61" s="4"/>
      <c r="S61" s="3"/>
      <c r="T61" s="4"/>
      <c r="U61" s="3"/>
      <c r="V61" s="4"/>
      <c r="W61" s="3" t="str">
        <f>IFERROR(__xludf.DUMMYFUNCTION("""COMPUTED_VALUE"""),"S30 Mike (6/8): Inside of me it was like the fourth of July in the middle of Texas, fireworks going off, music playing loud because this little necklace right here says one of those Five are going home tonight and it's not me.")</f>
        <v>S30 Mike (6/8): Inside of me it was like the fourth of July in the middle of Texas, fireworks going off, music playing loud because this little necklace right here says one of those Five are going home tonight and it's not me.</v>
      </c>
      <c r="X61" s="4"/>
      <c r="Y61" s="3"/>
      <c r="Z61" s="4"/>
      <c r="AA61" s="3" t="str">
        <f>IFERROR(__xludf.DUMMYFUNCTION("""COMPUTED_VALUE"""),"S28 Tony (3/13): There’s five people in my alliance. All of them were eating. I sacrificed all that food. I’m starving. So I-I felt kind of disgusted, y’know? It’s like, why-why put all that weight on my shoulders?")</f>
        <v>S28 Tony (3/13): There’s five people in my alliance. All of them were eating. I sacrificed all that food. I’m starving. So I-I felt kind of disgusted, y’know? It’s like, why-why put all that weight on my shoulders?</v>
      </c>
      <c r="AB61" s="4"/>
      <c r="AC61" s="3"/>
      <c r="AD61" s="4"/>
      <c r="AE61" s="3" t="str">
        <f>IFERROR(__xludf.DUMMYFUNCTION("""COMPUTED_VALUE"""),"S26 Cochran (2/10): We all get back to camp, kind of exchange a few sad pleasantries about the state of affairs, and I’m already thinking about the game. A little bit more pumped than ever that now I’m in the final four. And my first thought is, “I have t"&amp;"o be the first person to get to Eddie.” Eddie is somebody that I haven’t really bonded with that closely but I need to get into his good graces since he’s probably the guy most likely to win the next Immunity Challenge and therefore to be in a position of"&amp;" power to determine who goes to the final three.")</f>
        <v>S26 Cochran (2/10): We all get back to camp, kind of exchange a few sad pleasantries about the state of affairs, and I’m already thinking about the game. A little bit more pumped than ever that now I’m in the final four. And my first thought is, “I have to be the first person to get to Eddie.” Eddie is somebody that I haven’t really bonded with that closely but I need to get into his good graces since he’s probably the guy most likely to win the next Immunity Challenge and therefore to be in a position of power to determine who goes to the final three.</v>
      </c>
      <c r="AF61" s="4"/>
      <c r="AG61" s="3"/>
      <c r="AH61" s="4"/>
      <c r="AI61" s="3"/>
      <c r="AJ61" s="4"/>
      <c r="AK61" s="3"/>
      <c r="AL61" s="4"/>
      <c r="AM61" s="3" t="str">
        <f>IFERROR(__xludf.DUMMYFUNCTION("""COMPUTED_VALUE"""),"S22 Rob (2/3): You know, what started off as a friendly little song between Grant and I turned into an explosion. Phillip somehow managed to make a war about white rice, racial. I don't know where it came from. And at the end of the day, Phillip will be p"&amp;"ublic enemy number one. I just have to figure out who to make public enemy number two.")</f>
        <v>S22 Rob (2/3): You know, what started off as a friendly little song between Grant and I turned into an explosion. Phillip somehow managed to make a war about white rice, racial. I don't know where it came from. And at the end of the day, Phillip will be public enemy number one. I just have to figure out who to make public enemy number two.</v>
      </c>
      <c r="AN61" s="4"/>
      <c r="AO61" s="3"/>
      <c r="AP61" s="4"/>
      <c r="AQ61" s="3"/>
      <c r="AR61" s="4"/>
      <c r="AS61" s="3"/>
      <c r="AT61" s="4"/>
      <c r="AU61" s="3"/>
      <c r="AV61" s="4"/>
      <c r="AW61" s="3"/>
      <c r="AX61" s="4"/>
      <c r="AY61" s="3"/>
      <c r="AZ61" s="4"/>
      <c r="BA61" s="3"/>
      <c r="BB61" s="4"/>
      <c r="BC61" s="3"/>
      <c r="BD61" s="4"/>
      <c r="BE61" s="3"/>
      <c r="BF61" s="4"/>
      <c r="BG61" s="3"/>
      <c r="BH61" s="4"/>
      <c r="BI61" s="3"/>
      <c r="BJ61" s="4"/>
      <c r="BK61" s="3"/>
      <c r="BL61" s="4"/>
      <c r="BM61" s="3" t="str">
        <f>IFERROR(__xludf.DUMMYFUNCTION("""COMPUTED_VALUE"""),"S09 Chris (4/15): Twila is so wound up. You know, Twila works on me. So, I'm gonna have to deal with Twila all afternoon. She gets on my nerves. She's just totally out-of-control nervous all the time.")</f>
        <v>S09 Chris (4/15): Twila is so wound up. You know, Twila works on me. So, I'm gonna have to deal with Twila all afternoon. She gets on my nerves. She's just totally out-of-control nervous all the time.</v>
      </c>
      <c r="BN61" s="4"/>
      <c r="BO61" s="3"/>
      <c r="BP61" s="4"/>
      <c r="BQ61" s="3"/>
      <c r="BR61" s="4"/>
      <c r="BS61" s="3"/>
      <c r="BT61" s="4"/>
      <c r="BU61" s="3"/>
      <c r="BV61" s="4"/>
      <c r="BW61" s="3"/>
      <c r="BX61" s="4"/>
      <c r="BY61" s="3"/>
      <c r="BZ61" s="4"/>
      <c r="CA61" s="3"/>
      <c r="CB61" s="4"/>
      <c r="CC61" s="3"/>
      <c r="CD61" s="4"/>
    </row>
    <row r="62">
      <c r="A62" s="3"/>
      <c r="B62" s="4"/>
      <c r="C62" s="3" t="str">
        <f>IFERROR(__xludf.DUMMYFUNCTION("""COMPUTED_VALUE"""),"S40 Tony (3/15): This next Tribal’s gonna be very, very tricky. We seen it in season 38, where Chris comes back from the Edge with an idol. But I’m glad that happened, because it opens up people’s eyes to see that’s what’s gonna happen to all of you guys."&amp;" I’m pretty nervous about that, because if she plays some advantage, that could be sending me packing, and I don’t want that to happen.")</f>
        <v>S40 Tony (3/15): This next Tribal’s gonna be very, very tricky. We seen it in season 38, where Chris comes back from the Edge with an idol. But I’m glad that happened, because it opens up people’s eyes to see that’s what’s gonna happen to all of you guys. I’m pretty nervous about that, because if she plays some advantage, that could be sending me packing, and I don’t want that to happen.</v>
      </c>
      <c r="D62" s="4"/>
      <c r="E62" s="3"/>
      <c r="F62" s="4"/>
      <c r="G62" s="3"/>
      <c r="H62" s="4"/>
      <c r="I62" s="3"/>
      <c r="J62" s="4"/>
      <c r="K62" s="3"/>
      <c r="L62" s="4"/>
      <c r="M62" s="3" t="str">
        <f>IFERROR(__xludf.DUMMYFUNCTION("""COMPUTED_VALUE"""),"S35 Ben (2/12): I’m so exhausted. I’m trying to hold my eyes open, and I just can’t. I looked everywhere and I can’t find this thing. You know, I feel like I’m letting my wife down. But I know she’ll be proud of me for how hard I tried. I’m not just going"&amp;" to roll over and die, but my back is up against the wall.")</f>
        <v>S35 Ben (2/12): I’m so exhausted. I’m trying to hold my eyes open, and I just can’t. I looked everywhere and I can’t find this thing. You know, I feel like I’m letting my wife down. But I know she’ll be proud of me for how hard I tried. I’m not just going to roll over and die, but my back is up against the wall.</v>
      </c>
      <c r="N62" s="4"/>
      <c r="O62" s="3"/>
      <c r="P62" s="4"/>
      <c r="Q62" s="3"/>
      <c r="R62" s="4"/>
      <c r="S62" s="3"/>
      <c r="T62" s="4"/>
      <c r="U62" s="3"/>
      <c r="V62" s="4"/>
      <c r="W62" s="3" t="str">
        <f>IFERROR(__xludf.DUMMYFUNCTION("""COMPUTED_VALUE"""),"S30 Mike (7/8): Their little family is turning on Dan. Everyone's saying, “Vote Dan, vote Dan, vote Dan.” Well, if they all want Dan gone, it makes me pause and think, “What if I get rid of one of them instead just to completely mess with their plans and "&amp;"not go along with what they want done?”")</f>
        <v>S30 Mike (7/8): Their little family is turning on Dan. Everyone's saying, “Vote Dan, vote Dan, vote Dan.” Well, if they all want Dan gone, it makes me pause and think, “What if I get rid of one of them instead just to completely mess with their plans and not go along with what they want done?”</v>
      </c>
      <c r="X62" s="4"/>
      <c r="Y62" s="3"/>
      <c r="Z62" s="4"/>
      <c r="AA62" s="3" t="str">
        <f>IFERROR(__xludf.DUMMYFUNCTION("""COMPUTED_VALUE"""),"S28 Tony (4/13): The girls don’t do anything. You guys wanted to eat, I starved. This is what I sacrificed not eating for. Right here. So as my alliance is all talking about how good they feel that they ate this and they ate that, I say, “Guys, I’ll be ri"&amp;"ght back. I’m just gonna go for a walk up the beach.”")</f>
        <v>S28 Tony (4/13): The girls don’t do anything. You guys wanted to eat, I starved. This is what I sacrificed not eating for. Right here. So as my alliance is all talking about how good they feel that they ate this and they ate that, I say, “Guys, I’ll be right back. I’m just gonna go for a walk up the beach.”</v>
      </c>
      <c r="AB62" s="4"/>
      <c r="AC62" s="3"/>
      <c r="AD62" s="4"/>
      <c r="AE62" s="3" t="str">
        <f>IFERROR(__xludf.DUMMYFUNCTION("""COMPUTED_VALUE"""),"S26 Cochran (3/10): My great challenge streak, which was temporarily on hold, has come roaring back. Uh, I stacked a house of cards better than any of my opponents and won not only, you know, the-the thrill of being another victor in another challenge, bu"&amp;"t an advantage in the upcoming Final Immunity Challenge. So I am the challenge beast. This could be a million dollar advantage. So winning the advantage was huge. Not only because it-it potentially could help me but because I kept it out of the hands of s"&amp;"ome people I don’t want to have had it. I was scared that Eddie might get the advantage. I also in particular didn't want Dawn to have it in case I decided I want her to go instead is. So it’s in the right hands, it’s in capable hands and I’ll see what ha"&amp;"ppens.")</f>
        <v>S26 Cochran (3/10): My great challenge streak, which was temporarily on hold, has come roaring back. Uh, I stacked a house of cards better than any of my opponents and won not only, you know, the-the thrill of being another victor in another challenge, but an advantage in the upcoming Final Immunity Challenge. So I am the challenge beast. This could be a million dollar advantage. So winning the advantage was huge. Not only because it-it potentially could help me but because I kept it out of the hands of some people I don’t want to have had it. I was scared that Eddie might get the advantage. I also in particular didn't want Dawn to have it in case I decided I want her to go instead is. So it’s in the right hands, it’s in capable hands and I’ll see what happens.</v>
      </c>
      <c r="AF62" s="4"/>
      <c r="AG62" s="3"/>
      <c r="AH62" s="4"/>
      <c r="AI62" s="3"/>
      <c r="AJ62" s="4"/>
      <c r="AK62" s="3"/>
      <c r="AL62" s="4"/>
      <c r="AM62" s="3" t="str">
        <f>IFERROR(__xludf.DUMMYFUNCTION("""COMPUTED_VALUE"""),"S22 Rob (3/3): Tonight, it doesn't matter who we target, really. You got Ralph, you got Steve, and Julie. But, I don't know. I love Phillip, but, I mean, I don't know where his head is. There is room to play, but I don't know where. One man should not hav"&amp;"e this much power on an island, but I'm grateful that I do.")</f>
        <v>S22 Rob (3/3): Tonight, it doesn't matter who we target, really. You got Ralph, you got Steve, and Julie. But, I don't know. I love Phillip, but, I mean, I don't know where his head is. There is room to play, but I don't know where. One man should not have this much power on an island, but I'm grateful that I do.</v>
      </c>
      <c r="AN62" s="4"/>
      <c r="AO62" s="3"/>
      <c r="AP62" s="4"/>
      <c r="AQ62" s="3"/>
      <c r="AR62" s="4"/>
      <c r="AS62" s="3"/>
      <c r="AT62" s="4"/>
      <c r="AU62" s="3"/>
      <c r="AV62" s="4"/>
      <c r="AW62" s="3"/>
      <c r="AX62" s="4"/>
      <c r="AY62" s="3"/>
      <c r="AZ62" s="4"/>
      <c r="BA62" s="3"/>
      <c r="BB62" s="4"/>
      <c r="BC62" s="3"/>
      <c r="BD62" s="4"/>
      <c r="BE62" s="3"/>
      <c r="BF62" s="4"/>
      <c r="BG62" s="3"/>
      <c r="BH62" s="4"/>
      <c r="BI62" s="3"/>
      <c r="BJ62" s="4"/>
      <c r="BK62" s="3"/>
      <c r="BL62" s="4"/>
      <c r="BM62" s="3" t="str">
        <f>IFERROR(__xludf.DUMMYFUNCTION("""COMPUTED_VALUE"""),"S09 Chris (5/15): It's going to be a long afternoon for sure. Just pretty much more I have to put up with three women all afternoon, and that… sucks. Um, my alliance is with all three of ‘em, and, you know, they're all bidding for their spot in the final "&amp;"three.")</f>
        <v>S09 Chris (5/15): It's going to be a long afternoon for sure. Just pretty much more I have to put up with three women all afternoon, and that… sucks. Um, my alliance is with all three of ‘em, and, you know, they're all bidding for their spot in the final three.</v>
      </c>
      <c r="BN62" s="4"/>
      <c r="BO62" s="3"/>
      <c r="BP62" s="4"/>
      <c r="BQ62" s="3"/>
      <c r="BR62" s="4"/>
      <c r="BS62" s="3"/>
      <c r="BT62" s="4"/>
      <c r="BU62" s="3"/>
      <c r="BV62" s="4"/>
      <c r="BW62" s="3"/>
      <c r="BX62" s="4"/>
      <c r="BY62" s="3"/>
      <c r="BZ62" s="4"/>
      <c r="CA62" s="3"/>
      <c r="CB62" s="4"/>
      <c r="CC62" s="3"/>
      <c r="CD62" s="4"/>
    </row>
    <row r="63">
      <c r="A63" s="3"/>
      <c r="B63" s="4"/>
      <c r="C63" s="3" t="str">
        <f>IFERROR(__xludf.DUMMYFUNCTION("""COMPUTED_VALUE"""),"S40 Tony (4/15): When there’s a potential problem, I’d rather try to address it than ignore it. “Cause when you ignore a potential problem, it usually bites you in the butt. This is Survivor. It’s a game of the unknown. So let’s prepare for the unknown. I"&amp;"t’s better to assume that she has something than assume that she doesn’t.")</f>
        <v>S40 Tony (4/15): When there’s a potential problem, I’d rather try to address it than ignore it. “Cause when you ignore a potential problem, it usually bites you in the butt. This is Survivor. It’s a game of the unknown. So let’s prepare for the unknown. It’s better to assume that she has something than assume that she doesn’t.</v>
      </c>
      <c r="D63" s="4"/>
      <c r="E63" s="3"/>
      <c r="F63" s="4"/>
      <c r="G63" s="3"/>
      <c r="H63" s="4"/>
      <c r="I63" s="3"/>
      <c r="J63" s="4"/>
      <c r="K63" s="3"/>
      <c r="L63" s="4"/>
      <c r="M63" s="3" t="str">
        <f>IFERROR(__xludf.DUMMYFUNCTION("""COMPUTED_VALUE"""),"S35 Ben (3/12): I was about to get some sleep, and literally, right there behind me, is the “DIG” mark on the gosh darn raft that I’ve been looking for, forever. I can’t believe this. I cannot believe this. (chuckles) Number three, baby. This idol guarant"&amp;"ees me a spot in the final four and, you know, Ryan, Devon, Chrissy and Mike think they have control of the game, but, uh, I’ll be dropping a big old Ben bomb at the end of Tribal. You think I’m going home? Watch this.")</f>
        <v>S35 Ben (3/12): I was about to get some sleep, and literally, right there behind me, is the “DIG” mark on the gosh darn raft that I’ve been looking for, forever. I can’t believe this. I cannot believe this. (chuckles) Number three, baby. This idol guarantees me a spot in the final four and, you know, Ryan, Devon, Chrissy and Mike think they have control of the game, but, uh, I’ll be dropping a big old Ben bomb at the end of Tribal. You think I’m going home? Watch this.</v>
      </c>
      <c r="N63" s="4"/>
      <c r="O63" s="3"/>
      <c r="P63" s="4"/>
      <c r="Q63" s="3"/>
      <c r="R63" s="4"/>
      <c r="S63" s="3"/>
      <c r="T63" s="4"/>
      <c r="U63" s="3"/>
      <c r="V63" s="4"/>
      <c r="W63" s="3" t="str">
        <f>IFERROR(__xludf.DUMMYFUNCTION("""COMPUTED_VALUE"""),"S30 Mike (8/8): Dan was not shaken at all. He was uppity. He doesn't feel like that he's going home. The only thing that I can figure out is Dan wants to take Will and Rodney to the end because those are the only two people that he can beat, and if I'm ri"&amp;"ght and he's not going home tonight, it's one of the girls.")</f>
        <v>S30 Mike (8/8): Dan was not shaken at all. He was uppity. He doesn't feel like that he's going home. The only thing that I can figure out is Dan wants to take Will and Rodney to the end because those are the only two people that he can beat, and if I'm right and he's not going home tonight, it's one of the girls.</v>
      </c>
      <c r="X63" s="4"/>
      <c r="Y63" s="3"/>
      <c r="Z63" s="4"/>
      <c r="AA63" s="3" t="str">
        <f>IFERROR(__xludf.DUMMYFUNCTION("""COMPUTED_VALUE"""),"S28 Tony (5/13): I open up my tube that I won at the Auction today and lo and behold: it’s not an advantage in the next Immunity Challenge, it’s a clue to a Hidden Immunity Idol!")</f>
        <v>S28 Tony (5/13): I open up my tube that I won at the Auction today and lo and behold: it’s not an advantage in the next Immunity Challenge, it’s a clue to a Hidden Immunity Idol!</v>
      </c>
      <c r="AB63" s="4"/>
      <c r="AC63" s="3"/>
      <c r="AD63" s="4"/>
      <c r="AE63" s="3" t="str">
        <f>IFERROR(__xludf.DUMMYFUNCTION("""COMPUTED_VALUE"""),"S26 Cochran (4/10): Every day, I get to see a new freakout from Dawn. There’s the over the top weeping, sobbing, flailing of arms, asked to be left alone. Unfortunately today, Dawn was leaning more towards the-the catatonic breakdown. And a lot of it had "&amp;"to do with the sudden influx of paranoia that she’s having that, “What if Eddie and Sherri take her out?”")</f>
        <v>S26 Cochran (4/10): Every day, I get to see a new freakout from Dawn. There’s the over the top weeping, sobbing, flailing of arms, asked to be left alone. Unfortunately today, Dawn was leaning more towards the-the catatonic breakdown. And a lot of it had to do with the sudden influx of paranoia that she’s having that, “What if Eddie and Sherri take her out?”</v>
      </c>
      <c r="AF63" s="4"/>
      <c r="AG63" s="3"/>
      <c r="AH63" s="4"/>
      <c r="AI63" s="3"/>
      <c r="AJ63" s="4"/>
      <c r="AK63" s="3"/>
      <c r="AL63" s="4"/>
      <c r="AM63" s="3" t="str">
        <f>IFERROR(__xludf.DUMMYFUNCTION("""COMPUTED_VALUE"""),"S22 Rob (1/4): Phillip is not going anywhere. Phillip is under my protection. As long as he keeps up his stupid antics, they' be coming to me all the way to the finals.")</f>
        <v>S22 Rob (1/4): Phillip is not going anywhere. Phillip is under my protection. As long as he keeps up his stupid antics, they' be coming to me all the way to the finals.</v>
      </c>
      <c r="AN63" s="4"/>
      <c r="AO63" s="3"/>
      <c r="AP63" s="4"/>
      <c r="AQ63" s="3"/>
      <c r="AR63" s="4"/>
      <c r="AS63" s="3"/>
      <c r="AT63" s="4"/>
      <c r="AU63" s="3"/>
      <c r="AV63" s="4"/>
      <c r="AW63" s="3"/>
      <c r="AX63" s="4"/>
      <c r="AY63" s="3"/>
      <c r="AZ63" s="4"/>
      <c r="BA63" s="3"/>
      <c r="BB63" s="4"/>
      <c r="BC63" s="3"/>
      <c r="BD63" s="4"/>
      <c r="BE63" s="3"/>
      <c r="BF63" s="4"/>
      <c r="BG63" s="3"/>
      <c r="BH63" s="4"/>
      <c r="BI63" s="3"/>
      <c r="BJ63" s="4"/>
      <c r="BK63" s="3"/>
      <c r="BL63" s="4"/>
      <c r="BM63" s="3" t="str">
        <f>IFERROR(__xludf.DUMMYFUNCTION("""COMPUTED_VALUE"""),"S09 Chris (6/15): I didn't come here to get second place, and I sure as hell didn't come here to get third or fourth. I come here to win. You know, I don't look at myself as being aligned with Scout and Twila right now. Heck, there's no loyalty, no trust."&amp;" There's nothing in the game right now. It's all about just getting yourself to the next step. To hell with everybody else.")</f>
        <v>S09 Chris (6/15): I didn't come here to get second place, and I sure as hell didn't come here to get third or fourth. I come here to win. You know, I don't look at myself as being aligned with Scout and Twila right now. Heck, there's no loyalty, no trust. There's nothing in the game right now. It's all about just getting yourself to the next step. To hell with everybody else.</v>
      </c>
      <c r="BN63" s="4"/>
      <c r="BO63" s="3"/>
      <c r="BP63" s="4"/>
      <c r="BQ63" s="3"/>
      <c r="BR63" s="4"/>
      <c r="BS63" s="3"/>
      <c r="BT63" s="4"/>
      <c r="BU63" s="3"/>
      <c r="BV63" s="4"/>
      <c r="BW63" s="3"/>
      <c r="BX63" s="4"/>
      <c r="BY63" s="3"/>
      <c r="BZ63" s="4"/>
      <c r="CA63" s="3"/>
      <c r="CB63" s="4"/>
      <c r="CC63" s="3"/>
      <c r="CD63" s="4"/>
    </row>
    <row r="64">
      <c r="A64" s="3"/>
      <c r="B64" s="4"/>
      <c r="C64" s="3" t="str">
        <f>IFERROR(__xludf.DUMMYFUNCTION("""COMPUTED_VALUE"""),"S40 Tony (5/15): I would think Ben would be all for saving his idol so we can guarantee ourselves in the Final Four. It’s mind-boggling how everybody’s so reluctant to throw any votes on Denise. They’re adamant that this girl Natalie does not have anythin"&amp;"g. If Natalie stands up and plays an idol, now I go into panic mode. You, Ben, go into panic mode. We burn our idols. Natalie’s safe, and either Sarah or Denise are on the chopping block at that point. So let’s just get rid of Denise and be safe. It’s a w"&amp;"in-win.")</f>
        <v>S40 Tony (5/15): I would think Ben would be all for saving his idol so we can guarantee ourselves in the Final Four. It’s mind-boggling how everybody’s so reluctant to throw any votes on Denise. They’re adamant that this girl Natalie does not have anything. If Natalie stands up and plays an idol, now I go into panic mode. You, Ben, go into panic mode. We burn our idols. Natalie’s safe, and either Sarah or Denise are on the chopping block at that point. So let’s just get rid of Denise and be safe. It’s a win-win.</v>
      </c>
      <c r="D64" s="4"/>
      <c r="E64" s="3"/>
      <c r="F64" s="4"/>
      <c r="G64" s="3"/>
      <c r="H64" s="4"/>
      <c r="I64" s="3"/>
      <c r="J64" s="4"/>
      <c r="K64" s="3"/>
      <c r="L64" s="4"/>
      <c r="M64" s="3" t="str">
        <f>IFERROR(__xludf.DUMMYFUNCTION("""COMPUTED_VALUE"""),"S35 Ben (4/12): I’m not stupid. Chrissy’s trying to finagle her way in, if I win individual immunity. And it ain’t going to work at all.")</f>
        <v>S35 Ben (4/12): I’m not stupid. Chrissy’s trying to finagle her way in, if I win individual immunity. And it ain’t going to work at all.</v>
      </c>
      <c r="N64" s="4"/>
      <c r="O64" s="3"/>
      <c r="P64" s="4"/>
      <c r="Q64" s="3"/>
      <c r="R64" s="4"/>
      <c r="S64" s="3"/>
      <c r="T64" s="4"/>
      <c r="U64" s="3"/>
      <c r="V64" s="4"/>
      <c r="W64" s="3" t="str">
        <f>IFERROR(__xludf.DUMMYFUNCTION("""COMPUTED_VALUE"""),"S30 Mike: You can only find out how strong you are when your back is up against the wall. And my back's been up against a pretty large wall this whole game. But I'm going to take the bull by the horns and I'm going to run with it.")</f>
        <v>S30 Mike: You can only find out how strong you are when your back is up against the wall. And my back's been up against a pretty large wall this whole game. But I'm going to take the bull by the horns and I'm going to run with it.</v>
      </c>
      <c r="X64" s="4"/>
      <c r="Y64" s="3"/>
      <c r="Z64" s="4"/>
      <c r="AA64" s="3" t="str">
        <f>IFERROR(__xludf.DUMMYFUNCTION("""COMPUTED_VALUE"""),"S28 Tony (6/13): As it stands right now, I have a special-power idol, and now I have the possibility of finding another idol that I can just do whatever I want with it. If I could find it, I don’t have to worry about nothing. Once I have this bad boy, I’m"&amp;" in power.")</f>
        <v>S28 Tony (6/13): As it stands right now, I have a special-power idol, and now I have the possibility of finding another idol that I can just do whatever I want with it. If I could find it, I don’t have to worry about nothing. Once I have this bad boy, I’m in power.</v>
      </c>
      <c r="AB64" s="4"/>
      <c r="AC64" s="3"/>
      <c r="AD64" s="4"/>
      <c r="AE64" s="3" t="str">
        <f>IFERROR(__xludf.DUMMYFUNCTION("""COMPUTED_VALUE"""),"S26 Cochran (5/10): Dawn feels like she automatically deserves a fast pass to the finals. Why, exactly? I don’t know. Every day is a rollercoaster with her and it’s not fun, it’s not funny. On Day 37, she should be paranoid ‘cause I am considering ditchin"&amp;"g her.")</f>
        <v>S26 Cochran (5/10): Dawn feels like she automatically deserves a fast pass to the finals. Why, exactly? I don’t know. Every day is a rollercoaster with her and it’s not fun, it’s not funny. On Day 37, she should be paranoid ‘cause I am considering ditching her.</v>
      </c>
      <c r="AF64" s="4"/>
      <c r="AG64" s="3"/>
      <c r="AH64" s="4"/>
      <c r="AI64" s="3"/>
      <c r="AJ64" s="4"/>
      <c r="AK64" s="3"/>
      <c r="AL64" s="4"/>
      <c r="AM64" s="3" t="str">
        <f>IFERROR(__xludf.DUMMYFUNCTION("""COMPUTED_VALUE"""),"S22 Rob (2/4): This is what's going on right now: Steve's thinking, “I've had it. I'm done.” So Steve's not going to do anything to cause any problems with anybody. Ralph, on the other hand, poses a threat because physically, he's capable and his head is "&amp;"still in the game so Ralph's got to go next.")</f>
        <v>S22 Rob (2/4): This is what's going on right now: Steve's thinking, “I've had it. I'm done.” So Steve's not going to do anything to cause any problems with anybody. Ralph, on the other hand, poses a threat because physically, he's capable and his head is still in the game so Ralph's got to go next.</v>
      </c>
      <c r="AN64" s="4"/>
      <c r="AO64" s="3"/>
      <c r="AP64" s="4"/>
      <c r="AQ64" s="3"/>
      <c r="AR64" s="4"/>
      <c r="AS64" s="3"/>
      <c r="AT64" s="4"/>
      <c r="AU64" s="3"/>
      <c r="AV64" s="4"/>
      <c r="AW64" s="3"/>
      <c r="AX64" s="4"/>
      <c r="AY64" s="3"/>
      <c r="AZ64" s="4"/>
      <c r="BA64" s="3"/>
      <c r="BB64" s="4"/>
      <c r="BC64" s="3"/>
      <c r="BD64" s="4"/>
      <c r="BE64" s="3"/>
      <c r="BF64" s="4"/>
      <c r="BG64" s="3"/>
      <c r="BH64" s="4"/>
      <c r="BI64" s="3"/>
      <c r="BJ64" s="4"/>
      <c r="BK64" s="3"/>
      <c r="BL64" s="4"/>
      <c r="BM64" s="3" t="str">
        <f>IFERROR(__xludf.DUMMYFUNCTION("""COMPUTED_VALUE"""),"S09 Chris (7/15): I never dreamed I'd be playing the game the way I am, lying, deceiving. You ain't got no choice, because I tell you what, you don't step it up and you don't start playing the game in your best interest to benefit and go to the end, you'l"&amp;"l be sent packing. And, uh, going back home with a million bucks… that'll change your life.")</f>
        <v>S09 Chris (7/15): I never dreamed I'd be playing the game the way I am, lying, deceiving. You ain't got no choice, because I tell you what, you don't step it up and you don't start playing the game in your best interest to benefit and go to the end, you'll be sent packing. And, uh, going back home with a million bucks… that'll change your life.</v>
      </c>
      <c r="BN64" s="4"/>
      <c r="BO64" s="3"/>
      <c r="BP64" s="4"/>
      <c r="BQ64" s="3"/>
      <c r="BR64" s="4"/>
      <c r="BS64" s="3"/>
      <c r="BT64" s="4"/>
      <c r="BU64" s="3"/>
      <c r="BV64" s="4"/>
      <c r="BW64" s="3"/>
      <c r="BX64" s="4"/>
      <c r="BY64" s="3"/>
      <c r="BZ64" s="4"/>
      <c r="CA64" s="3"/>
      <c r="CB64" s="4"/>
      <c r="CC64" s="3"/>
      <c r="CD64" s="4"/>
    </row>
    <row r="65">
      <c r="A65" s="3"/>
      <c r="B65" s="4"/>
      <c r="C65" s="3" t="str">
        <f>IFERROR(__xludf.DUMMYFUNCTION("""COMPUTED_VALUE"""),"S40 Tony (6/15): I’m so angry. I’m frustrated. Denise goes home. I lose an idol. Ben loses an idol. We’re vulnerable at the Final Five. Nice job, guys. The only good part is there was three idols played. At least one is coming back into the game, and I wa"&amp;"nt to get a jump on finding it. I’m not gonna wait till the sun comes out, so… I do one of my midnight specials. (chuckles) I get a shell, I throw some coal in it, and off I go into the jungle, searching for the idol.")</f>
        <v>S40 Tony (6/15): I’m so angry. I’m frustrated. Denise goes home. I lose an idol. Ben loses an idol. We’re vulnerable at the Final Five. Nice job, guys. The only good part is there was three idols played. At least one is coming back into the game, and I want to get a jump on finding it. I’m not gonna wait till the sun comes out, so… I do one of my midnight specials. (chuckles) I get a shell, I throw some coal in it, and off I go into the jungle, searching for the idol.</v>
      </c>
      <c r="D65" s="4"/>
      <c r="E65" s="3"/>
      <c r="F65" s="4"/>
      <c r="G65" s="3"/>
      <c r="H65" s="4"/>
      <c r="I65" s="3"/>
      <c r="J65" s="4"/>
      <c r="K65" s="3"/>
      <c r="L65" s="4"/>
      <c r="M65" s="3" t="str">
        <f>IFERROR(__xludf.DUMMYFUNCTION("""COMPUTED_VALUE"""),"S35 Ben (5/12): I’ll give it to the lady, props to her. At least she’s trying. But you’re barking up the wrong tree there, sister. Chrissy is my biggest competitor. She’s building a résumé at this point. She could win the million dollars. I don’t want her"&amp;" in the game no longer, so I’m going to play my idol and blindside her. That woman’s gone. Period. She gone!")</f>
        <v>S35 Ben (5/12): I’ll give it to the lady, props to her. At least she’s trying. But you’re barking up the wrong tree there, sister. Chrissy is my biggest competitor. She’s building a résumé at this point. She could win the million dollars. I don’t want her in the game no longer, so I’m going to play my idol and blindside her. That woman’s gone. Period. She gone!</v>
      </c>
      <c r="N65" s="4"/>
      <c r="O65" s="3"/>
      <c r="P65" s="4"/>
      <c r="Q65" s="3"/>
      <c r="R65" s="4"/>
      <c r="S65" s="3"/>
      <c r="T65" s="4"/>
      <c r="U65" s="3"/>
      <c r="V65" s="4"/>
      <c r="W65" s="3" t="str">
        <f>IFERROR(__xludf.DUMMYFUNCTION("""COMPUTED_VALUE"""),"S30 Mike (1/11): And there's still four going out there. How is that even possible? “We gotta get Mike out! We gotta bind together and we gotta get Mike out of this game!” Stockholm syndrome was full in effect. I mean, Carolyn knows she's on the bottom, t"&amp;"hey all just voted for her, yet the four of them go to the beach. So at this particular point in the game, I really do feel all alone.")</f>
        <v>S30 Mike (1/11): And there's still four going out there. How is that even possible? “We gotta get Mike out! We gotta bind together and we gotta get Mike out of this game!” Stockholm syndrome was full in effect. I mean, Carolyn knows she's on the bottom, they all just voted for her, yet the four of them go to the beach. So at this particular point in the game, I really do feel all alone.</v>
      </c>
      <c r="X65" s="4"/>
      <c r="Y65" s="3"/>
      <c r="Z65" s="4"/>
      <c r="AA65" s="3" t="str">
        <f>IFERROR(__xludf.DUMMYFUNCTION("""COMPUTED_VALUE"""),"S28 Tony (7/13): When Spencer told me that the girls could be in cahoots with each other, and they want to oust the guys, I was thinking that, “You know what? Hold up, don’t trust Spencer just yet ‘cause he’s desperate, but you’ve got to look into it.” Th"&amp;"en I said to myself, “Y’know what? It just makes so much sense. They’re gonna say guys are threats – let’s just try to get rid of them one-by-one and they can do it because right now we have four girls, three guys.” All the tell-tale signs are there that "&amp;"they need to blindside me. They won’t want me to go to the end. But I’m not going anywhere. I’ll take matters into my own hands like I usually do.")</f>
        <v>S28 Tony (7/13): When Spencer told me that the girls could be in cahoots with each other, and they want to oust the guys, I was thinking that, “You know what? Hold up, don’t trust Spencer just yet ‘cause he’s desperate, but you’ve got to look into it.” Then I said to myself, “Y’know what? It just makes so much sense. They’re gonna say guys are threats – let’s just try to get rid of them one-by-one and they can do it because right now we have four girls, three guys.” All the tell-tale signs are there that they need to blindside me. They won’t want me to go to the end. But I’m not going anywhere. I’ll take matters into my own hands like I usually do.</v>
      </c>
      <c r="AB65" s="4"/>
      <c r="AC65" s="3"/>
      <c r="AD65" s="4"/>
      <c r="AE65" s="3" t="str">
        <f>IFERROR(__xludf.DUMMYFUNCTION("""COMPUTED_VALUE"""),"S26 Cochran (6/10): So we received Tree Mail today, uh, letting us know that today is the day of our Final Immunity Challenge. But in addition to that, is the famous Survivor Rites of Passage. Something that I’ve been actually really looking forward to, h"&amp;"oping that I’d get to see this moment in the game. Uh, it’s kind of a nostalgic moment where you get to reflect on the past 38 days and look forward to the day ahead of us.")</f>
        <v>S26 Cochran (6/10): So we received Tree Mail today, uh, letting us know that today is the day of our Final Immunity Challenge. But in addition to that, is the famous Survivor Rites of Passage. Something that I’ve been actually really looking forward to, hoping that I’d get to see this moment in the game. Uh, it’s kind of a nostalgic moment where you get to reflect on the past 38 days and look forward to the day ahead of us.</v>
      </c>
      <c r="AF65" s="4"/>
      <c r="AG65" s="3"/>
      <c r="AH65" s="4"/>
      <c r="AI65" s="3"/>
      <c r="AJ65" s="4"/>
      <c r="AK65" s="3"/>
      <c r="AL65" s="4"/>
      <c r="AM65" s="3" t="str">
        <f>IFERROR(__xludf.DUMMYFUNCTION("""COMPUTED_VALUE"""),"S22 Rob (3/4): Who knows what this twist is all about? Maybe somebody else has a chance to win immunity. Maybe it's a situation where two people are going to go home but we only get to vote once. It could be anything. So we've got to hedge our bets and ma"&amp;"ke sure we have backup plans and know who we're voting for. Grant and I, we already talked about getting rid of Andrea before Zapatera, so it leaves us other options.")</f>
        <v>S22 Rob (3/4): Who knows what this twist is all about? Maybe somebody else has a chance to win immunity. Maybe it's a situation where two people are going to go home but we only get to vote once. It could be anything. So we've got to hedge our bets and make sure we have backup plans and know who we're voting for. Grant and I, we already talked about getting rid of Andrea before Zapatera, so it leaves us other options.</v>
      </c>
      <c r="AN65" s="4"/>
      <c r="AO65" s="3"/>
      <c r="AP65" s="4"/>
      <c r="AQ65" s="3"/>
      <c r="AR65" s="4"/>
      <c r="AS65" s="3"/>
      <c r="AT65" s="4"/>
      <c r="AU65" s="3"/>
      <c r="AV65" s="4"/>
      <c r="AW65" s="3"/>
      <c r="AX65" s="4"/>
      <c r="AY65" s="3"/>
      <c r="AZ65" s="4"/>
      <c r="BA65" s="3"/>
      <c r="BB65" s="4"/>
      <c r="BC65" s="3"/>
      <c r="BD65" s="4"/>
      <c r="BE65" s="3"/>
      <c r="BF65" s="4"/>
      <c r="BG65" s="3"/>
      <c r="BH65" s="4"/>
      <c r="BI65" s="3"/>
      <c r="BJ65" s="4"/>
      <c r="BK65" s="3"/>
      <c r="BL65" s="4"/>
      <c r="BM65" s="3" t="str">
        <f>IFERROR(__xludf.DUMMYFUNCTION("""COMPUTED_VALUE"""),"S09 Chris (8/15): I pulled it off. I got immunity. I'm still pretty shocked. Twila was some stiff competition in that challenge, but there was no way I was losing, no way I was losing.")</f>
        <v>S09 Chris (8/15): I pulled it off. I got immunity. I'm still pretty shocked. Twila was some stiff competition in that challenge, but there was no way I was losing, no way I was losing.</v>
      </c>
      <c r="BN65" s="4"/>
      <c r="BO65" s="3"/>
      <c r="BP65" s="4"/>
      <c r="BQ65" s="3"/>
      <c r="BR65" s="4"/>
      <c r="BS65" s="3"/>
      <c r="BT65" s="4"/>
      <c r="BU65" s="3"/>
      <c r="BV65" s="4"/>
      <c r="BW65" s="3"/>
      <c r="BX65" s="4"/>
      <c r="BY65" s="3"/>
      <c r="BZ65" s="4"/>
      <c r="CA65" s="3"/>
      <c r="CB65" s="4"/>
      <c r="CC65" s="3"/>
      <c r="CD65" s="4"/>
    </row>
    <row r="66">
      <c r="A66" s="3"/>
      <c r="B66" s="4"/>
      <c r="C66" s="3" t="str">
        <f>IFERROR(__xludf.DUMMYFUNCTION("""COMPUTED_VALUE"""),"S40 Tony (7/15): So, I’m feeling around, feeling around, searching high and low, everywhere in between, and I come up short. And then here comes the sun, and then here comes everybody else. And now I’m getting nervous, because with a little luck, anybody "&amp;"can find an idol.")</f>
        <v>S40 Tony (7/15): So, I’m feeling around, feeling around, searching high and low, everywhere in between, and I come up short. And then here comes the sun, and then here comes everybody else. And now I’m getting nervous, because with a little luck, anybody can find an idol.</v>
      </c>
      <c r="D66" s="4"/>
      <c r="E66" s="3"/>
      <c r="F66" s="4"/>
      <c r="G66" s="3"/>
      <c r="H66" s="4"/>
      <c r="I66" s="3"/>
      <c r="J66" s="4"/>
      <c r="K66" s="3"/>
      <c r="L66" s="4"/>
      <c r="M66" s="3" t="str">
        <f>IFERROR(__xludf.DUMMYFUNCTION("""COMPUTED_VALUE"""),"S35 Ben (6/12): Chrissy’s unbeatable. I’m bummed that she won because, you know, I was gunning for her. So I just need to figure out the best way to use this idol and make a decision on who’s going to be my next target.")</f>
        <v>S35 Ben (6/12): Chrissy’s unbeatable. I’m bummed that she won because, you know, I was gunning for her. So I just need to figure out the best way to use this idol and make a decision on who’s going to be my next target.</v>
      </c>
      <c r="N66" s="4"/>
      <c r="O66" s="3"/>
      <c r="P66" s="4"/>
      <c r="Q66" s="3"/>
      <c r="R66" s="4"/>
      <c r="S66" s="3"/>
      <c r="T66" s="4"/>
      <c r="U66" s="3"/>
      <c r="V66" s="4"/>
      <c r="W66" s="3" t="str">
        <f>IFERROR(__xludf.DUMMYFUNCTION("""COMPUTED_VALUE"""),"S30 Mike (2/11): Not only did I win an advantage, but having my mom here, seeing her smiling face, that would have been enough, but her coming back to camp and staying the night? Man, you take your best day, add ice cream with some cherries on top, that's"&amp;" what today feels like.")</f>
        <v>S30 Mike (2/11): Not only did I win an advantage, but having my mom here, seeing her smiling face, that would have been enough, but her coming back to camp and staying the night? Man, you take your best day, add ice cream with some cherries on top, that's what today feels like.</v>
      </c>
      <c r="X66" s="4"/>
      <c r="Y66" s="3"/>
      <c r="Z66" s="4"/>
      <c r="AA66" s="3" t="str">
        <f>IFERROR(__xludf.DUMMYFUNCTION("""COMPUTED_VALUE"""),"S28 Tony (8/13): After finding all that out with Spencer, then I said to myself, “You know what? It’s four girls and three guys. They might be up to something. They might want to make a power move.” So I say, “You know what? I’m gonna get that idol right "&amp;"now. That’s priority number one.”")</f>
        <v>S28 Tony (8/13): After finding all that out with Spencer, then I said to myself, “You know what? It’s four girls and three guys. They might be up to something. They might want to make a power move.” So I say, “You know what? I’m gonna get that idol right now. That’s priority number one.”</v>
      </c>
      <c r="AB66" s="4"/>
      <c r="AC66" s="3"/>
      <c r="AD66" s="4"/>
      <c r="AE66" s="3" t="str">
        <f>IFERROR(__xludf.DUMMYFUNCTION("""COMPUTED_VALUE"""),"S26 Cochran (7/10): It couldn’t have gone any better. And I’m actually in a position of power. I mean, Sherri wants to work with me, Eddie wants to work with me, and Dawn wants to work with me. And I have my, you know, pick of the litter. So there-- there"&amp;"’s a little devil in my shoulder saying, “Man, I just want to get rid of Dawn.”")</f>
        <v>S26 Cochran (7/10): It couldn’t have gone any better. And I’m actually in a position of power. I mean, Sherri wants to work with me, Eddie wants to work with me, and Dawn wants to work with me. And I have my, you know, pick of the litter. So there-- there’s a little devil in my shoulder saying, “Man, I just want to get rid of Dawn.”</v>
      </c>
      <c r="AF66" s="4"/>
      <c r="AG66" s="3"/>
      <c r="AH66" s="4"/>
      <c r="AI66" s="3"/>
      <c r="AJ66" s="4"/>
      <c r="AK66" s="3"/>
      <c r="AL66" s="4"/>
      <c r="AM66" s="3" t="str">
        <f>IFERROR(__xludf.DUMMYFUNCTION("""COMPUTED_VALUE"""),"S22 Rob (4/4): It seems like Steve may have gotten his second wind. He's going to members of my alliance behind my back trying to come up with a plan to get me out of here? Which makes me think I should maybe get rid of him first. What I was originally th"&amp;"inking about I'm thinking about not doing now because I may have to wait to get rid of Andrea.")</f>
        <v>S22 Rob (4/4): It seems like Steve may have gotten his second wind. He's going to members of my alliance behind my back trying to come up with a plan to get me out of here? Which makes me think I should maybe get rid of him first. What I was originally thinking about I'm thinking about not doing now because I may have to wait to get rid of Andrea.</v>
      </c>
      <c r="AN66" s="4"/>
      <c r="AO66" s="3"/>
      <c r="AP66" s="4"/>
      <c r="AQ66" s="3"/>
      <c r="AR66" s="4"/>
      <c r="AS66" s="3"/>
      <c r="AT66" s="4"/>
      <c r="AU66" s="3"/>
      <c r="AV66" s="4"/>
      <c r="AW66" s="3"/>
      <c r="AX66" s="4"/>
      <c r="AY66" s="3"/>
      <c r="AZ66" s="4"/>
      <c r="BA66" s="3"/>
      <c r="BB66" s="4"/>
      <c r="BC66" s="3"/>
      <c r="BD66" s="4"/>
      <c r="BE66" s="3"/>
      <c r="BF66" s="4"/>
      <c r="BG66" s="3"/>
      <c r="BH66" s="4"/>
      <c r="BI66" s="3"/>
      <c r="BJ66" s="4"/>
      <c r="BK66" s="3"/>
      <c r="BL66" s="4"/>
      <c r="BM66" s="3" t="str">
        <f>IFERROR(__xludf.DUMMYFUNCTION("""COMPUTED_VALUE"""),"S09 Chris (9/15): At that challenge, Scout cheered on Twila and said, ""Hang in there."" Scout was praying to the gods Twila won that immunity. Scout wanted to go to the final two. I guarantee you, they had a pact, and if I find out they did, Twila ain't "&amp;"necessarily going to the final two.")</f>
        <v>S09 Chris (9/15): At that challenge, Scout cheered on Twila and said, "Hang in there." Scout was praying to the gods Twila won that immunity. Scout wanted to go to the final two. I guarantee you, they had a pact, and if I find out they did, Twila ain't necessarily going to the final two.</v>
      </c>
      <c r="BN66" s="4"/>
      <c r="BO66" s="3"/>
      <c r="BP66" s="4"/>
      <c r="BQ66" s="3"/>
      <c r="BR66" s="4"/>
      <c r="BS66" s="3"/>
      <c r="BT66" s="4"/>
      <c r="BU66" s="3"/>
      <c r="BV66" s="4"/>
      <c r="BW66" s="3"/>
      <c r="BX66" s="4"/>
      <c r="BY66" s="3"/>
      <c r="BZ66" s="4"/>
      <c r="CA66" s="3"/>
      <c r="CB66" s="4"/>
      <c r="CC66" s="3"/>
      <c r="CD66" s="4"/>
    </row>
    <row r="67">
      <c r="A67" s="3"/>
      <c r="B67" s="4"/>
      <c r="C67" s="3" t="str">
        <f>IFERROR(__xludf.DUMMYFUNCTION("""COMPUTED_VALUE"""),"S40 Tony (8/15): So I climb up the tree, listening to their conversation, and then my eyes are like “bing!” And sure enough, Natalie tells Sarah she has an idol.")</f>
        <v>S40 Tony (8/15): So I climb up the tree, listening to their conversation, and then my eyes are like “bing!” And sure enough, Natalie tells Sarah she has an idol.</v>
      </c>
      <c r="D67" s="4"/>
      <c r="E67" s="3"/>
      <c r="F67" s="4"/>
      <c r="G67" s="3"/>
      <c r="H67" s="4"/>
      <c r="I67" s="3"/>
      <c r="J67" s="4"/>
      <c r="K67" s="3"/>
      <c r="L67" s="4"/>
      <c r="M67" s="3" t="str">
        <f>IFERROR(__xludf.DUMMYFUNCTION("""COMPUTED_VALUE"""),"S35 Ben (7/12): Are you kidding me?! There ain’t no way it’s a real idol because I got the one in my boot.")</f>
        <v>S35 Ben (7/12): Are you kidding me?! There ain’t no way it’s a real idol because I got the one in my boot.</v>
      </c>
      <c r="N67" s="4"/>
      <c r="O67" s="3"/>
      <c r="P67" s="4"/>
      <c r="Q67" s="3"/>
      <c r="R67" s="4"/>
      <c r="S67" s="3"/>
      <c r="T67" s="4"/>
      <c r="U67" s="3"/>
      <c r="V67" s="4"/>
      <c r="W67" s="3" t="str">
        <f>IFERROR(__xludf.DUMMYFUNCTION("""COMPUTED_VALUE"""),"S30 Mike (3/11): The great thing about this reward is having my mom out here with me, getting to share that with probably the person I love the most in this world... it's a special moment.")</f>
        <v>S30 Mike (3/11): The great thing about this reward is having my mom out here with me, getting to share that with probably the person I love the most in this world... it's a special moment.</v>
      </c>
      <c r="X67" s="4"/>
      <c r="Y67" s="3"/>
      <c r="Z67" s="4"/>
      <c r="AA67" s="3" t="str">
        <f>IFERROR(__xludf.DUMMYFUNCTION("""COMPUTED_VALUE"""),"S28 Tony (9/13): That’s the third idol that I found this game! Right now, I currently have two idols in my possession –one special one, and one idol that I can just play around with. I can use it for me, I can give it to somebody to blind somebody else. I"&amp;" feel like I’m on top of the world – on top of this game!")</f>
        <v>S28 Tony (9/13): That’s the third idol that I found this game! Right now, I currently have two idols in my possession –one special one, and one idol that I can just play around with. I can use it for me, I can give it to somebody to blind somebody else. I feel like I’m on top of the world – on top of this game!</v>
      </c>
      <c r="AB67" s="4"/>
      <c r="AC67" s="3"/>
      <c r="AD67" s="4"/>
      <c r="AE67" s="3" t="str">
        <f>IFERROR(__xludf.DUMMYFUNCTION("""COMPUTED_VALUE"""),"S26 Cochran (8/10): I, Cochran, have won four individual challenges. So right now I’m thinking, “Okay, I got the million.” You know, the big question now is who deserves a hundred thousand dollars in second place? It’s not going to be Sherri. Sherri might"&amp;" be able to squeak out one vote but she’s not going to get enough to get second place. So now it’s about, do I want to bring Dawn and her constant emotional outbursts or Eddie, a chauvinistic twenty-three year-old idiot? The battle for second place is a r"&amp;"eally heated one and I can’t wait to see what happens. It’s so lonely at the top. (chuckles) It’s just horrible stuff for me to be saying when I, of course, lose.")</f>
        <v>S26 Cochran (8/10): I, Cochran, have won four individual challenges. So right now I’m thinking, “Okay, I got the million.” You know, the big question now is who deserves a hundred thousand dollars in second place? It’s not going to be Sherri. Sherri might be able to squeak out one vote but she’s not going to get enough to get second place. So now it’s about, do I want to bring Dawn and her constant emotional outbursts or Eddie, a chauvinistic twenty-three year-old idiot? The battle for second place is a really heated one and I can’t wait to see what happens. It’s so lonely at the top. (chuckles) It’s just horrible stuff for me to be saying when I, of course, lose.</v>
      </c>
      <c r="AF67" s="4"/>
      <c r="AG67" s="3"/>
      <c r="AH67" s="4"/>
      <c r="AI67" s="3"/>
      <c r="AJ67" s="4"/>
      <c r="AK67" s="3"/>
      <c r="AL67" s="4"/>
      <c r="AM67" s="3" t="str">
        <f>IFERROR(__xludf.DUMMYFUNCTION("""COMPUTED_VALUE"""),"S22 Rob (1/6): There's been times out here where Natalie has just been mature beyond her years and then there's been other times where, you know, her youth just shows through. She's nineteen, uh, you know, being out here for 30 days, it takes its toll on "&amp;"you. And it's critical for me to comfort her. I mean, she's my main alliance in this game, and I want to make sure she's alright. I've got eight days left, eight days. I've just got to keep everybody happy. And as long as they don't start talking to each "&amp;"other and realize that I'm the one that should be going, I'll be all set.")</f>
        <v>S22 Rob (1/6): There's been times out here where Natalie has just been mature beyond her years and then there's been other times where, you know, her youth just shows through. She's nineteen, uh, you know, being out here for 30 days, it takes its toll on you. And it's critical for me to comfort her. I mean, she's my main alliance in this game, and I want to make sure she's alright. I've got eight days left, eight days. I've just got to keep everybody happy. And as long as they don't start talking to each other and realize that I'm the one that should be going, I'll be all set.</v>
      </c>
      <c r="AN67" s="4"/>
      <c r="AO67" s="3"/>
      <c r="AP67" s="4"/>
      <c r="AQ67" s="3"/>
      <c r="AR67" s="4"/>
      <c r="AS67" s="3"/>
      <c r="AT67" s="4"/>
      <c r="AU67" s="3"/>
      <c r="AV67" s="4"/>
      <c r="AW67" s="3"/>
      <c r="AX67" s="4"/>
      <c r="AY67" s="3"/>
      <c r="AZ67" s="4"/>
      <c r="BA67" s="3"/>
      <c r="BB67" s="4"/>
      <c r="BC67" s="3"/>
      <c r="BD67" s="4"/>
      <c r="BE67" s="3"/>
      <c r="BF67" s="4"/>
      <c r="BG67" s="3"/>
      <c r="BH67" s="4"/>
      <c r="BI67" s="3"/>
      <c r="BJ67" s="4"/>
      <c r="BK67" s="3"/>
      <c r="BL67" s="4"/>
      <c r="BM67" s="3" t="str">
        <f>IFERROR(__xludf.DUMMYFUNCTION("""COMPUTED_VALUE"""),"S09 Chris (10/15): I couldn't believe how honest Scout was. Scout definitely is smart enough to realize why I was asking her, ""Did you and Twila have a pact to the final two?"" She could have very easily said, ""Yeah,"" and Twila would have been packing "&amp;"tonight for sure, but… she's honest, and I respect her for that. The bottom line is, there's people on the jury that's going to base their vote on likeability and there's players going to base their vote on who played the best game and it's something I ca"&amp;"n't predict. I don't know if I'm gonna take Twila or Scout to the final two. I don't know. My decision could be made at Tribal Council tonight.")</f>
        <v>S09 Chris (10/15): I couldn't believe how honest Scout was. Scout definitely is smart enough to realize why I was asking her, "Did you and Twila have a pact to the final two?" She could have very easily said, "Yeah," and Twila would have been packing tonight for sure, but… she's honest, and I respect her for that. The bottom line is, there's people on the jury that's going to base their vote on likeability and there's players going to base their vote on who played the best game and it's something I can't predict. I don't know if I'm gonna take Twila or Scout to the final two. I don't know. My decision could be made at Tribal Council tonight.</v>
      </c>
      <c r="BN67" s="4"/>
      <c r="BO67" s="3"/>
      <c r="BP67" s="4"/>
      <c r="BQ67" s="3"/>
      <c r="BR67" s="4"/>
      <c r="BS67" s="3"/>
      <c r="BT67" s="4"/>
      <c r="BU67" s="3"/>
      <c r="BV67" s="4"/>
      <c r="BW67" s="3"/>
      <c r="BX67" s="4"/>
      <c r="BY67" s="3"/>
      <c r="BZ67" s="4"/>
      <c r="CA67" s="3"/>
      <c r="CB67" s="4"/>
      <c r="CC67" s="3"/>
      <c r="CD67" s="4"/>
    </row>
    <row r="68">
      <c r="A68" s="3"/>
      <c r="B68" s="4"/>
      <c r="C68" s="3" t="str">
        <f>IFERROR(__xludf.DUMMYFUNCTION("""COMPUTED_VALUE"""),"S40 Tony (9/15): (quietly) That was the worst experience of my life. They were talking for, like, an hour. Look at me. My legs are shaking. I almost died. But after she showed her the idol, I knew that we’re all good.")</f>
        <v>S40 Tony (9/15): (quietly) That was the worst experience of my life. They were talking for, like, an hour. Look at me. My legs are shaking. I almost died. But after she showed her the idol, I knew that we’re all good.</v>
      </c>
      <c r="D68" s="4"/>
      <c r="E68" s="3"/>
      <c r="F68" s="4"/>
      <c r="G68" s="3"/>
      <c r="H68" s="4"/>
      <c r="I68" s="3"/>
      <c r="J68" s="4"/>
      <c r="K68" s="3"/>
      <c r="L68" s="4"/>
      <c r="M68" s="3" t="str">
        <f>IFERROR(__xludf.DUMMYFUNCTION("""COMPUTED_VALUE"""),"S35 Ben (8/12): Now I don’t even have to fake look for idols no more. She just made my job easier. I’m one step ahead of ‘em through this whole darn game. These four think they’re so smart, but it’s like a bunch of blind mice just running around bumping i"&amp;"nto stuff. I think they do underestimate me, you know, and it’s hilarious for me, but one of them’s still going home. I mean, at this point I kind of got my hand on everyone’s fate. Tonight, it comes down to who I can beat in the challenge tomorrow. Ryan "&amp;"is safe because as far as challenges goes, that boy ain’t done nothing. So it’s between Mike and Devon. So physically, Devon is the strongest competitor. But Doc, he’s good at challenges and he’s good at solving puzzles-- not fast, but he’s good. So this "&amp;"decision is huge.")</f>
        <v>S35 Ben (8/12): Now I don’t even have to fake look for idols no more. She just made my job easier. I’m one step ahead of ‘em through this whole darn game. These four think they’re so smart, but it’s like a bunch of blind mice just running around bumping into stuff. I think they do underestimate me, you know, and it’s hilarious for me, but one of them’s still going home. I mean, at this point I kind of got my hand on everyone’s fate. Tonight, it comes down to who I can beat in the challenge tomorrow. Ryan is safe because as far as challenges goes, that boy ain’t done nothing. So it’s between Mike and Devon. So physically, Devon is the strongest competitor. But Doc, he’s good at challenges and he’s good at solving puzzles-- not fast, but he’s good. So this decision is huge.</v>
      </c>
      <c r="N68" s="4"/>
      <c r="O68" s="3"/>
      <c r="P68" s="4"/>
      <c r="Q68" s="3"/>
      <c r="R68" s="4"/>
      <c r="S68" s="3"/>
      <c r="T68" s="4"/>
      <c r="U68" s="3"/>
      <c r="V68" s="4"/>
      <c r="W68" s="3" t="str">
        <f>IFERROR(__xludf.DUMMYFUNCTION("""COMPUTED_VALUE"""),"S30 Mike (4/11): This is one of the greatest days that I've had in 36 days. Having someone here that I know 1,000% that I can trust, and to experience this with her is a top ten moment in my life.")</f>
        <v>S30 Mike (4/11): This is one of the greatest days that I've had in 36 days. Having someone here that I know 1,000% that I can trust, and to experience this with her is a top ten moment in my life.</v>
      </c>
      <c r="X68" s="4"/>
      <c r="Y68" s="3"/>
      <c r="Z68" s="4"/>
      <c r="AA68" s="3" t="str">
        <f>IFERROR(__xludf.DUMMYFUNCTION("""COMPUTED_VALUE"""),"S28 Tony (10/13): I decided I was going to show my alliance that idol. I showed each individual one; I said, “Listen, I have the idol. We’re protected.” But what I really wanted to tell them is, “I’m protected, so don’t even think about voting for me.” It"&amp;"’s still four girls and, uh, I made a conscious effort to try and scare them a little bit. Just in case they’re even thinking or plotting to vote against me, they know I have an idol.")</f>
        <v>S28 Tony (10/13): I decided I was going to show my alliance that idol. I showed each individual one; I said, “Listen, I have the idol. We’re protected.” But what I really wanted to tell them is, “I’m protected, so don’t even think about voting for me.” It’s still four girls and, uh, I made a conscious effort to try and scare them a little bit. Just in case they’re even thinking or plotting to vote against me, they know I have an idol.</v>
      </c>
      <c r="AB68" s="4"/>
      <c r="AC68" s="3"/>
      <c r="AD68" s="4"/>
      <c r="AE68" s="3" t="str">
        <f>IFERROR(__xludf.DUMMYFUNCTION("""COMPUTED_VALUE"""),"S26 Cochran (9/10): I have to figure out who is less of a threat in terms of me being able to bring home the million dollars and the title. I know Sherri’s gonna go to the end, and I can beat her. The bigger question mark is can I beat Eddie or can I beat"&amp;" Dawn? They’re both people that bring a lot of pros and cons to the table. I hope I don’t kick myself over this decision.")</f>
        <v>S26 Cochran (9/10): I have to figure out who is less of a threat in terms of me being able to bring home the million dollars and the title. I know Sherri’s gonna go to the end, and I can beat her. The bigger question mark is can I beat Eddie or can I beat Dawn? They’re both people that bring a lot of pros and cons to the table. I hope I don’t kick myself over this decision.</v>
      </c>
      <c r="AF68" s="4"/>
      <c r="AG68" s="3"/>
      <c r="AH68" s="4"/>
      <c r="AI68" s="3"/>
      <c r="AJ68" s="4"/>
      <c r="AK68" s="3"/>
      <c r="AL68" s="4"/>
      <c r="AM68" s="3" t="str">
        <f>IFERROR(__xludf.DUMMYFUNCTION("""COMPUTED_VALUE"""),"S22 Rob (2/6): I feel like right now I'm playing my best game, but even everything that's happened up until right now, means nothing unless I can finish it. I need this. It's to make a better life for my wife and my kids. Even though we're at a point now "&amp;"where some people might be taking a break from the game and thinking about home, it just makes me focus. I want to win Survivor. This is something I've been trying to do for ten years now. I'm eight days away. So there's nothing that's gonna stop me.")</f>
        <v>S22 Rob (2/6): I feel like right now I'm playing my best game, but even everything that's happened up until right now, means nothing unless I can finish it. I need this. It's to make a better life for my wife and my kids. Even though we're at a point now where some people might be taking a break from the game and thinking about home, it just makes me focus. I want to win Survivor. This is something I've been trying to do for ten years now. I'm eight days away. So there's nothing that's gonna stop me.</v>
      </c>
      <c r="AN68" s="4"/>
      <c r="AO68" s="3"/>
      <c r="AP68" s="4"/>
      <c r="AQ68" s="3"/>
      <c r="AR68" s="4"/>
      <c r="AS68" s="3"/>
      <c r="AT68" s="4"/>
      <c r="AU68" s="3"/>
      <c r="AV68" s="4"/>
      <c r="AW68" s="3"/>
      <c r="AX68" s="4"/>
      <c r="AY68" s="3"/>
      <c r="AZ68" s="4"/>
      <c r="BA68" s="3"/>
      <c r="BB68" s="4"/>
      <c r="BC68" s="3"/>
      <c r="BD68" s="4"/>
      <c r="BE68" s="3"/>
      <c r="BF68" s="4"/>
      <c r="BG68" s="3"/>
      <c r="BH68" s="4"/>
      <c r="BI68" s="3"/>
      <c r="BJ68" s="4"/>
      <c r="BK68" s="3"/>
      <c r="BL68" s="4"/>
      <c r="BM68" s="3" t="str">
        <f>IFERROR(__xludf.DUMMYFUNCTION("""COMPUTED_VALUE"""),"S09 Chris (11/15): I am definitely feeling stress on a day that I never imagined I would feel stress. I was ready to get up today and enjoy the entire day, and I found myself thinking, ""I've got to keep playing the game.""")</f>
        <v>S09 Chris (11/15): I am definitely feeling stress on a day that I never imagined I would feel stress. I was ready to get up today and enjoy the entire day, and I found myself thinking, "I've got to keep playing the game."</v>
      </c>
      <c r="BN68" s="4"/>
      <c r="BO68" s="3"/>
      <c r="BP68" s="4"/>
      <c r="BQ68" s="3"/>
      <c r="BR68" s="4"/>
      <c r="BS68" s="3"/>
      <c r="BT68" s="4"/>
      <c r="BU68" s="3"/>
      <c r="BV68" s="4"/>
      <c r="BW68" s="3"/>
      <c r="BX68" s="4"/>
      <c r="BY68" s="3"/>
      <c r="BZ68" s="4"/>
      <c r="CA68" s="3"/>
      <c r="CB68" s="4"/>
      <c r="CC68" s="3"/>
      <c r="CD68" s="4"/>
    </row>
    <row r="69">
      <c r="A69" s="3"/>
      <c r="B69" s="4"/>
      <c r="C69" s="3" t="str">
        <f>IFERROR(__xludf.DUMMYFUNCTION("""COMPUTED_VALUE"""),"S40 Tony (10/15): Knowing that Natalie has an idol, we’re all voting for Michele. We can’t let her stay here any longer. She’s just gonna cause trouble and chaos, so she’s going home tonight. Done.")</f>
        <v>S40 Tony (10/15): Knowing that Natalie has an idol, we’re all voting for Michele. We can’t let her stay here any longer. She’s just gonna cause trouble and chaos, so she’s going home tonight. Done.</v>
      </c>
      <c r="D69" s="4"/>
      <c r="E69" s="3"/>
      <c r="F69" s="4"/>
      <c r="G69" s="3"/>
      <c r="H69" s="4"/>
      <c r="I69" s="3"/>
      <c r="J69" s="4"/>
      <c r="K69" s="3"/>
      <c r="L69" s="4"/>
      <c r="M69" s="3" t="str">
        <f>IFERROR(__xludf.DUMMYFUNCTION("""COMPUTED_VALUE"""),"S35 Ben (9/12): Tribal Council was amazing. But, you know, this is where it gets tricky. Um, I have no more Ben Bombs to drop in on Tribal. There ain’t no more idols in the game. So the final Immunity Challenge is by far the biggest moment of my life, and"&amp;" I have to win it because ain’t none of them going take me to the end. The only way I’m getting to the end is if I take myself. I have no protection now. I have no alliance. But I do have my wife and my kids. That’s what I’m thinking about, and that’s my "&amp;"driving force. So it’s go time. I’m going to give it everything I got.")</f>
        <v>S35 Ben (9/12): Tribal Council was amazing. But, you know, this is where it gets tricky. Um, I have no more Ben Bombs to drop in on Tribal. There ain’t no more idols in the game. So the final Immunity Challenge is by far the biggest moment of my life, and I have to win it because ain’t none of them going take me to the end. The only way I’m getting to the end is if I take myself. I have no protection now. I have no alliance. But I do have my wife and my kids. That’s what I’m thinking about, and that’s my driving force. So it’s go time. I’m going to give it everything I got.</v>
      </c>
      <c r="N69" s="4"/>
      <c r="O69" s="3"/>
      <c r="P69" s="4"/>
      <c r="Q69" s="3"/>
      <c r="R69" s="4"/>
      <c r="S69" s="3"/>
      <c r="T69" s="4"/>
      <c r="U69" s="3"/>
      <c r="V69" s="4"/>
      <c r="W69" s="3" t="str">
        <f>IFERROR(__xludf.DUMMYFUNCTION("""COMPUTED_VALUE"""),"S30 Mike (5/11): The advantage basically was, uh, my mom leading me through this maze. And it was frustrating because even though she was helping me, I couldn't find the Immunity Necklace. And I kept thinking in my head, I'm screwing this up.")</f>
        <v>S30 Mike (5/11): The advantage basically was, uh, my mom leading me through this maze. And it was frustrating because even though she was helping me, I couldn't find the Immunity Necklace. And I kept thinking in my head, I'm screwing this up.</v>
      </c>
      <c r="X69" s="4"/>
      <c r="Y69" s="3"/>
      <c r="Z69" s="4"/>
      <c r="AA69" s="3" t="str">
        <f>IFERROR(__xludf.DUMMYFUNCTION("""COMPUTED_VALUE"""),"S28 Tony (11/13): Tonight at Tribal Council, if Tash didn’t win that necklace, she was going home. So now we have to resort to Plan B which is Spencer. This is the worst case scenario for me. Tasha’s still here. It’s still four girls. With Spencer gone, i"&amp;"t’s only two guys now. It’s very easy to see it’s four against two! They could pick us off one-by-one! So you know what? I have to turn on one of the females in my alliance and the only female that I can turn on is Jefra right now. She was willing to turn"&amp;" on me. She was willing to turn on all of us. So it’s once again time to change the game.")</f>
        <v>S28 Tony (11/13): Tonight at Tribal Council, if Tash didn’t win that necklace, she was going home. So now we have to resort to Plan B which is Spencer. This is the worst case scenario for me. Tasha’s still here. It’s still four girls. With Spencer gone, it’s only two guys now. It’s very easy to see it’s four against two! They could pick us off one-by-one! So you know what? I have to turn on one of the females in my alliance and the only female that I can turn on is Jefra right now. She was willing to turn on me. She was willing to turn on all of us. So it’s once again time to change the game.</v>
      </c>
      <c r="AB69" s="4"/>
      <c r="AC69" s="3"/>
      <c r="AD69" s="4"/>
      <c r="AE69" s="3" t="str">
        <f>IFERROR(__xludf.DUMMYFUNCTION("""COMPUTED_VALUE"""),"S26 Cochran (10/10): The first time, uh, in 39 days I really felt frazzled is today. I have written a prize-winning paper at Harvard Law School on the Survivor jury system. There’s a big difference between writing a paper and living out the reality, and I"&amp;"’m grappling with that dichotomy right now. Law school hasn’t prepared me for this. You’d think it would! Sorry Harvard, you haven’t really taught me that much about how to address a jury. Um, but I’m gonna learn my lesson tonight, I think. When everythin"&amp;"g start looking good for me, I suddenly start expecting the worst and preparing myself for the worst. Am I going to be able to get on to Survivor which I’ve been dreaming of doing for half my life? No, I’m a loser, they’re never going to want somebody lik"&amp;"e me. And I get on! And I get to return as a favorite! Uh, and, you know, this endgame scenario is no different. I feel like I played a great game. I’ve gotten to the end. This is my game to lose, but all of a sudden, these doubts are plaguing my mind. I’"&amp;"m just kind of this awkward geek who hasn’t really done anything. I know I have done stuff and I know I can express myself, but this doubt just creeps in, or seeps in. And it’s-- it’s not healthy, especially when I have to be pleading my case and showing "&amp;"that I’m confident in the game I played. But when I’m not feeling confident in myself, it’s hard to do.")</f>
        <v>S26 Cochran (10/10): The first time, uh, in 39 days I really felt frazzled is today. I have written a prize-winning paper at Harvard Law School on the Survivor jury system. There’s a big difference between writing a paper and living out the reality, and I’m grappling with that dichotomy right now. Law school hasn’t prepared me for this. You’d think it would! Sorry Harvard, you haven’t really taught me that much about how to address a jury. Um, but I’m gonna learn my lesson tonight, I think. When everything start looking good for me, I suddenly start expecting the worst and preparing myself for the worst. Am I going to be able to get on to Survivor which I’ve been dreaming of doing for half my life? No, I’m a loser, they’re never going to want somebody like me. And I get on! And I get to return as a favorite! Uh, and, you know, this endgame scenario is no different. I feel like I played a great game. I’ve gotten to the end. This is my game to lose, but all of a sudden, these doubts are plaguing my mind. I’m just kind of this awkward geek who hasn’t really done anything. I know I have done stuff and I know I can express myself, but this doubt just creeps in, or seeps in. And it’s-- it’s not healthy, especially when I have to be pleading my case and showing that I’m confident in the game I played. But when I’m not feeling confident in myself, it’s hard to do.</v>
      </c>
      <c r="AF69" s="4"/>
      <c r="AG69" s="3"/>
      <c r="AH69" s="4"/>
      <c r="AI69" s="3"/>
      <c r="AJ69" s="4"/>
      <c r="AK69" s="3"/>
      <c r="AL69" s="4"/>
      <c r="AM69" s="3" t="str">
        <f>IFERROR(__xludf.DUMMYFUNCTION("""COMPUTED_VALUE"""),"S22 Rob (3/6): This morning we got Tree Mail. Looks like another Immunity Challenge. But tonight, I feel like it's not going to be too difficult. The vote will probably go towards Andrea. She's great at the challenges, and strategically, she probably know"&amp;"s more about this game than everyone except Grant and I. Therefore, she's gotta go. My sister gave me a shirt with Amber and my daughter, Lucia, on it, and I'm going to work my ass off to make sure Andrea doesn't win immunity.")</f>
        <v>S22 Rob (3/6): This morning we got Tree Mail. Looks like another Immunity Challenge. But tonight, I feel like it's not going to be too difficult. The vote will probably go towards Andrea. She's great at the challenges, and strategically, she probably knows more about this game than everyone except Grant and I. Therefore, she's gotta go. My sister gave me a shirt with Amber and my daughter, Lucia, on it, and I'm going to work my ass off to make sure Andrea doesn't win immunity.</v>
      </c>
      <c r="AN69" s="4"/>
      <c r="AO69" s="3"/>
      <c r="AP69" s="4"/>
      <c r="AQ69" s="3"/>
      <c r="AR69" s="4"/>
      <c r="AS69" s="3"/>
      <c r="AT69" s="4"/>
      <c r="AU69" s="3"/>
      <c r="AV69" s="4"/>
      <c r="AW69" s="3"/>
      <c r="AX69" s="4"/>
      <c r="AY69" s="3"/>
      <c r="AZ69" s="4"/>
      <c r="BA69" s="3"/>
      <c r="BB69" s="4"/>
      <c r="BC69" s="3"/>
      <c r="BD69" s="4"/>
      <c r="BE69" s="3"/>
      <c r="BF69" s="4"/>
      <c r="BG69" s="3"/>
      <c r="BH69" s="4"/>
      <c r="BI69" s="3"/>
      <c r="BJ69" s="4"/>
      <c r="BK69" s="3"/>
      <c r="BL69" s="4"/>
      <c r="BM69" s="3" t="str">
        <f>IFERROR(__xludf.DUMMYFUNCTION("""COMPUTED_VALUE"""),"S09 Chris (12/15): Twila is extremely outspoken, and I-I can use that to my advantage tonight. I mean, I want them to remember exactly how Twila was: just a cutthroat, didn't-take-no-crap kind of player.")</f>
        <v>S09 Chris (12/15): Twila is extremely outspoken, and I-I can use that to my advantage tonight. I mean, I want them to remember exactly how Twila was: just a cutthroat, didn't-take-no-crap kind of player.</v>
      </c>
      <c r="BN69" s="4"/>
      <c r="BO69" s="3"/>
      <c r="BP69" s="4"/>
      <c r="BQ69" s="3"/>
      <c r="BR69" s="4"/>
      <c r="BS69" s="3"/>
      <c r="BT69" s="4"/>
      <c r="BU69" s="3"/>
      <c r="BV69" s="4"/>
      <c r="BW69" s="3"/>
      <c r="BX69" s="4"/>
      <c r="BY69" s="3"/>
      <c r="BZ69" s="4"/>
      <c r="CA69" s="3"/>
      <c r="CB69" s="4"/>
      <c r="CC69" s="3"/>
      <c r="CD69" s="4"/>
    </row>
    <row r="70">
      <c r="A70" s="3"/>
      <c r="B70" s="4"/>
      <c r="C70" s="3" t="str">
        <f>IFERROR(__xludf.DUMMYFUNCTION("""COMPUTED_VALUE"""),"S40 Tony (11/15): Today was the biggest Immunity Challenge of the season. I could’ve tied a record, which is five Immunity Challenge wins. All I do is catch the ball, put it back, catch the ball, put it back, and I would’ve been in good shape. I lost focu"&amp;"s for a second, and just like that, my game is in the fate of fire.")</f>
        <v>S40 Tony (11/15): Today was the biggest Immunity Challenge of the season. I could’ve tied a record, which is five Immunity Challenge wins. All I do is catch the ball, put it back, catch the ball, put it back, and I would’ve been in good shape. I lost focus for a second, and just like that, my game is in the fate of fire.</v>
      </c>
      <c r="D70" s="4"/>
      <c r="E70" s="3"/>
      <c r="F70" s="4"/>
      <c r="G70" s="3"/>
      <c r="H70" s="4"/>
      <c r="I70" s="3"/>
      <c r="J70" s="4"/>
      <c r="K70" s="3"/>
      <c r="L70" s="4"/>
      <c r="M70" s="3" t="str">
        <f>IFERROR(__xludf.DUMMYFUNCTION("""COMPUTED_VALUE"""),"S35 Ben (10/12): That final Immunity Challenge was a butt-kicker, man. I was so close so many times. I knew I had to win immunity to stay in this game. And it just hurts that a silly mistake is going to cost my dream and my family’s dream. A million dolla"&amp;"rs was at stake today, my kid’s college, retirement. I just let it slip away. And that-- that hurt. That hurt.")</f>
        <v>S35 Ben (10/12): That final Immunity Challenge was a butt-kicker, man. I was so close so many times. I knew I had to win immunity to stay in this game. And it just hurts that a silly mistake is going to cost my dream and my family’s dream. A million dollars was at stake today, my kid’s college, retirement. I just let it slip away. And that-- that hurt. That hurt.</v>
      </c>
      <c r="N70" s="4"/>
      <c r="O70" s="3"/>
      <c r="P70" s="4"/>
      <c r="Q70" s="3"/>
      <c r="R70" s="4"/>
      <c r="S70" s="3"/>
      <c r="T70" s="4"/>
      <c r="U70" s="3"/>
      <c r="V70" s="4"/>
      <c r="W70" s="3" t="str">
        <f>IFERROR(__xludf.DUMMYFUNCTION("""COMPUTED_VALUE"""),"S30 Mike (6/11): I won immunity again, but I know that if I lose the next immunity, I'm going home. But you know what? I'm a Blue Collar. I like having my back up against the wall. This is the Survivor that I signed up for.")</f>
        <v>S30 Mike (6/11): I won immunity again, but I know that if I lose the next immunity, I'm going home. But you know what? I'm a Blue Collar. I like having my back up against the wall. This is the Survivor that I signed up for.</v>
      </c>
      <c r="X70" s="4"/>
      <c r="Y70" s="3"/>
      <c r="Z70" s="4"/>
      <c r="AA70" s="3" t="str">
        <f>IFERROR(__xludf.DUMMYFUNCTION("""COMPUTED_VALUE"""),"S28 Tony (12/13): But now here’s the problem: I won’t be able to tell Trish or Kass that I’m planning that, so we’re obviously going to need Spencer and Tash in this.")</f>
        <v>S28 Tony (12/13): But now here’s the problem: I won’t be able to tell Trish or Kass that I’m planning that, so we’re obviously going to need Spencer and Tash in this.</v>
      </c>
      <c r="AB70" s="4"/>
      <c r="AC70" s="3"/>
      <c r="AD70" s="4"/>
      <c r="AE70" s="3"/>
      <c r="AF70" s="4"/>
      <c r="AG70" s="3"/>
      <c r="AH70" s="4"/>
      <c r="AI70" s="3"/>
      <c r="AJ70" s="4"/>
      <c r="AK70" s="3"/>
      <c r="AL70" s="4"/>
      <c r="AM70" s="3" t="str">
        <f>IFERROR(__xludf.DUMMYFUNCTION("""COMPUTED_VALUE"""),"S22 Rob (4/6): Physically, the challenge, I had to literally, give everything I have. Afterwards, I thought I was going to die. But I figure that I'm seven days away. And I'm giving it everything I got. There are two main things that I gain from winning i"&amp;"mmunity today. Number one, I'm not going home no matter what. And number two, all my options are open, and I can decide who's going home.")</f>
        <v>S22 Rob (4/6): Physically, the challenge, I had to literally, give everything I have. Afterwards, I thought I was going to die. But I figure that I'm seven days away. And I'm giving it everything I got. There are two main things that I gain from winning immunity today. Number one, I'm not going home no matter what. And number two, all my options are open, and I can decide who's going home.</v>
      </c>
      <c r="AN70" s="4"/>
      <c r="AO70" s="3"/>
      <c r="AP70" s="4"/>
      <c r="AQ70" s="3"/>
      <c r="AR70" s="4"/>
      <c r="AS70" s="3"/>
      <c r="AT70" s="4"/>
      <c r="AU70" s="3"/>
      <c r="AV70" s="4"/>
      <c r="AW70" s="3"/>
      <c r="AX70" s="4"/>
      <c r="AY70" s="3"/>
      <c r="AZ70" s="4"/>
      <c r="BA70" s="3"/>
      <c r="BB70" s="4"/>
      <c r="BC70" s="3"/>
      <c r="BD70" s="4"/>
      <c r="BE70" s="3"/>
      <c r="BF70" s="4"/>
      <c r="BG70" s="3"/>
      <c r="BH70" s="4"/>
      <c r="BI70" s="3"/>
      <c r="BJ70" s="4"/>
      <c r="BK70" s="3"/>
      <c r="BL70" s="4"/>
      <c r="BM70" s="3" t="str">
        <f>IFERROR(__xludf.DUMMYFUNCTION("""COMPUTED_VALUE"""),"S09 Chris (13/15): Great, Twila, you let ‘em know you don't give a crap and that you come here to win. Chris isn't gonna do that. Chris is gonna sit back and let Twila put the last nail in her coffin.")</f>
        <v>S09 Chris (13/15): Great, Twila, you let ‘em know you don't give a crap and that you come here to win. Chris isn't gonna do that. Chris is gonna sit back and let Twila put the last nail in her coffin.</v>
      </c>
      <c r="BN70" s="4"/>
      <c r="BO70" s="3"/>
      <c r="BP70" s="4"/>
      <c r="BQ70" s="3"/>
      <c r="BR70" s="4"/>
      <c r="BS70" s="3"/>
      <c r="BT70" s="4"/>
      <c r="BU70" s="3"/>
      <c r="BV70" s="4"/>
      <c r="BW70" s="3"/>
      <c r="BX70" s="4"/>
      <c r="BY70" s="3"/>
      <c r="BZ70" s="4"/>
      <c r="CA70" s="3"/>
      <c r="CB70" s="4"/>
      <c r="CC70" s="3"/>
      <c r="CD70" s="4"/>
    </row>
    <row r="71">
      <c r="A71" s="3"/>
      <c r="B71" s="4"/>
      <c r="C71" s="3" t="str">
        <f>IFERROR(__xludf.DUMMYFUNCTION("""COMPUTED_VALUE"""),"S40 Tony (12/15): So I’m pretty certain that Natalie’s gonna throw Sarah under the bus and make me go against the other cop.")</f>
        <v>S40 Tony (12/15): So I’m pretty certain that Natalie’s gonna throw Sarah under the bus and make me go against the other cop.</v>
      </c>
      <c r="D71" s="4"/>
      <c r="E71" s="3"/>
      <c r="F71" s="4"/>
      <c r="G71" s="3"/>
      <c r="H71" s="4"/>
      <c r="I71" s="3"/>
      <c r="J71" s="4"/>
      <c r="K71" s="3"/>
      <c r="L71" s="4"/>
      <c r="M71" s="3" t="str">
        <f>IFERROR(__xludf.DUMMYFUNCTION("""COMPUTED_VALUE"""),"S35 Ben (11/12): I’m pretty much the only target on the board at this point. But until Jeff snuffs my torch, there might be options.")</f>
        <v>S35 Ben (11/12): I’m pretty much the only target on the board at this point. But until Jeff snuffs my torch, there might be options.</v>
      </c>
      <c r="N71" s="4"/>
      <c r="O71" s="3"/>
      <c r="P71" s="4"/>
      <c r="Q71" s="3"/>
      <c r="R71" s="4"/>
      <c r="S71" s="3"/>
      <c r="T71" s="4"/>
      <c r="U71" s="3"/>
      <c r="V71" s="4"/>
      <c r="W71" s="3" t="str">
        <f>IFERROR(__xludf.DUMMYFUNCTION("""COMPUTED_VALUE"""),"S30 Mike (7/11): At this point I have two final three deals. But it's like trying to sell, you know, ice cream pop to an Eskimo because I don't trust any of these people. So I just have to follow my gut and figure out what's best for my game. But if I mak"&amp;"e the wrong decision, it could be a million dollar mistake.")</f>
        <v>S30 Mike (7/11): At this point I have two final three deals. But it's like trying to sell, you know, ice cream pop to an Eskimo because I don't trust any of these people. So I just have to follow my gut and figure out what's best for my game. But if I make the wrong decision, it could be a million dollar mistake.</v>
      </c>
      <c r="X71" s="4"/>
      <c r="Y71" s="3"/>
      <c r="Z71" s="4"/>
      <c r="AA71" s="3" t="str">
        <f>IFERROR(__xludf.DUMMYFUNCTION("""COMPUTED_VALUE"""),"S28 Tony (13/13): He’s actually looking for that idol! And that, to me, is scary. It’s alarming that Spencer was doing that when I was trying to come up with a plan to save him. So I’m going through my mind: “Is voting off Jefra a good idea? Is it good fo"&amp;"r my alliance? Is it good for my game? Or is it better to just get rid of a threat like Spencer?” ‘Cause Jefra really is not a threat and Spencer’s lethal out here, y’know. You see what he’s done! I don’t know what to do at this point. I would say I’m dri"&amp;"ving myself crazy, but I don’t think it’s me driving myself crazy. I think it’s the game that’s driving me crazy.")</f>
        <v>S28 Tony (13/13): He’s actually looking for that idol! And that, to me, is scary. It’s alarming that Spencer was doing that when I was trying to come up with a plan to save him. So I’m going through my mind: “Is voting off Jefra a good idea? Is it good for my alliance? Is it good for my game? Or is it better to just get rid of a threat like Spencer?” ‘Cause Jefra really is not a threat and Spencer’s lethal out here, y’know. You see what he’s done! I don’t know what to do at this point. I would say I’m driving myself crazy, but I don’t think it’s me driving myself crazy. I think it’s the game that’s driving me crazy.</v>
      </c>
      <c r="AB71" s="4"/>
      <c r="AC71" s="3"/>
      <c r="AD71" s="4"/>
      <c r="AE71" s="3"/>
      <c r="AF71" s="4"/>
      <c r="AG71" s="3"/>
      <c r="AH71" s="4"/>
      <c r="AI71" s="3"/>
      <c r="AJ71" s="4"/>
      <c r="AK71" s="3"/>
      <c r="AL71" s="4"/>
      <c r="AM71" s="3" t="str">
        <f>IFERROR(__xludf.DUMMYFUNCTION("""COMPUTED_VALUE"""),"S22 Rob (5/6): We're all completely set on getting rid of Andrea, and then all of a sudden, Phillip regains his, uh, spot in our tribe as annoyance number one. He started driving everyone crazy.")</f>
        <v>S22 Rob (5/6): We're all completely set on getting rid of Andrea, and then all of a sudden, Phillip regains his, uh, spot in our tribe as annoyance number one. He started driving everyone crazy.</v>
      </c>
      <c r="AN71" s="4"/>
      <c r="AO71" s="3"/>
      <c r="AP71" s="4"/>
      <c r="AQ71" s="3"/>
      <c r="AR71" s="4"/>
      <c r="AS71" s="3"/>
      <c r="AT71" s="4"/>
      <c r="AU71" s="3"/>
      <c r="AV71" s="4"/>
      <c r="AW71" s="3"/>
      <c r="AX71" s="4"/>
      <c r="AY71" s="3"/>
      <c r="AZ71" s="4"/>
      <c r="BA71" s="3"/>
      <c r="BB71" s="4"/>
      <c r="BC71" s="3"/>
      <c r="BD71" s="4"/>
      <c r="BE71" s="3"/>
      <c r="BF71" s="4"/>
      <c r="BG71" s="3"/>
      <c r="BH71" s="4"/>
      <c r="BI71" s="3"/>
      <c r="BJ71" s="4"/>
      <c r="BK71" s="3"/>
      <c r="BL71" s="4"/>
      <c r="BM71" s="3" t="str">
        <f>IFERROR(__xludf.DUMMYFUNCTION("""COMPUTED_VALUE"""),"S09 Chris (14/15): The closer Tribal Council gets, the absolutely the more concerned I'm getting. You know, in the back of my head, I just keep thinking, ""That women's alliance,"" you know? All of them might just say, ""Hey, look, the only way we can pro"&amp;"ve this women's alliance worked is for a woman to win this game."" And just out of spite, they can vote for Twila.")</f>
        <v>S09 Chris (14/15): The closer Tribal Council gets, the absolutely the more concerned I'm getting. You know, in the back of my head, I just keep thinking, "That women's alliance," you know? All of them might just say, "Hey, look, the only way we can prove this women's alliance worked is for a woman to win this game." And just out of spite, they can vote for Twila.</v>
      </c>
      <c r="BN71" s="4"/>
      <c r="BO71" s="3"/>
      <c r="BP71" s="4"/>
      <c r="BQ71" s="3"/>
      <c r="BR71" s="4"/>
      <c r="BS71" s="3"/>
      <c r="BT71" s="4"/>
      <c r="BU71" s="3"/>
      <c r="BV71" s="4"/>
      <c r="BW71" s="3"/>
      <c r="BX71" s="4"/>
      <c r="BY71" s="3"/>
      <c r="BZ71" s="4"/>
      <c r="CA71" s="3"/>
      <c r="CB71" s="4"/>
      <c r="CC71" s="3"/>
      <c r="CD71" s="4"/>
    </row>
    <row r="72">
      <c r="A72" s="3"/>
      <c r="B72" s="4"/>
      <c r="C72" s="3" t="str">
        <f>IFERROR(__xludf.DUMMYFUNCTION("""COMPUTED_VALUE"""),"S40 Tony (13/15): So I was watching Michele. She’s striking it. She’s like… (imitates clicking) flame. So I’m a little concerned about that.")</f>
        <v>S40 Tony (13/15): So I was watching Michele. She’s striking it. She’s like… (imitates clicking) flame. So I’m a little concerned about that.</v>
      </c>
      <c r="D72" s="4"/>
      <c r="E72" s="3"/>
      <c r="F72" s="4"/>
      <c r="G72" s="3"/>
      <c r="H72" s="4"/>
      <c r="I72" s="3"/>
      <c r="J72" s="4"/>
      <c r="K72" s="3"/>
      <c r="L72" s="4"/>
      <c r="M72" s="3" t="str">
        <f>IFERROR(__xludf.DUMMYFUNCTION("""COMPUTED_VALUE"""),"S35 Ben (12/12): You know, I’ve never let off the gas. I’ve been full throttle 100% from Day 1. This game and I are like two peas in a pod, you know? Being in the Marines, I’ve been through a lot of battles in life, and tonight is going to be a battle, be"&amp;"cause Ryan is a good talker and Chrissy won four Immunity Challenges. I have to go in humble, but confident. My game’s been about providing for my family more than anything else, and at the end of the day, I need to bring a paycheck home to my wife and my"&amp;" two kids. I’ve never had a million dollar night, and I probably never will again. This is the biggest night of my life.")</f>
        <v>S35 Ben (12/12): You know, I’ve never let off the gas. I’ve been full throttle 100% from Day 1. This game and I are like two peas in a pod, you know? Being in the Marines, I’ve been through a lot of battles in life, and tonight is going to be a battle, because Ryan is a good talker and Chrissy won four Immunity Challenges. I have to go in humble, but confident. My game’s been about providing for my family more than anything else, and at the end of the day, I need to bring a paycheck home to my wife and my two kids. I’ve never had a million dollar night, and I probably never will again. This is the biggest night of my life.</v>
      </c>
      <c r="N72" s="4"/>
      <c r="O72" s="3"/>
      <c r="P72" s="4"/>
      <c r="Q72" s="3"/>
      <c r="R72" s="4"/>
      <c r="S72" s="3"/>
      <c r="T72" s="4"/>
      <c r="U72" s="3"/>
      <c r="V72" s="4"/>
      <c r="W72" s="3" t="str">
        <f>IFERROR(__xludf.DUMMYFUNCTION("""COMPUTED_VALUE"""),"S30 Mike (8/11): I'm sitting in the final three, and it's like being able to breathe for the first time in a long time. It doesn't mean that there's not still a lot more battle to be taking place, but at this particular point I can revel in it just for a "&amp;"little bit. You know what we do when we win the Immunity Necklace, we do the happy dance, baby. We do the happy dance 'cause we're happy!")</f>
        <v>S30 Mike (8/11): I'm sitting in the final three, and it's like being able to breathe for the first time in a long time. It doesn't mean that there's not still a lot more battle to be taking place, but at this particular point I can revel in it just for a little bit. You know what we do when we win the Immunity Necklace, we do the happy dance, baby. We do the happy dance 'cause we're happy!</v>
      </c>
      <c r="X72" s="4"/>
      <c r="Y72" s="3"/>
      <c r="Z72" s="4"/>
      <c r="AA72" s="3" t="str">
        <f>IFERROR(__xludf.DUMMYFUNCTION("""COMPUTED_VALUE"""),"S28 Tony (1/6): For some reason Kass says “I heard you talking about me” and I'm looking at her and said “What are you talking about? Nobody's talking about you.” She's off her rocker. I don't know what's wrong with that girl and I don't even care. Just s"&amp;"tay with me. Let's keep the numbers going. Let's-le-let’s keep on voting people off. Let me take you to the end with me so I can win the votes. That's all I care about.")</f>
        <v>S28 Tony (1/6): For some reason Kass says “I heard you talking about me” and I'm looking at her and said “What are you talking about? Nobody's talking about you.” She's off her rocker. I don't know what's wrong with that girl and I don't even care. Just stay with me. Let's keep the numbers going. Let's-le-let’s keep on voting people off. Let me take you to the end with me so I can win the votes. That's all I care about.</v>
      </c>
      <c r="AB72" s="4"/>
      <c r="AC72" s="3"/>
      <c r="AD72" s="4"/>
      <c r="AE72" s="3"/>
      <c r="AF72" s="4"/>
      <c r="AG72" s="3"/>
      <c r="AH72" s="4"/>
      <c r="AI72" s="3"/>
      <c r="AJ72" s="4"/>
      <c r="AK72" s="3"/>
      <c r="AL72" s="4"/>
      <c r="AM72" s="3" t="str">
        <f>IFERROR(__xludf.DUMMYFUNCTION("""COMPUTED_VALUE"""),"S22 Rob (6/6): To be honest with you, I'm having some second thoughts as to who I want to sit there with at the end. If I were to keep Phillip around, he's terrible in challenges and he's a goat, perfect person to take to the end. At the same time, Philli"&amp;"p could be playing me. He's pretty good with words. He's a good speaker. So when it comes down to the jury, that could be a problem. Is he that good? I don't know. On the other hand, Andrea's a competitor. If she sits at the end, she could possibly beat m"&amp;"e. And... if I make the wrong decision, 32 days of hard work could be gone just like that.")</f>
        <v>S22 Rob (6/6): To be honest with you, I'm having some second thoughts as to who I want to sit there with at the end. If I were to keep Phillip around, he's terrible in challenges and he's a goat, perfect person to take to the end. At the same time, Phillip could be playing me. He's pretty good with words. He's a good speaker. So when it comes down to the jury, that could be a problem. Is he that good? I don't know. On the other hand, Andrea's a competitor. If she sits at the end, she could possibly beat me. And... if I make the wrong decision, 32 days of hard work could be gone just like that.</v>
      </c>
      <c r="AN72" s="4"/>
      <c r="AO72" s="3"/>
      <c r="AP72" s="4"/>
      <c r="AQ72" s="3"/>
      <c r="AR72" s="4"/>
      <c r="AS72" s="3"/>
      <c r="AT72" s="4"/>
      <c r="AU72" s="3"/>
      <c r="AV72" s="4"/>
      <c r="AW72" s="3"/>
      <c r="AX72" s="4"/>
      <c r="AY72" s="3"/>
      <c r="AZ72" s="4"/>
      <c r="BA72" s="3"/>
      <c r="BB72" s="4"/>
      <c r="BC72" s="3"/>
      <c r="BD72" s="4"/>
      <c r="BE72" s="3"/>
      <c r="BF72" s="4"/>
      <c r="BG72" s="3"/>
      <c r="BH72" s="4"/>
      <c r="BI72" s="3"/>
      <c r="BJ72" s="4"/>
      <c r="BK72" s="3"/>
      <c r="BL72" s="4"/>
      <c r="BM72" s="3" t="str">
        <f>IFERROR(__xludf.DUMMYFUNCTION("""COMPUTED_VALUE"""),"S09 Chris (15/15): It's kind of ironic, you know, at the Alinta camp when there was six women and just me. I wasn't in charge, I wasn't the chief. I wasn't making the calls, and that-that-- that's the opposite of what this place is all about, you know-- t"&amp;"hat's their heritage, that's what they believe in. And now it's down to me and a woman. If, unfortunately, I get second place, being the last man in the game, that's an accomplishment in itself. I never dreamed I'd be… I'd be where I'm at, no way. And it'"&amp;"s still hard, you know, it doesn't quit. I guess it’ll quit when I walk off this island and it's completely over.")</f>
        <v>S09 Chris (15/15): It's kind of ironic, you know, at the Alinta camp when there was six women and just me. I wasn't in charge, I wasn't the chief. I wasn't making the calls, and that-that-- that's the opposite of what this place is all about, you know-- that's their heritage, that's what they believe in. And now it's down to me and a woman. If, unfortunately, I get second place, being the last man in the game, that's an accomplishment in itself. I never dreamed I'd be… I'd be where I'm at, no way. And it's still hard, you know, it doesn't quit. I guess it’ll quit when I walk off this island and it's completely over.</v>
      </c>
      <c r="BN72" s="4"/>
      <c r="BO72" s="3"/>
      <c r="BP72" s="4"/>
      <c r="BQ72" s="3"/>
      <c r="BR72" s="4"/>
      <c r="BS72" s="3"/>
      <c r="BT72" s="4"/>
      <c r="BU72" s="3"/>
      <c r="BV72" s="4"/>
      <c r="BW72" s="3"/>
      <c r="BX72" s="4"/>
      <c r="BY72" s="3"/>
      <c r="BZ72" s="4"/>
      <c r="CA72" s="3"/>
      <c r="CB72" s="4"/>
      <c r="CC72" s="3"/>
      <c r="CD72" s="4"/>
    </row>
    <row r="73">
      <c r="A73" s="3"/>
      <c r="B73" s="4"/>
      <c r="C73" s="3" t="str">
        <f>IFERROR(__xludf.DUMMYFUNCTION("""COMPUTED_VALUE"""),"S40 Tony (14/15): I wish I could have the easy route, but I always take the hard route. That’s what I do, man. I grind. I work hard, I’m gonna practice hard, I’m gonna try to perform hard. Tonight’s gonna be put up or shut up. I’m either gonna win this ga"&amp;"me or I’m gonna lose trying.")</f>
        <v>S40 Tony (14/15): I wish I could have the easy route, but I always take the hard route. That’s what I do, man. I grind. I work hard, I’m gonna practice hard, I’m gonna try to perform hard. Tonight’s gonna be put up or shut up. I’m either gonna win this game or I’m gonna lose trying.</v>
      </c>
      <c r="D73" s="4"/>
      <c r="E73" s="3"/>
      <c r="F73" s="4"/>
      <c r="G73" s="3"/>
      <c r="H73" s="4"/>
      <c r="I73" s="3"/>
      <c r="J73" s="4"/>
      <c r="K73" s="3"/>
      <c r="L73" s="4"/>
      <c r="M73" s="3"/>
      <c r="N73" s="4"/>
      <c r="O73" s="3"/>
      <c r="P73" s="4"/>
      <c r="Q73" s="3"/>
      <c r="R73" s="4"/>
      <c r="S73" s="3"/>
      <c r="T73" s="4"/>
      <c r="U73" s="3"/>
      <c r="V73" s="4"/>
      <c r="W73" s="3" t="str">
        <f>IFERROR(__xludf.DUMMYFUNCTION("""COMPUTED_VALUE"""),"S30 Mike (9/11): When we got back to camp, I maybe took five minutes and, you know, gave myself a high five about the final three, but I'm not allowing it to go to my head because tonight's decision is huge. I've got to decide who I'm gonna take to the en"&amp;"d. And if I make the wrong decision tonight, it's bye bye to the million dollars.")</f>
        <v>S30 Mike (9/11): When we got back to camp, I maybe took five minutes and, you know, gave myself a high five about the final three, but I'm not allowing it to go to my head because tonight's decision is huge. I've got to decide who I'm gonna take to the end. And if I make the wrong decision tonight, it's bye bye to the million dollars.</v>
      </c>
      <c r="X73" s="4"/>
      <c r="Y73" s="3"/>
      <c r="Z73" s="4"/>
      <c r="AA73" s="3" t="str">
        <f>IFERROR(__xludf.DUMMYFUNCTION("""COMPUTED_VALUE"""),"S28 Tony (2/6): I don't like tension around camp. Kass, she was mad at me thinking that I said something about her. So I said “You know what? Let me just, let me just squash this and move forward according to plan so she doesn't get any brilliant ideas to"&amp;" try to oust me.”")</f>
        <v>S28 Tony (2/6): I don't like tension around camp. Kass, she was mad at me thinking that I said something about her. So I said “You know what? Let me just, let me just squash this and move forward according to plan so she doesn't get any brilliant ideas to try to oust me.”</v>
      </c>
      <c r="AB73" s="4"/>
      <c r="AC73" s="3"/>
      <c r="AD73" s="4"/>
      <c r="AE73" s="3"/>
      <c r="AF73" s="4"/>
      <c r="AG73" s="3"/>
      <c r="AH73" s="4"/>
      <c r="AI73" s="3"/>
      <c r="AJ73" s="4"/>
      <c r="AK73" s="3"/>
      <c r="AL73" s="4"/>
      <c r="AM73" s="3" t="str">
        <f>IFERROR(__xludf.DUMMYFUNCTION("""COMPUTED_VALUE"""),"S22 Rob (1/12): Ashley's probably thinking about a way to turn the vote against me. I've been fighting ten years to get to this point, I'm 7 days away. It might make sense to get rid of Ashley next. Things have to go just right. I've had control in this g"&amp;"ame. I just need to keep control.")</f>
        <v>S22 Rob (1/12): Ashley's probably thinking about a way to turn the vote against me. I've been fighting ten years to get to this point, I'm 7 days away. It might make sense to get rid of Ashley next. Things have to go just right. I've had control in this game. I just need to keep control.</v>
      </c>
      <c r="AN73" s="4"/>
      <c r="AO73" s="3"/>
      <c r="AP73" s="4"/>
      <c r="AQ73" s="3"/>
      <c r="AR73" s="4"/>
      <c r="AS73" s="3"/>
      <c r="AT73" s="4"/>
      <c r="AU73" s="3"/>
      <c r="AV73" s="4"/>
      <c r="AW73" s="3"/>
      <c r="AX73" s="4"/>
      <c r="AY73" s="3"/>
      <c r="AZ73" s="4"/>
      <c r="BA73" s="3"/>
      <c r="BB73" s="4"/>
      <c r="BC73" s="3"/>
      <c r="BD73" s="4"/>
      <c r="BE73" s="3"/>
      <c r="BF73" s="4"/>
      <c r="BG73" s="3"/>
      <c r="BH73" s="4"/>
      <c r="BI73" s="3"/>
      <c r="BJ73" s="4"/>
      <c r="BK73" s="3"/>
      <c r="BL73" s="4"/>
      <c r="BM73" s="3"/>
      <c r="BN73" s="4"/>
      <c r="BO73" s="3"/>
      <c r="BP73" s="4"/>
      <c r="BQ73" s="3"/>
      <c r="BR73" s="4"/>
      <c r="BS73" s="3"/>
      <c r="BT73" s="4"/>
      <c r="BU73" s="3"/>
      <c r="BV73" s="4"/>
      <c r="BW73" s="3"/>
      <c r="BX73" s="4"/>
      <c r="BY73" s="3"/>
      <c r="BZ73" s="4"/>
      <c r="CA73" s="3"/>
      <c r="CB73" s="4"/>
      <c r="CC73" s="3"/>
      <c r="CD73" s="4"/>
    </row>
    <row r="74">
      <c r="A74" s="3"/>
      <c r="B74" s="4"/>
      <c r="C74" s="3" t="str">
        <f>IFERROR(__xludf.DUMMYFUNCTION("""COMPUTED_VALUE"""),"S40 Tony (15/15): This is an opportunity to win a second time and prove that I’m one of the greatest players to ever play this game. Everybody has their own specialty and what they’re focused on-- they’re good at challenges, they’re good at the social gam"&amp;"e, they’re good at the strategic game. But, me, I do a little of everything. And that’s what it takes to be a great player. You have to be good at everything Survivor has to throw your way. These are all winners. These are the best of the best. And these "&amp;"jurors-- I had a big part of ruining their chances of winning two million dollars to better their families. So I know the pain that they’re feeling. The wounds are deep, and I know they’re real. So this is gonna be the hardest task of all, to try to convi"&amp;"nce them that I deserve the title of Sole Survivor. But I’m pretty confident in how I played my game. So, we always had a queen of Survivor for many, many years, which was Sandra. We never had a king of Survivor. Now I’m hoping that I can take it home and"&amp;" be the king.")</f>
        <v>S40 Tony (15/15): This is an opportunity to win a second time and prove that I’m one of the greatest players to ever play this game. Everybody has their own specialty and what they’re focused on-- they’re good at challenges, they’re good at the social game, they’re good at the strategic game. But, me, I do a little of everything. And that’s what it takes to be a great player. You have to be good at everything Survivor has to throw your way. These are all winners. These are the best of the best. And these jurors-- I had a big part of ruining their chances of winning two million dollars to better their families. So I know the pain that they’re feeling. The wounds are deep, and I know they’re real. So this is gonna be the hardest task of all, to try to convince them that I deserve the title of Sole Survivor. But I’m pretty confident in how I played my game. So, we always had a queen of Survivor for many, many years, which was Sandra. We never had a king of Survivor. Now I’m hoping that I can take it home and be the king.</v>
      </c>
      <c r="D74" s="4"/>
      <c r="E74" s="3"/>
      <c r="F74" s="4"/>
      <c r="G74" s="3"/>
      <c r="H74" s="4"/>
      <c r="I74" s="3"/>
      <c r="J74" s="4"/>
      <c r="K74" s="3"/>
      <c r="L74" s="4"/>
      <c r="M74" s="3"/>
      <c r="N74" s="4"/>
      <c r="O74" s="3"/>
      <c r="P74" s="4"/>
      <c r="Q74" s="3"/>
      <c r="R74" s="4"/>
      <c r="S74" s="3"/>
      <c r="T74" s="4"/>
      <c r="U74" s="3"/>
      <c r="V74" s="4"/>
      <c r="W74" s="3" t="str">
        <f>IFERROR(__xludf.DUMMYFUNCTION("""COMPUTED_VALUE"""),"S30 Mike (10/11): If Rodney loses tonight, it's poetic justice because Rodney thinks he's smooth talked his way all the way into the final three. So maybe I am making a million dollar wrong mistake, but I would rather lose to Mama C than be the guy that j"&amp;"ust took two goats to the end and won.")</f>
        <v>S30 Mike (10/11): If Rodney loses tonight, it's poetic justice because Rodney thinks he's smooth talked his way all the way into the final three. So maybe I am making a million dollar wrong mistake, but I would rather lose to Mama C than be the guy that just took two goats to the end and won.</v>
      </c>
      <c r="X74" s="4"/>
      <c r="Y74" s="3"/>
      <c r="Z74" s="4"/>
      <c r="AA74" s="3" t="str">
        <f>IFERROR(__xludf.DUMMYFUNCTION("""COMPUTED_VALUE"""),"S28 Tony (3/6): Up to this point now, Woo has been a disciplined ally so I have no reason not to trust him, you know?")</f>
        <v>S28 Tony (3/6): Up to this point now, Woo has been a disciplined ally so I have no reason not to trust him, you know?</v>
      </c>
      <c r="AB74" s="4"/>
      <c r="AC74" s="3"/>
      <c r="AD74" s="4"/>
      <c r="AE74" s="3"/>
      <c r="AF74" s="4"/>
      <c r="AG74" s="3"/>
      <c r="AH74" s="4"/>
      <c r="AI74" s="3"/>
      <c r="AJ74" s="4"/>
      <c r="AK74" s="3"/>
      <c r="AL74" s="4"/>
      <c r="AM74" s="3" t="str">
        <f>IFERROR(__xludf.DUMMYFUNCTION("""COMPUTED_VALUE"""),"S22 Rob (2/12): I'll never give up hope and I'll never give up fight. I've got more heart than anyone out here but this Redemption Island twist is making it even harder for me to make it to the end. I want Redemption Island to be over and done with so it'"&amp;"s not a factor anymore.")</f>
        <v>S22 Rob (2/12): I'll never give up hope and I'll never give up fight. I've got more heart than anyone out here but this Redemption Island twist is making it even harder for me to make it to the end. I want Redemption Island to be over and done with so it's not a factor anymore.</v>
      </c>
      <c r="AN74" s="4"/>
      <c r="AO74" s="3"/>
      <c r="AP74" s="4"/>
      <c r="AQ74" s="3"/>
      <c r="AR74" s="4"/>
      <c r="AS74" s="3"/>
      <c r="AT74" s="4"/>
      <c r="AU74" s="3"/>
      <c r="AV74" s="4"/>
      <c r="AW74" s="3"/>
      <c r="AX74" s="4"/>
      <c r="AY74" s="3"/>
      <c r="AZ74" s="4"/>
      <c r="BA74" s="3"/>
      <c r="BB74" s="4"/>
      <c r="BC74" s="3"/>
      <c r="BD74" s="4"/>
      <c r="BE74" s="3"/>
      <c r="BF74" s="4"/>
      <c r="BG74" s="3"/>
      <c r="BH74" s="4"/>
      <c r="BI74" s="3"/>
      <c r="BJ74" s="4"/>
      <c r="BK74" s="3"/>
      <c r="BL74" s="4"/>
      <c r="BM74" s="3"/>
      <c r="BN74" s="4"/>
      <c r="BO74" s="3"/>
      <c r="BP74" s="4"/>
      <c r="BQ74" s="3"/>
      <c r="BR74" s="4"/>
      <c r="BS74" s="3"/>
      <c r="BT74" s="4"/>
      <c r="BU74" s="3"/>
      <c r="BV74" s="4"/>
      <c r="BW74" s="3"/>
      <c r="BX74" s="4"/>
      <c r="BY74" s="3"/>
      <c r="BZ74" s="4"/>
      <c r="CA74" s="3"/>
      <c r="CB74" s="4"/>
      <c r="CC74" s="3"/>
      <c r="CD74" s="4"/>
    </row>
    <row r="75">
      <c r="A75" s="3"/>
      <c r="B75" s="4"/>
      <c r="C75" s="3"/>
      <c r="D75" s="4"/>
      <c r="E75" s="3"/>
      <c r="F75" s="4"/>
      <c r="G75" s="3"/>
      <c r="H75" s="4"/>
      <c r="I75" s="3"/>
      <c r="J75" s="4"/>
      <c r="K75" s="3"/>
      <c r="L75" s="4"/>
      <c r="M75" s="3"/>
      <c r="N75" s="4"/>
      <c r="O75" s="3"/>
      <c r="P75" s="4"/>
      <c r="Q75" s="3"/>
      <c r="R75" s="4"/>
      <c r="S75" s="3"/>
      <c r="T75" s="4"/>
      <c r="U75" s="3"/>
      <c r="V75" s="4"/>
      <c r="W75" s="3" t="str">
        <f>IFERROR(__xludf.DUMMYFUNCTION("""COMPUTED_VALUE"""),"S30 Mike (11/11): For a long time in this game, I felt completely alone, with only myself to trust. I feel like I dug down into parts of me that I didn't know were there. And now I know that there's no wall that I can come up against that I can't either d"&amp;"ig under it, climb over it or, heck, if I got to, bust through it. One of the things I love about being a Blue Collar is that we finish what we started. That's what Blue Collars do. But I think it's going to be a very close vote. There's a lot of people o"&amp;"ut there that don't like me because I have won so much, so I better be ready for a battle, because I want the title of Sole Survivor and a million dollars.")</f>
        <v>S30 Mike (11/11): For a long time in this game, I felt completely alone, with only myself to trust. I feel like I dug down into parts of me that I didn't know were there. And now I know that there's no wall that I can come up against that I can't either dig under it, climb over it or, heck, if I got to, bust through it. One of the things I love about being a Blue Collar is that we finish what we started. That's what Blue Collars do. But I think it's going to be a very close vote. There's a lot of people out there that don't like me because I have won so much, so I better be ready for a battle, because I want the title of Sole Survivor and a million dollars.</v>
      </c>
      <c r="X75" s="4"/>
      <c r="Y75" s="3"/>
      <c r="Z75" s="4"/>
      <c r="AA75" s="3" t="str">
        <f>IFERROR(__xludf.DUMMYFUNCTION("""COMPUTED_VALUE"""),"S28 Tony (4/6): Woo was telling me “Oh yes, Spencer wanted to vote off Tash.” It didn't make no sense at all. And I'm saying to myself “OK, so you're lying to me!” You know, in Woo's mind he might think of making a power move right now. I might have been "&amp;"wrong about Woo all along.")</f>
        <v>S28 Tony (4/6): Woo was telling me “Oh yes, Spencer wanted to vote off Tash.” It didn't make no sense at all. And I'm saying to myself “OK, so you're lying to me!” You know, in Woo's mind he might think of making a power move right now. I might have been wrong about Woo all along.</v>
      </c>
      <c r="AB75" s="4"/>
      <c r="AC75" s="3"/>
      <c r="AD75" s="4"/>
      <c r="AE75" s="3"/>
      <c r="AF75" s="4"/>
      <c r="AG75" s="3"/>
      <c r="AH75" s="4"/>
      <c r="AI75" s="3"/>
      <c r="AJ75" s="4"/>
      <c r="AK75" s="3"/>
      <c r="AL75" s="4"/>
      <c r="AM75" s="3" t="str">
        <f>IFERROR(__xludf.DUMMYFUNCTION("""COMPUTED_VALUE"""),"S22 Rob (3/12): Zapatera ate too much when they were here and now we don't have much left. Everybody's exhausted. Ease along, try to just not exert as much energy as we can.")</f>
        <v>S22 Rob (3/12): Zapatera ate too much when they were here and now we don't have much left. Everybody's exhausted. Ease along, try to just not exert as much energy as we can.</v>
      </c>
      <c r="AN75" s="4"/>
      <c r="AO75" s="3"/>
      <c r="AP75" s="4"/>
      <c r="AQ75" s="3"/>
      <c r="AR75" s="4"/>
      <c r="AS75" s="3"/>
      <c r="AT75" s="4"/>
      <c r="AU75" s="3"/>
      <c r="AV75" s="4"/>
      <c r="AW75" s="3"/>
      <c r="AX75" s="4"/>
      <c r="AY75" s="3"/>
      <c r="AZ75" s="4"/>
      <c r="BA75" s="3"/>
      <c r="BB75" s="4"/>
      <c r="BC75" s="3"/>
      <c r="BD75" s="4"/>
      <c r="BE75" s="3"/>
      <c r="BF75" s="4"/>
      <c r="BG75" s="3"/>
      <c r="BH75" s="4"/>
      <c r="BI75" s="3"/>
      <c r="BJ75" s="4"/>
      <c r="BK75" s="3"/>
      <c r="BL75" s="4"/>
      <c r="BM75" s="3"/>
      <c r="BN75" s="4"/>
      <c r="BO75" s="3"/>
      <c r="BP75" s="4"/>
      <c r="BQ75" s="3"/>
      <c r="BR75" s="4"/>
      <c r="BS75" s="3"/>
      <c r="BT75" s="4"/>
      <c r="BU75" s="3"/>
      <c r="BV75" s="4"/>
      <c r="BW75" s="3"/>
      <c r="BX75" s="4"/>
      <c r="BY75" s="3"/>
      <c r="BZ75" s="4"/>
      <c r="CA75" s="3"/>
      <c r="CB75" s="4"/>
      <c r="CC75" s="3"/>
      <c r="CD75" s="4"/>
    </row>
    <row r="76">
      <c r="A76" s="3"/>
      <c r="B76" s="4"/>
      <c r="C76" s="3"/>
      <c r="D76" s="4"/>
      <c r="E76" s="3"/>
      <c r="F76" s="4"/>
      <c r="G76" s="3"/>
      <c r="H76" s="4"/>
      <c r="I76" s="3"/>
      <c r="J76" s="4"/>
      <c r="K76" s="3"/>
      <c r="L76" s="4"/>
      <c r="M76" s="3"/>
      <c r="N76" s="4"/>
      <c r="O76" s="3"/>
      <c r="P76" s="4"/>
      <c r="Q76" s="3"/>
      <c r="R76" s="4"/>
      <c r="S76" s="3"/>
      <c r="T76" s="4"/>
      <c r="U76" s="3"/>
      <c r="V76" s="4"/>
      <c r="W76" s="3"/>
      <c r="X76" s="4"/>
      <c r="Y76" s="3"/>
      <c r="Z76" s="4"/>
      <c r="AA76" s="3" t="str">
        <f>IFERROR(__xludf.DUMMYFUNCTION("""COMPUTED_VALUE"""),"S28 Tony (5/6): Tash, out of all people, did not win immunity today and she's not scrambling?! Especially when she knows it's her tonight. There's something going on.")</f>
        <v>S28 Tony (5/6): Tash, out of all people, did not win immunity today and she's not scrambling?! Especially when she knows it's her tonight. There's something going on.</v>
      </c>
      <c r="AB76" s="4"/>
      <c r="AC76" s="3"/>
      <c r="AD76" s="4"/>
      <c r="AE76" s="3"/>
      <c r="AF76" s="4"/>
      <c r="AG76" s="3"/>
      <c r="AH76" s="4"/>
      <c r="AI76" s="3"/>
      <c r="AJ76" s="4"/>
      <c r="AK76" s="3"/>
      <c r="AL76" s="4"/>
      <c r="AM76" s="3" t="str">
        <f>IFERROR(__xludf.DUMMYFUNCTION("""COMPUTED_VALUE"""),"S22 Rob (4/12): He's pathetic and he's crazy. Not the ""N"" word crazy, he's just crazy. Ashley and Natalie are getting too close for comfort. The best thing for me to do is to split the two of them up. So instead of like, picking on one of them, he picks"&amp;" on both of them. Instead of driving those two apart, he drives them closer together. Phillip, stop making so much work for me!")</f>
        <v>S22 Rob (4/12): He's pathetic and he's crazy. Not the "N" word crazy, he's just crazy. Ashley and Natalie are getting too close for comfort. The best thing for me to do is to split the two of them up. So instead of like, picking on one of them, he picks on both of them. Instead of driving those two apart, he drives them closer together. Phillip, stop making so much work for me!</v>
      </c>
      <c r="AN76" s="4"/>
      <c r="AO76" s="3"/>
      <c r="AP76" s="4"/>
      <c r="AQ76" s="3"/>
      <c r="AR76" s="4"/>
      <c r="AS76" s="3"/>
      <c r="AT76" s="4"/>
      <c r="AU76" s="3"/>
      <c r="AV76" s="4"/>
      <c r="AW76" s="3"/>
      <c r="AX76" s="4"/>
      <c r="AY76" s="3"/>
      <c r="AZ76" s="4"/>
      <c r="BA76" s="3"/>
      <c r="BB76" s="4"/>
      <c r="BC76" s="3"/>
      <c r="BD76" s="4"/>
      <c r="BE76" s="3"/>
      <c r="BF76" s="4"/>
      <c r="BG76" s="3"/>
      <c r="BH76" s="4"/>
      <c r="BI76" s="3"/>
      <c r="BJ76" s="4"/>
      <c r="BK76" s="3"/>
      <c r="BL76" s="4"/>
      <c r="BM76" s="3"/>
      <c r="BN76" s="4"/>
      <c r="BO76" s="3"/>
      <c r="BP76" s="4"/>
      <c r="BQ76" s="3"/>
      <c r="BR76" s="4"/>
      <c r="BS76" s="3"/>
      <c r="BT76" s="4"/>
      <c r="BU76" s="3"/>
      <c r="BV76" s="4"/>
      <c r="BW76" s="3"/>
      <c r="BX76" s="4"/>
      <c r="BY76" s="3"/>
      <c r="BZ76" s="4"/>
      <c r="CA76" s="3"/>
      <c r="CB76" s="4"/>
      <c r="CC76" s="3"/>
      <c r="CD76" s="4"/>
    </row>
    <row r="77">
      <c r="A77" s="3"/>
      <c r="B77" s="4"/>
      <c r="C77" s="3"/>
      <c r="D77" s="4"/>
      <c r="E77" s="3"/>
      <c r="F77" s="4"/>
      <c r="G77" s="3"/>
      <c r="H77" s="4"/>
      <c r="I77" s="3"/>
      <c r="J77" s="4"/>
      <c r="K77" s="3"/>
      <c r="L77" s="4"/>
      <c r="M77" s="3"/>
      <c r="N77" s="4"/>
      <c r="O77" s="3"/>
      <c r="P77" s="4"/>
      <c r="Q77" s="3"/>
      <c r="R77" s="4"/>
      <c r="S77" s="3"/>
      <c r="T77" s="4"/>
      <c r="U77" s="3"/>
      <c r="V77" s="4"/>
      <c r="W77" s="3"/>
      <c r="X77" s="4"/>
      <c r="Y77" s="3"/>
      <c r="Z77" s="4"/>
      <c r="AA77" s="3" t="str">
        <f>IFERROR(__xludf.DUMMYFUNCTION("""COMPUTED_VALUE"""),"S28 Tony (6/6): As of now, I have two idols. One regular idol and one with special powers. Special powers that it has is that I can use it after the votes are read. I don't wanna play my special idol tonight but if they call my bluff, that I'm not using t"&amp;"he regular idol, and they all put my name down, that special idol has to come out or I go home.")</f>
        <v>S28 Tony (6/6): As of now, I have two idols. One regular idol and one with special powers. Special powers that it has is that I can use it after the votes are read. I don't wanna play my special idol tonight but if they call my bluff, that I'm not using the regular idol, and they all put my name down, that special idol has to come out or I go home.</v>
      </c>
      <c r="AB77" s="4"/>
      <c r="AC77" s="3"/>
      <c r="AD77" s="4"/>
      <c r="AE77" s="3"/>
      <c r="AF77" s="4"/>
      <c r="AG77" s="3"/>
      <c r="AH77" s="4"/>
      <c r="AI77" s="3"/>
      <c r="AJ77" s="4"/>
      <c r="AK77" s="3"/>
      <c r="AL77" s="4"/>
      <c r="AM77" s="3" t="str">
        <f>IFERROR(__xludf.DUMMYFUNCTION("""COMPUTED_VALUE"""),"S22 Rob (5/12): Ashley actually came to me with this genius plan, “Let's get rid of Grant next.” I've already run the numbers on this scenario weeks ago. It doesn't make sense. All it does is give Ashley another way closer to squeezing herself into the fi"&amp;"nals.")</f>
        <v>S22 Rob (5/12): Ashley actually came to me with this genius plan, “Let's get rid of Grant next.” I've already run the numbers on this scenario weeks ago. It doesn't make sense. All it does is give Ashley another way closer to squeezing herself into the finals.</v>
      </c>
      <c r="AN77" s="4"/>
      <c r="AO77" s="3"/>
      <c r="AP77" s="4"/>
      <c r="AQ77" s="3"/>
      <c r="AR77" s="4"/>
      <c r="AS77" s="3"/>
      <c r="AT77" s="4"/>
      <c r="AU77" s="3"/>
      <c r="AV77" s="4"/>
      <c r="AW77" s="3"/>
      <c r="AX77" s="4"/>
      <c r="AY77" s="3"/>
      <c r="AZ77" s="4"/>
      <c r="BA77" s="3"/>
      <c r="BB77" s="4"/>
      <c r="BC77" s="3"/>
      <c r="BD77" s="4"/>
      <c r="BE77" s="3"/>
      <c r="BF77" s="4"/>
      <c r="BG77" s="3"/>
      <c r="BH77" s="4"/>
      <c r="BI77" s="3"/>
      <c r="BJ77" s="4"/>
      <c r="BK77" s="3"/>
      <c r="BL77" s="4"/>
      <c r="BM77" s="3"/>
      <c r="BN77" s="4"/>
      <c r="BO77" s="3"/>
      <c r="BP77" s="4"/>
      <c r="BQ77" s="3"/>
      <c r="BR77" s="4"/>
      <c r="BS77" s="3"/>
      <c r="BT77" s="4"/>
      <c r="BU77" s="3"/>
      <c r="BV77" s="4"/>
      <c r="BW77" s="3"/>
      <c r="BX77" s="4"/>
      <c r="BY77" s="3"/>
      <c r="BZ77" s="4"/>
      <c r="CA77" s="3"/>
      <c r="CB77" s="4"/>
      <c r="CC77" s="3"/>
      <c r="CD77" s="4"/>
    </row>
    <row r="78">
      <c r="A78" s="3"/>
      <c r="B78" s="4"/>
      <c r="C78" s="3"/>
      <c r="D78" s="4"/>
      <c r="E78" s="3"/>
      <c r="F78" s="4"/>
      <c r="G78" s="3"/>
      <c r="H78" s="4"/>
      <c r="I78" s="3"/>
      <c r="J78" s="4"/>
      <c r="K78" s="3"/>
      <c r="L78" s="4"/>
      <c r="M78" s="3"/>
      <c r="N78" s="4"/>
      <c r="O78" s="3"/>
      <c r="P78" s="4"/>
      <c r="Q78" s="3"/>
      <c r="R78" s="4"/>
      <c r="S78" s="3"/>
      <c r="T78" s="4"/>
      <c r="U78" s="3"/>
      <c r="V78" s="4"/>
      <c r="W78" s="3"/>
      <c r="X78" s="4"/>
      <c r="Y78" s="3"/>
      <c r="Z78" s="4"/>
      <c r="AA78" s="3" t="str">
        <f>IFERROR(__xludf.DUMMYFUNCTION("""COMPUTED_VALUE"""),"S28 Tony (1/8): Woo has been with me since the beginning. He's proven his trust and his loyalty to me throughout. The kid is genuine and it just tears me apart that I'm gonna have to eventually blindside him. You don't want to take someone like Woo to the"&amp;" end because he might have a shot at getting a few votes. He might get a lot of votes and that's not good for business. I'm just thinking about my family. My wife told me “Tony, when you go out there, don't do anything stupid. Try to win the game.” Taking"&amp;" Woo to the end is stupid. I'm going to listen to my wife on this one.")</f>
        <v>S28 Tony (1/8): Woo has been with me since the beginning. He's proven his trust and his loyalty to me throughout. The kid is genuine and it just tears me apart that I'm gonna have to eventually blindside him. You don't want to take someone like Woo to the end because he might have a shot at getting a few votes. He might get a lot of votes and that's not good for business. I'm just thinking about my family. My wife told me “Tony, when you go out there, don't do anything stupid. Try to win the game.” Taking Woo to the end is stupid. I'm going to listen to my wife on this one.</v>
      </c>
      <c r="AB78" s="4"/>
      <c r="AC78" s="3"/>
      <c r="AD78" s="4"/>
      <c r="AE78" s="3"/>
      <c r="AF78" s="4"/>
      <c r="AG78" s="3"/>
      <c r="AH78" s="4"/>
      <c r="AI78" s="3"/>
      <c r="AJ78" s="4"/>
      <c r="AK78" s="3"/>
      <c r="AL78" s="4"/>
      <c r="AM78" s="3" t="str">
        <f>IFERROR(__xludf.DUMMYFUNCTION("""COMPUTED_VALUE"""),"S22 Rob (6/12): Ashley actually came to me last night and said that she thinks she wants to get rid of Grant before Phillip. Ashley's had a free ride for 35 days, and her fairy tale's about to come to an end... real abruptly.")</f>
        <v>S22 Rob (6/12): Ashley actually came to me last night and said that she thinks she wants to get rid of Grant before Phillip. Ashley's had a free ride for 35 days, and her fairy tale's about to come to an end... real abruptly.</v>
      </c>
      <c r="AN78" s="4"/>
      <c r="AO78" s="3"/>
      <c r="AP78" s="4"/>
      <c r="AQ78" s="3"/>
      <c r="AR78" s="4"/>
      <c r="AS78" s="3"/>
      <c r="AT78" s="4"/>
      <c r="AU78" s="3"/>
      <c r="AV78" s="4"/>
      <c r="AW78" s="3"/>
      <c r="AX78" s="4"/>
      <c r="AY78" s="3"/>
      <c r="AZ78" s="4"/>
      <c r="BA78" s="3"/>
      <c r="BB78" s="4"/>
      <c r="BC78" s="3"/>
      <c r="BD78" s="4"/>
      <c r="BE78" s="3"/>
      <c r="BF78" s="4"/>
      <c r="BG78" s="3"/>
      <c r="BH78" s="4"/>
      <c r="BI78" s="3"/>
      <c r="BJ78" s="4"/>
      <c r="BK78" s="3"/>
      <c r="BL78" s="4"/>
      <c r="BM78" s="3"/>
      <c r="BN78" s="4"/>
      <c r="BO78" s="3"/>
      <c r="BP78" s="4"/>
      <c r="BQ78" s="3"/>
      <c r="BR78" s="4"/>
      <c r="BS78" s="3"/>
      <c r="BT78" s="4"/>
      <c r="BU78" s="3"/>
      <c r="BV78" s="4"/>
      <c r="BW78" s="3"/>
      <c r="BX78" s="4"/>
      <c r="BY78" s="3"/>
      <c r="BZ78" s="4"/>
      <c r="CA78" s="3"/>
      <c r="CB78" s="4"/>
      <c r="CC78" s="3"/>
      <c r="CD78" s="4"/>
    </row>
    <row r="79">
      <c r="A79" s="3"/>
      <c r="B79" s="4"/>
      <c r="C79" s="3"/>
      <c r="D79" s="4"/>
      <c r="E79" s="3"/>
      <c r="F79" s="4"/>
      <c r="G79" s="3"/>
      <c r="H79" s="4"/>
      <c r="I79" s="3"/>
      <c r="J79" s="4"/>
      <c r="K79" s="3"/>
      <c r="L79" s="4"/>
      <c r="M79" s="3"/>
      <c r="N79" s="4"/>
      <c r="O79" s="3"/>
      <c r="P79" s="4"/>
      <c r="Q79" s="3"/>
      <c r="R79" s="4"/>
      <c r="S79" s="3"/>
      <c r="T79" s="4"/>
      <c r="U79" s="3"/>
      <c r="V79" s="4"/>
      <c r="W79" s="3"/>
      <c r="X79" s="4"/>
      <c r="Y79" s="3"/>
      <c r="Z79" s="4"/>
      <c r="AA79" s="3" t="str">
        <f>IFERROR(__xludf.DUMMYFUNCTION("""COMPUTED_VALUE"""),"S28 Tony (2/8): Both the idols I have now, even the idol with the special powers, have to be used when it's down to five Survivors left. My intentions are to lie to them and act like the special power idol, I'm allowed to use it when there's four Survivor"&amp;"s left. If they do believe my bluff, I'm guaranteed final three.")</f>
        <v>S28 Tony (2/8): Both the idols I have now, even the idol with the special powers, have to be used when it's down to five Survivors left. My intentions are to lie to them and act like the special power idol, I'm allowed to use it when there's four Survivors left. If they do believe my bluff, I'm guaranteed final three.</v>
      </c>
      <c r="AB79" s="4"/>
      <c r="AC79" s="3"/>
      <c r="AD79" s="4"/>
      <c r="AE79" s="3"/>
      <c r="AF79" s="4"/>
      <c r="AG79" s="3"/>
      <c r="AH79" s="4"/>
      <c r="AI79" s="3"/>
      <c r="AJ79" s="4"/>
      <c r="AK79" s="3"/>
      <c r="AL79" s="4"/>
      <c r="AM79" s="3" t="str">
        <f>IFERROR(__xludf.DUMMYFUNCTION("""COMPUTED_VALUE"""),"S22 Rob (7/12): Natalie may not be the brightest player to ever play this game, we all know that. But Natalie is a sweetheart. She's innocent and she's pure, and Ashley's trying to corrupt that. Ashley and Natalie, they've been close since the beginning o"&amp;"f this game. But it's never been a strategic closeness. And more and more, I see Ashley imposing her wisdom on Natalie. And it's not a good thing. You know what I'm exciting about? It's Day 35, and after 35 days of having this pain in my ass, I think I'm "&amp;"going to finally get some relief tonight.")</f>
        <v>S22 Rob (7/12): Natalie may not be the brightest player to ever play this game, we all know that. But Natalie is a sweetheart. She's innocent and she's pure, and Ashley's trying to corrupt that. Ashley and Natalie, they've been close since the beginning of this game. But it's never been a strategic closeness. And more and more, I see Ashley imposing her wisdom on Natalie. And it's not a good thing. You know what I'm exciting about? It's Day 35, and after 35 days of having this pain in my ass, I think I'm going to finally get some relief tonight.</v>
      </c>
      <c r="AN79" s="4"/>
      <c r="AO79" s="3"/>
      <c r="AP79" s="4"/>
      <c r="AQ79" s="3"/>
      <c r="AR79" s="4"/>
      <c r="AS79" s="3"/>
      <c r="AT79" s="4"/>
      <c r="AU79" s="3"/>
      <c r="AV79" s="4"/>
      <c r="AW79" s="3"/>
      <c r="AX79" s="4"/>
      <c r="AY79" s="3"/>
      <c r="AZ79" s="4"/>
      <c r="BA79" s="3"/>
      <c r="BB79" s="4"/>
      <c r="BC79" s="3"/>
      <c r="BD79" s="4"/>
      <c r="BE79" s="3"/>
      <c r="BF79" s="4"/>
      <c r="BG79" s="3"/>
      <c r="BH79" s="4"/>
      <c r="BI79" s="3"/>
      <c r="BJ79" s="4"/>
      <c r="BK79" s="3"/>
      <c r="BL79" s="4"/>
      <c r="BM79" s="3"/>
      <c r="BN79" s="4"/>
      <c r="BO79" s="3"/>
      <c r="BP79" s="4"/>
      <c r="BQ79" s="3"/>
      <c r="BR79" s="4"/>
      <c r="BS79" s="3"/>
      <c r="BT79" s="4"/>
      <c r="BU79" s="3"/>
      <c r="BV79" s="4"/>
      <c r="BW79" s="3"/>
      <c r="BX79" s="4"/>
      <c r="BY79" s="3"/>
      <c r="BZ79" s="4"/>
      <c r="CA79" s="3"/>
      <c r="CB79" s="4"/>
      <c r="CC79" s="3"/>
      <c r="CD79" s="4"/>
    </row>
    <row r="80">
      <c r="A80" s="3"/>
      <c r="B80" s="4"/>
      <c r="C80" s="3"/>
      <c r="D80" s="4"/>
      <c r="E80" s="3"/>
      <c r="F80" s="4"/>
      <c r="G80" s="3"/>
      <c r="H80" s="4"/>
      <c r="I80" s="3"/>
      <c r="J80" s="4"/>
      <c r="K80" s="3"/>
      <c r="L80" s="4"/>
      <c r="M80" s="3"/>
      <c r="N80" s="4"/>
      <c r="O80" s="3"/>
      <c r="P80" s="4"/>
      <c r="Q80" s="3"/>
      <c r="R80" s="4"/>
      <c r="S80" s="3"/>
      <c r="T80" s="4"/>
      <c r="U80" s="3"/>
      <c r="V80" s="4"/>
      <c r="W80" s="3"/>
      <c r="X80" s="4"/>
      <c r="Y80" s="3"/>
      <c r="Z80" s="4"/>
      <c r="AA80" s="3" t="str">
        <f>IFERROR(__xludf.DUMMYFUNCTION("""COMPUTED_VALUE"""),"S28 Tony (3/8): The game right now is in my hands. I have the power right now. I'm in the driver's seat and I want to stay strong with Trish and Kass because those are the two less likely people to win more votes over me. I know I have Trish but Kas and I"&amp;", we have to solidify some kind of plan.")</f>
        <v>S28 Tony (3/8): The game right now is in my hands. I have the power right now. I'm in the driver's seat and I want to stay strong with Trish and Kass because those are the two less likely people to win more votes over me. I know I have Trish but Kas and I, we have to solidify some kind of plan.</v>
      </c>
      <c r="AB80" s="4"/>
      <c r="AC80" s="3"/>
      <c r="AD80" s="4"/>
      <c r="AE80" s="3"/>
      <c r="AF80" s="4"/>
      <c r="AG80" s="3"/>
      <c r="AH80" s="4"/>
      <c r="AI80" s="3"/>
      <c r="AJ80" s="4"/>
      <c r="AK80" s="3"/>
      <c r="AL80" s="4"/>
      <c r="AM80" s="3" t="str">
        <f>IFERROR(__xludf.DUMMYFUNCTION("""COMPUTED_VALUE"""),"S22 Rob (8/12): Days like today, man, I wish I stayed home. It just happens that, you know, when there's one thing you don't want to happen, it happens. And then all of a sudden, Ashley's a freakin' genius. This was all her plan all along. Grant, when you"&amp;" watch this, you're going to realize I never wanted to do it this way, bud. And, although I'd like to, you know, think of you as a friend, I didn't come to this game to make friends. I came to this game to win. So even though it does break my heart, bud, "&amp;"I gotta vote your ass off tonight.")</f>
        <v>S22 Rob (8/12): Days like today, man, I wish I stayed home. It just happens that, you know, when there's one thing you don't want to happen, it happens. And then all of a sudden, Ashley's a freakin' genius. This was all her plan all along. Grant, when you watch this, you're going to realize I never wanted to do it this way, bud. And, although I'd like to, you know, think of you as a friend, I didn't come to this game to make friends. I came to this game to win. So even though it does break my heart, bud, I gotta vote your ass off tonight.</v>
      </c>
      <c r="AN80" s="4"/>
      <c r="AO80" s="3"/>
      <c r="AP80" s="4"/>
      <c r="AQ80" s="3"/>
      <c r="AR80" s="4"/>
      <c r="AS80" s="3"/>
      <c r="AT80" s="4"/>
      <c r="AU80" s="3"/>
      <c r="AV80" s="4"/>
      <c r="AW80" s="3"/>
      <c r="AX80" s="4"/>
      <c r="AY80" s="3"/>
      <c r="AZ80" s="4"/>
      <c r="BA80" s="3"/>
      <c r="BB80" s="4"/>
      <c r="BC80" s="3"/>
      <c r="BD80" s="4"/>
      <c r="BE80" s="3"/>
      <c r="BF80" s="4"/>
      <c r="BG80" s="3"/>
      <c r="BH80" s="4"/>
      <c r="BI80" s="3"/>
      <c r="BJ80" s="4"/>
      <c r="BK80" s="3"/>
      <c r="BL80" s="4"/>
      <c r="BM80" s="3"/>
      <c r="BN80" s="4"/>
      <c r="BO80" s="3"/>
      <c r="BP80" s="4"/>
      <c r="BQ80" s="3"/>
      <c r="BR80" s="4"/>
      <c r="BS80" s="3"/>
      <c r="BT80" s="4"/>
      <c r="BU80" s="3"/>
      <c r="BV80" s="4"/>
      <c r="BW80" s="3"/>
      <c r="BX80" s="4"/>
      <c r="BY80" s="3"/>
      <c r="BZ80" s="4"/>
      <c r="CA80" s="3"/>
      <c r="CB80" s="4"/>
      <c r="CC80" s="3"/>
      <c r="CD80" s="4"/>
    </row>
    <row r="81">
      <c r="A81" s="3"/>
      <c r="B81" s="4"/>
      <c r="C81" s="3"/>
      <c r="D81" s="4"/>
      <c r="E81" s="3"/>
      <c r="F81" s="4"/>
      <c r="G81" s="3"/>
      <c r="H81" s="4"/>
      <c r="I81" s="3"/>
      <c r="J81" s="4"/>
      <c r="K81" s="3"/>
      <c r="L81" s="4"/>
      <c r="M81" s="3"/>
      <c r="N81" s="4"/>
      <c r="O81" s="3"/>
      <c r="P81" s="4"/>
      <c r="Q81" s="3"/>
      <c r="R81" s="4"/>
      <c r="S81" s="3"/>
      <c r="T81" s="4"/>
      <c r="U81" s="3"/>
      <c r="V81" s="4"/>
      <c r="W81" s="3"/>
      <c r="X81" s="4"/>
      <c r="Y81" s="3"/>
      <c r="Z81" s="4"/>
      <c r="AA81" s="3" t="str">
        <f>IFERROR(__xludf.DUMMYFUNCTION("""COMPUTED_VALUE"""),"S28 Tony (4/8): That was the last straw that broke the camel's back. It's like “Are you kidding me?!” Strategically, Kass is perfect to bring to the end but she's such an insult to this game! So, as far as I'm concerned we're done.")</f>
        <v>S28 Tony (4/8): That was the last straw that broke the camel's back. It's like “Are you kidding me?!” Strategically, Kass is perfect to bring to the end but she's such an insult to this game! So, as far as I'm concerned we're done.</v>
      </c>
      <c r="AB81" s="4"/>
      <c r="AC81" s="3"/>
      <c r="AD81" s="4"/>
      <c r="AE81" s="3"/>
      <c r="AF81" s="4"/>
      <c r="AG81" s="3"/>
      <c r="AH81" s="4"/>
      <c r="AI81" s="3"/>
      <c r="AJ81" s="4"/>
      <c r="AK81" s="3"/>
      <c r="AL81" s="4"/>
      <c r="AM81" s="3" t="str">
        <f>IFERROR(__xludf.DUMMYFUNCTION("""COMPUTED_VALUE"""),"S22 Rob (9/12): It seems like no matter what the situation on Survivor, I have to do the dirty work because everybody else is too stupid to do it.")</f>
        <v>S22 Rob (9/12): It seems like no matter what the situation on Survivor, I have to do the dirty work because everybody else is too stupid to do it.</v>
      </c>
      <c r="AN81" s="4"/>
      <c r="AO81" s="3"/>
      <c r="AP81" s="4"/>
      <c r="AQ81" s="3"/>
      <c r="AR81" s="4"/>
      <c r="AS81" s="3"/>
      <c r="AT81" s="4"/>
      <c r="AU81" s="3"/>
      <c r="AV81" s="4"/>
      <c r="AW81" s="3"/>
      <c r="AX81" s="4"/>
      <c r="AY81" s="3"/>
      <c r="AZ81" s="4"/>
      <c r="BA81" s="3"/>
      <c r="BB81" s="4"/>
      <c r="BC81" s="3"/>
      <c r="BD81" s="4"/>
      <c r="BE81" s="3"/>
      <c r="BF81" s="4"/>
      <c r="BG81" s="3"/>
      <c r="BH81" s="4"/>
      <c r="BI81" s="3"/>
      <c r="BJ81" s="4"/>
      <c r="BK81" s="3"/>
      <c r="BL81" s="4"/>
      <c r="BM81" s="3"/>
      <c r="BN81" s="4"/>
      <c r="BO81" s="3"/>
      <c r="BP81" s="4"/>
      <c r="BQ81" s="3"/>
      <c r="BR81" s="4"/>
      <c r="BS81" s="3"/>
      <c r="BT81" s="4"/>
      <c r="BU81" s="3"/>
      <c r="BV81" s="4"/>
      <c r="BW81" s="3"/>
      <c r="BX81" s="4"/>
      <c r="BY81" s="3"/>
      <c r="BZ81" s="4"/>
      <c r="CA81" s="3"/>
      <c r="CB81" s="4"/>
      <c r="CC81" s="3"/>
      <c r="CD81" s="4"/>
    </row>
    <row r="82">
      <c r="A82" s="3"/>
      <c r="B82" s="4"/>
      <c r="C82" s="3"/>
      <c r="D82" s="4"/>
      <c r="E82" s="3"/>
      <c r="F82" s="4"/>
      <c r="G82" s="3"/>
      <c r="H82" s="4"/>
      <c r="I82" s="3"/>
      <c r="J82" s="4"/>
      <c r="K82" s="3"/>
      <c r="L82" s="4"/>
      <c r="M82" s="3"/>
      <c r="N82" s="4"/>
      <c r="O82" s="3"/>
      <c r="P82" s="4"/>
      <c r="Q82" s="3"/>
      <c r="R82" s="4"/>
      <c r="S82" s="3"/>
      <c r="T82" s="4"/>
      <c r="U82" s="3"/>
      <c r="V82" s="4"/>
      <c r="W82" s="3"/>
      <c r="X82" s="4"/>
      <c r="Y82" s="3"/>
      <c r="Z82" s="4"/>
      <c r="AA82" s="3" t="str">
        <f>IFERROR(__xludf.DUMMYFUNCTION("""COMPUTED_VALUE"""),"S28 Tony (5/8): Worst case scenario came true for me today. Spencer has won immunity once again so now we have to speed up the process of elimination from our own alliance. Which is going to be very, very, very hard.")</f>
        <v>S28 Tony (5/8): Worst case scenario came true for me today. Spencer has won immunity once again so now we have to speed up the process of elimination from our own alliance. Which is going to be very, very, very hard.</v>
      </c>
      <c r="AB82" s="4"/>
      <c r="AC82" s="3"/>
      <c r="AD82" s="4"/>
      <c r="AE82" s="3"/>
      <c r="AF82" s="4"/>
      <c r="AG82" s="3"/>
      <c r="AH82" s="4"/>
      <c r="AI82" s="3"/>
      <c r="AJ82" s="4"/>
      <c r="AK82" s="3"/>
      <c r="AL82" s="4"/>
      <c r="AM82" s="3" t="str">
        <f>IFERROR(__xludf.DUMMYFUNCTION("""COMPUTED_VALUE"""),"S22 Rob (10/12): So I basically told Phillip, “We're voting for Grant,” but then I had to go to Phillip, Ashley and Natalie, “We're voting for Grant,” then I had to go to Grant, and ask Grant which way he wanted to go, if he wanted to go with Phillip or h"&amp;"e wanted to go with Natalie. It's a lot of work. It's exhausting. It really is.")</f>
        <v>S22 Rob (10/12): So I basically told Phillip, “We're voting for Grant,” but then I had to go to Phillip, Ashley and Natalie, “We're voting for Grant,” then I had to go to Grant, and ask Grant which way he wanted to go, if he wanted to go with Phillip or he wanted to go with Natalie. It's a lot of work. It's exhausting. It really is.</v>
      </c>
      <c r="AN82" s="4"/>
      <c r="AO82" s="3"/>
      <c r="AP82" s="4"/>
      <c r="AQ82" s="3"/>
      <c r="AR82" s="4"/>
      <c r="AS82" s="3"/>
      <c r="AT82" s="4"/>
      <c r="AU82" s="3"/>
      <c r="AV82" s="4"/>
      <c r="AW82" s="3"/>
      <c r="AX82" s="4"/>
      <c r="AY82" s="3"/>
      <c r="AZ82" s="4"/>
      <c r="BA82" s="3"/>
      <c r="BB82" s="4"/>
      <c r="BC82" s="3"/>
      <c r="BD82" s="4"/>
      <c r="BE82" s="3"/>
      <c r="BF82" s="4"/>
      <c r="BG82" s="3"/>
      <c r="BH82" s="4"/>
      <c r="BI82" s="3"/>
      <c r="BJ82" s="4"/>
      <c r="BK82" s="3"/>
      <c r="BL82" s="4"/>
      <c r="BM82" s="3"/>
      <c r="BN82" s="4"/>
      <c r="BO82" s="3"/>
      <c r="BP82" s="4"/>
      <c r="BQ82" s="3"/>
      <c r="BR82" s="4"/>
      <c r="BS82" s="3"/>
      <c r="BT82" s="4"/>
      <c r="BU82" s="3"/>
      <c r="BV82" s="4"/>
      <c r="BW82" s="3"/>
      <c r="BX82" s="4"/>
      <c r="BY82" s="3"/>
      <c r="BZ82" s="4"/>
      <c r="CA82" s="3"/>
      <c r="CB82" s="4"/>
      <c r="CC82" s="3"/>
      <c r="CD82" s="4"/>
    </row>
    <row r="83">
      <c r="A83" s="3"/>
      <c r="B83" s="4"/>
      <c r="C83" s="3"/>
      <c r="D83" s="4"/>
      <c r="E83" s="3"/>
      <c r="F83" s="4"/>
      <c r="G83" s="3"/>
      <c r="H83" s="4"/>
      <c r="I83" s="3"/>
      <c r="J83" s="4"/>
      <c r="K83" s="3"/>
      <c r="L83" s="4"/>
      <c r="M83" s="3"/>
      <c r="N83" s="4"/>
      <c r="O83" s="3"/>
      <c r="P83" s="4"/>
      <c r="Q83" s="3"/>
      <c r="R83" s="4"/>
      <c r="S83" s="3"/>
      <c r="T83" s="4"/>
      <c r="U83" s="3"/>
      <c r="V83" s="4"/>
      <c r="W83" s="3"/>
      <c r="X83" s="4"/>
      <c r="Y83" s="3"/>
      <c r="Z83" s="4"/>
      <c r="AA83" s="3" t="str">
        <f>IFERROR(__xludf.DUMMYFUNCTION("""COMPUTED_VALUE"""),"S28 Tony (6/8): Today I was doing a lot of scrambling, a lot more lying. All because Kass went blabbing her mouth to Woo telling him that I was taking her to the final three. The problem is I didn't make any promises to Woo to go to the final three and no"&amp;"w he's suspicious of me.")</f>
        <v>S28 Tony (6/8): Today I was doing a lot of scrambling, a lot more lying. All because Kass went blabbing her mouth to Woo telling him that I was taking her to the final three. The problem is I didn't make any promises to Woo to go to the final three and now he's suspicious of me.</v>
      </c>
      <c r="AB83" s="4"/>
      <c r="AC83" s="3"/>
      <c r="AD83" s="4"/>
      <c r="AE83" s="3"/>
      <c r="AF83" s="4"/>
      <c r="AG83" s="3"/>
      <c r="AH83" s="4"/>
      <c r="AI83" s="3"/>
      <c r="AJ83" s="4"/>
      <c r="AK83" s="3"/>
      <c r="AL83" s="4"/>
      <c r="AM83" s="3" t="str">
        <f>IFERROR(__xludf.DUMMYFUNCTION("""COMPUTED_VALUE"""),"S22 Rob (11/12): Ashley and Natalie are getting too close for comfort. It's just like Amber and I. It's just like Andrea and Matt were at the beginning of this season. A couple is very powerful in this game. Even if it's two girls, if they trust and belie"&amp;"ve in each other, it's a very powerful thing.")</f>
        <v>S22 Rob (11/12): Ashley and Natalie are getting too close for comfort. It's just like Amber and I. It's just like Andrea and Matt were at the beginning of this season. A couple is very powerful in this game. Even if it's two girls, if they trust and believe in each other, it's a very powerful thing.</v>
      </c>
      <c r="AN83" s="4"/>
      <c r="AO83" s="3"/>
      <c r="AP83" s="4"/>
      <c r="AQ83" s="3"/>
      <c r="AR83" s="4"/>
      <c r="AS83" s="3"/>
      <c r="AT83" s="4"/>
      <c r="AU83" s="3"/>
      <c r="AV83" s="4"/>
      <c r="AW83" s="3"/>
      <c r="AX83" s="4"/>
      <c r="AY83" s="3"/>
      <c r="AZ83" s="4"/>
      <c r="BA83" s="3"/>
      <c r="BB83" s="4"/>
      <c r="BC83" s="3"/>
      <c r="BD83" s="4"/>
      <c r="BE83" s="3"/>
      <c r="BF83" s="4"/>
      <c r="BG83" s="3"/>
      <c r="BH83" s="4"/>
      <c r="BI83" s="3"/>
      <c r="BJ83" s="4"/>
      <c r="BK83" s="3"/>
      <c r="BL83" s="4"/>
      <c r="BM83" s="3"/>
      <c r="BN83" s="4"/>
      <c r="BO83" s="3"/>
      <c r="BP83" s="4"/>
      <c r="BQ83" s="3"/>
      <c r="BR83" s="4"/>
      <c r="BS83" s="3"/>
      <c r="BT83" s="4"/>
      <c r="BU83" s="3"/>
      <c r="BV83" s="4"/>
      <c r="BW83" s="3"/>
      <c r="BX83" s="4"/>
      <c r="BY83" s="3"/>
      <c r="BZ83" s="4"/>
      <c r="CA83" s="3"/>
      <c r="CB83" s="4"/>
      <c r="CC83" s="3"/>
      <c r="CD83" s="4"/>
    </row>
    <row r="84">
      <c r="A84" s="3"/>
      <c r="B84" s="4"/>
      <c r="C84" s="3"/>
      <c r="D84" s="4"/>
      <c r="E84" s="3"/>
      <c r="F84" s="4"/>
      <c r="G84" s="3"/>
      <c r="H84" s="4"/>
      <c r="I84" s="3"/>
      <c r="J84" s="4"/>
      <c r="K84" s="3"/>
      <c r="L84" s="4"/>
      <c r="M84" s="3"/>
      <c r="N84" s="4"/>
      <c r="O84" s="3"/>
      <c r="P84" s="4"/>
      <c r="Q84" s="3"/>
      <c r="R84" s="4"/>
      <c r="S84" s="3"/>
      <c r="T84" s="4"/>
      <c r="U84" s="3"/>
      <c r="V84" s="4"/>
      <c r="W84" s="3"/>
      <c r="X84" s="4"/>
      <c r="Y84" s="3"/>
      <c r="Z84" s="4"/>
      <c r="AA84" s="3" t="str">
        <f>IFERROR(__xludf.DUMMYFUNCTION("""COMPUTED_VALUE"""),"S28 Tony (7/8): Kass might be a beautiful person on the outside world but as far as Survivor is concerned she is absolutely horrible. Why would she go and tell them I said all this stuff unless she was looking to blindside me? Therefore, she's going home."&amp;" Period.")</f>
        <v>S28 Tony (7/8): Kass might be a beautiful person on the outside world but as far as Survivor is concerned she is absolutely horrible. Why would she go and tell them I said all this stuff unless she was looking to blindside me? Therefore, she's going home. Period.</v>
      </c>
      <c r="AB84" s="4"/>
      <c r="AC84" s="3"/>
      <c r="AD84" s="4"/>
      <c r="AE84" s="3"/>
      <c r="AF84" s="4"/>
      <c r="AG84" s="3"/>
      <c r="AH84" s="4"/>
      <c r="AI84" s="3"/>
      <c r="AJ84" s="4"/>
      <c r="AK84" s="3"/>
      <c r="AL84" s="4"/>
      <c r="AM84" s="3" t="str">
        <f>IFERROR(__xludf.DUMMYFUNCTION("""COMPUTED_VALUE"""),"S22 Rob (12/12): With Ashley and Natalie getting as close as they're getting, it could be a real problem if somebody were to come back from Redemption Island, and they were to decide to join up with that person and decide that they don't need me anymore. "&amp;"In that situation, it would be more advantageous for me to break up Ashley and Natalie while I have the chance so that that doesn't happen. And I think Grant's a good guy. I really have, like, made a good friendship with him throughout this show. I'm stil"&amp;"l sitting in a pretty good spot, even though I didn't win immunity today. If I decide it's going to be Grant, it's Grant. And if I still decide that it's going to be Natalie, it'll be Natalie. One man should not have this much power in this game. Luckily,"&amp;" I'm not an ordinary man.")</f>
        <v>S22 Rob (12/12): With Ashley and Natalie getting as close as they're getting, it could be a real problem if somebody were to come back from Redemption Island, and they were to decide to join up with that person and decide that they don't need me anymore. In that situation, it would be more advantageous for me to break up Ashley and Natalie while I have the chance so that that doesn't happen. And I think Grant's a good guy. I really have, like, made a good friendship with him throughout this show. I'm still sitting in a pretty good spot, even though I didn't win immunity today. If I decide it's going to be Grant, it's Grant. And if I still decide that it's going to be Natalie, it'll be Natalie. One man should not have this much power in this game. Luckily, I'm not an ordinary man.</v>
      </c>
      <c r="AN84" s="4"/>
      <c r="AO84" s="3"/>
      <c r="AP84" s="4"/>
      <c r="AQ84" s="3"/>
      <c r="AR84" s="4"/>
      <c r="AS84" s="3"/>
      <c r="AT84" s="4"/>
      <c r="AU84" s="3"/>
      <c r="AV84" s="4"/>
      <c r="AW84" s="3"/>
      <c r="AX84" s="4"/>
      <c r="AY84" s="3"/>
      <c r="AZ84" s="4"/>
      <c r="BA84" s="3"/>
      <c r="BB84" s="4"/>
      <c r="BC84" s="3"/>
      <c r="BD84" s="4"/>
      <c r="BE84" s="3"/>
      <c r="BF84" s="4"/>
      <c r="BG84" s="3"/>
      <c r="BH84" s="4"/>
      <c r="BI84" s="3"/>
      <c r="BJ84" s="4"/>
      <c r="BK84" s="3"/>
      <c r="BL84" s="4"/>
      <c r="BM84" s="3"/>
      <c r="BN84" s="4"/>
      <c r="BO84" s="3"/>
      <c r="BP84" s="4"/>
      <c r="BQ84" s="3"/>
      <c r="BR84" s="4"/>
      <c r="BS84" s="3"/>
      <c r="BT84" s="4"/>
      <c r="BU84" s="3"/>
      <c r="BV84" s="4"/>
      <c r="BW84" s="3"/>
      <c r="BX84" s="4"/>
      <c r="BY84" s="3"/>
      <c r="BZ84" s="4"/>
      <c r="CA84" s="3"/>
      <c r="CB84" s="4"/>
      <c r="CC84" s="3"/>
      <c r="CD84" s="4"/>
    </row>
    <row r="85">
      <c r="A85" s="3"/>
      <c r="B85" s="4"/>
      <c r="C85" s="3"/>
      <c r="D85" s="4"/>
      <c r="E85" s="3"/>
      <c r="F85" s="4"/>
      <c r="G85" s="3"/>
      <c r="H85" s="4"/>
      <c r="I85" s="3"/>
      <c r="J85" s="4"/>
      <c r="K85" s="3"/>
      <c r="L85" s="4"/>
      <c r="M85" s="3"/>
      <c r="N85" s="4"/>
      <c r="O85" s="3"/>
      <c r="P85" s="4"/>
      <c r="Q85" s="3"/>
      <c r="R85" s="4"/>
      <c r="S85" s="3"/>
      <c r="T85" s="4"/>
      <c r="U85" s="3"/>
      <c r="V85" s="4"/>
      <c r="W85" s="3"/>
      <c r="X85" s="4"/>
      <c r="Y85" s="3"/>
      <c r="Z85" s="4"/>
      <c r="AA85" s="3" t="str">
        <f>IFERROR(__xludf.DUMMYFUNCTION("""COMPUTED_VALUE"""),"S28 Tony (8/8): I just saw Woo talking to Spencer and Kass and I'm thinking to myself “What the hell just happened?” I thought we were a strong alliance. I gotta just make sure that me and Woo are on the same page. If not, I might have to break my promise"&amp;" and change the plan. I don't wanna do that but we'll see what happens tonight.")</f>
        <v>S28 Tony (8/8): I just saw Woo talking to Spencer and Kass and I'm thinking to myself “What the hell just happened?” I thought we were a strong alliance. I gotta just make sure that me and Woo are on the same page. If not, I might have to break my promise and change the plan. I don't wanna do that but we'll see what happens tonight.</v>
      </c>
      <c r="AB85" s="4"/>
      <c r="AC85" s="3"/>
      <c r="AD85" s="4"/>
      <c r="AE85" s="3"/>
      <c r="AF85" s="4"/>
      <c r="AG85" s="3"/>
      <c r="AH85" s="4"/>
      <c r="AI85" s="3"/>
      <c r="AJ85" s="4"/>
      <c r="AK85" s="3"/>
      <c r="AL85" s="4"/>
      <c r="AM85" s="3" t="str">
        <f>IFERROR(__xludf.DUMMYFUNCTION("""COMPUTED_VALUE"""),"S22 Rob (1/14): Tonight at Tribal Council, Grant got sent to Redemption Island. The irony is that it's completely my fault that he's gone. But at the same time, I miss him because Grant was a friend of mine out here. As much as I like to think I'm a cold "&amp;"hearted, calculating player, it still does, uh, get me a little bit, you know? I've got a heart in there somewhere.")</f>
        <v>S22 Rob (1/14): Tonight at Tribal Council, Grant got sent to Redemption Island. The irony is that it's completely my fault that he's gone. But at the same time, I miss him because Grant was a friend of mine out here. As much as I like to think I'm a cold hearted, calculating player, it still does, uh, get me a little bit, you know? I've got a heart in there somewhere.</v>
      </c>
      <c r="AN85" s="4"/>
      <c r="AO85" s="3"/>
      <c r="AP85" s="4"/>
      <c r="AQ85" s="3"/>
      <c r="AR85" s="4"/>
      <c r="AS85" s="3"/>
      <c r="AT85" s="4"/>
      <c r="AU85" s="3"/>
      <c r="AV85" s="4"/>
      <c r="AW85" s="3"/>
      <c r="AX85" s="4"/>
      <c r="AY85" s="3"/>
      <c r="AZ85" s="4"/>
      <c r="BA85" s="3"/>
      <c r="BB85" s="4"/>
      <c r="BC85" s="3"/>
      <c r="BD85" s="4"/>
      <c r="BE85" s="3"/>
      <c r="BF85" s="4"/>
      <c r="BG85" s="3"/>
      <c r="BH85" s="4"/>
      <c r="BI85" s="3"/>
      <c r="BJ85" s="4"/>
      <c r="BK85" s="3"/>
      <c r="BL85" s="4"/>
      <c r="BM85" s="3"/>
      <c r="BN85" s="4"/>
      <c r="BO85" s="3"/>
      <c r="BP85" s="4"/>
      <c r="BQ85" s="3"/>
      <c r="BR85" s="4"/>
      <c r="BS85" s="3"/>
      <c r="BT85" s="4"/>
      <c r="BU85" s="3"/>
      <c r="BV85" s="4"/>
      <c r="BW85" s="3"/>
      <c r="BX85" s="4"/>
      <c r="BY85" s="3"/>
      <c r="BZ85" s="4"/>
      <c r="CA85" s="3"/>
      <c r="CB85" s="4"/>
      <c r="CC85" s="3"/>
      <c r="CD85" s="4"/>
    </row>
    <row r="86">
      <c r="A86" s="3"/>
      <c r="B86" s="4"/>
      <c r="C86" s="3"/>
      <c r="D86" s="4"/>
      <c r="E86" s="3"/>
      <c r="F86" s="4"/>
      <c r="G86" s="3"/>
      <c r="H86" s="4"/>
      <c r="I86" s="3"/>
      <c r="J86" s="4"/>
      <c r="K86" s="3"/>
      <c r="L86" s="4"/>
      <c r="M86" s="3"/>
      <c r="N86" s="4"/>
      <c r="O86" s="3"/>
      <c r="P86" s="4"/>
      <c r="Q86" s="3"/>
      <c r="R86" s="4"/>
      <c r="S86" s="3"/>
      <c r="T86" s="4"/>
      <c r="U86" s="3"/>
      <c r="V86" s="4"/>
      <c r="W86" s="3"/>
      <c r="X86" s="4"/>
      <c r="Y86" s="3"/>
      <c r="Z86" s="4"/>
      <c r="AA86" s="3" t="str">
        <f>IFERROR(__xludf.DUMMYFUNCTION("""COMPUTED_VALUE"""),"S28 Tony: I'm probably the villain. But everything I did was survival-based. I came out here to win a million dollars and my focus is still to win a million dollars.")</f>
        <v>S28 Tony: I'm probably the villain. But everything I did was survival-based. I came out here to win a million dollars and my focus is still to win a million dollars.</v>
      </c>
      <c r="AB86" s="4"/>
      <c r="AC86" s="3"/>
      <c r="AD86" s="4"/>
      <c r="AE86" s="3"/>
      <c r="AF86" s="4"/>
      <c r="AG86" s="3"/>
      <c r="AH86" s="4"/>
      <c r="AI86" s="3"/>
      <c r="AJ86" s="4"/>
      <c r="AK86" s="3"/>
      <c r="AL86" s="4"/>
      <c r="AM86" s="3" t="str">
        <f>IFERROR(__xludf.DUMMYFUNCTION("""COMPUTED_VALUE"""),"S22 Rob (2/14): I think Grant might be the only person on Redemption that can come back here, and me, actually want to vote them out next. If it's Matty, Mike, or Andrea I don't know. Ashley's just no good, she's no good, bro. She's gotta go. That's in my"&amp;" gut, you know? She's gotta go. Bye-bye, Ashley.")</f>
        <v>S22 Rob (2/14): I think Grant might be the only person on Redemption that can come back here, and me, actually want to vote them out next. If it's Matty, Mike, or Andrea I don't know. Ashley's just no good, she's no good, bro. She's gotta go. That's in my gut, you know? She's gotta go. Bye-bye, Ashley.</v>
      </c>
      <c r="AN86" s="4"/>
      <c r="AO86" s="3"/>
      <c r="AP86" s="4"/>
      <c r="AQ86" s="3"/>
      <c r="AR86" s="4"/>
      <c r="AS86" s="3"/>
      <c r="AT86" s="4"/>
      <c r="AU86" s="3"/>
      <c r="AV86" s="4"/>
      <c r="AW86" s="3"/>
      <c r="AX86" s="4"/>
      <c r="AY86" s="3"/>
      <c r="AZ86" s="4"/>
      <c r="BA86" s="3"/>
      <c r="BB86" s="4"/>
      <c r="BC86" s="3"/>
      <c r="BD86" s="4"/>
      <c r="BE86" s="3"/>
      <c r="BF86" s="4"/>
      <c r="BG86" s="3"/>
      <c r="BH86" s="4"/>
      <c r="BI86" s="3"/>
      <c r="BJ86" s="4"/>
      <c r="BK86" s="3"/>
      <c r="BL86" s="4"/>
      <c r="BM86" s="3"/>
      <c r="BN86" s="4"/>
      <c r="BO86" s="3"/>
      <c r="BP86" s="4"/>
      <c r="BQ86" s="3"/>
      <c r="BR86" s="4"/>
      <c r="BS86" s="3"/>
      <c r="BT86" s="4"/>
      <c r="BU86" s="3"/>
      <c r="BV86" s="4"/>
      <c r="BW86" s="3"/>
      <c r="BX86" s="4"/>
      <c r="BY86" s="3"/>
      <c r="BZ86" s="4"/>
      <c r="CA86" s="3"/>
      <c r="CB86" s="4"/>
      <c r="CC86" s="3"/>
      <c r="CD86" s="4"/>
    </row>
    <row r="87">
      <c r="A87" s="3"/>
      <c r="B87" s="4"/>
      <c r="C87" s="3"/>
      <c r="D87" s="4"/>
      <c r="E87" s="3"/>
      <c r="F87" s="4"/>
      <c r="G87" s="3"/>
      <c r="H87" s="4"/>
      <c r="I87" s="3"/>
      <c r="J87" s="4"/>
      <c r="K87" s="3"/>
      <c r="L87" s="4"/>
      <c r="M87" s="3"/>
      <c r="N87" s="4"/>
      <c r="O87" s="3"/>
      <c r="P87" s="4"/>
      <c r="Q87" s="3"/>
      <c r="R87" s="4"/>
      <c r="S87" s="3"/>
      <c r="T87" s="4"/>
      <c r="U87" s="3"/>
      <c r="V87" s="4"/>
      <c r="W87" s="3"/>
      <c r="X87" s="4"/>
      <c r="Y87" s="3"/>
      <c r="Z87" s="4"/>
      <c r="AA87" s="3" t="str">
        <f>IFERROR(__xludf.DUMMYFUNCTION("""COMPUTED_VALUE"""),"S28 Tony (1/13): I'm a little bit sad that I had to oust one of my best allies, one of my most loyal, most honest, most sincere, most genuine ally, which was Trish. But I had no choice but to stick to the plan of the vote and, uh, I feel horrible about it"&amp;". But I think it was the most strategic move for me to make.")</f>
        <v>S28 Tony (1/13): I'm a little bit sad that I had to oust one of my best allies, one of my most loyal, most honest, most sincere, most genuine ally, which was Trish. But I had no choice but to stick to the plan of the vote and, uh, I feel horrible about it. But I think it was the most strategic move for me to make.</v>
      </c>
      <c r="AB87" s="4"/>
      <c r="AC87" s="3"/>
      <c r="AD87" s="4"/>
      <c r="AE87" s="3"/>
      <c r="AF87" s="4"/>
      <c r="AG87" s="3"/>
      <c r="AH87" s="4"/>
      <c r="AI87" s="3"/>
      <c r="AJ87" s="4"/>
      <c r="AK87" s="3"/>
      <c r="AL87" s="4"/>
      <c r="AM87" s="3" t="str">
        <f>IFERROR(__xludf.DUMMYFUNCTION("""COMPUTED_VALUE"""),"S22 Rob (3/14): The way I see it, between Phillip, Andrea, Ashley, Natalie, I have to vote for Ashley, because she played the game better. So, as long as Ashley doesn't win immunity tomorrow, Andrea gets to stay one more day.")</f>
        <v>S22 Rob (3/14): The way I see it, between Phillip, Andrea, Ashley, Natalie, I have to vote for Ashley, because she played the game better. So, as long as Ashley doesn't win immunity tomorrow, Andrea gets to stay one more day.</v>
      </c>
      <c r="AN87" s="4"/>
      <c r="AO87" s="3"/>
      <c r="AP87" s="4"/>
      <c r="AQ87" s="3"/>
      <c r="AR87" s="4"/>
      <c r="AS87" s="3"/>
      <c r="AT87" s="4"/>
      <c r="AU87" s="3"/>
      <c r="AV87" s="4"/>
      <c r="AW87" s="3"/>
      <c r="AX87" s="4"/>
      <c r="AY87" s="3"/>
      <c r="AZ87" s="4"/>
      <c r="BA87" s="3"/>
      <c r="BB87" s="4"/>
      <c r="BC87" s="3"/>
      <c r="BD87" s="4"/>
      <c r="BE87" s="3"/>
      <c r="BF87" s="4"/>
      <c r="BG87" s="3"/>
      <c r="BH87" s="4"/>
      <c r="BI87" s="3"/>
      <c r="BJ87" s="4"/>
      <c r="BK87" s="3"/>
      <c r="BL87" s="4"/>
      <c r="BM87" s="3"/>
      <c r="BN87" s="4"/>
      <c r="BO87" s="3"/>
      <c r="BP87" s="4"/>
      <c r="BQ87" s="3"/>
      <c r="BR87" s="4"/>
      <c r="BS87" s="3"/>
      <c r="BT87" s="4"/>
      <c r="BU87" s="3"/>
      <c r="BV87" s="4"/>
      <c r="BW87" s="3"/>
      <c r="BX87" s="4"/>
      <c r="BY87" s="3"/>
      <c r="BZ87" s="4"/>
      <c r="CA87" s="3"/>
      <c r="CB87" s="4"/>
      <c r="CC87" s="3"/>
      <c r="CD87" s="4"/>
    </row>
    <row r="88">
      <c r="A88" s="3"/>
      <c r="B88" s="4"/>
      <c r="C88" s="3"/>
      <c r="D88" s="4"/>
      <c r="E88" s="3"/>
      <c r="F88" s="4"/>
      <c r="G88" s="3"/>
      <c r="H88" s="4"/>
      <c r="I88" s="3"/>
      <c r="J88" s="4"/>
      <c r="K88" s="3"/>
      <c r="L88" s="4"/>
      <c r="M88" s="3"/>
      <c r="N88" s="4"/>
      <c r="O88" s="3"/>
      <c r="P88" s="4"/>
      <c r="Q88" s="3"/>
      <c r="R88" s="4"/>
      <c r="S88" s="3"/>
      <c r="T88" s="4"/>
      <c r="U88" s="3"/>
      <c r="V88" s="4"/>
      <c r="W88" s="3"/>
      <c r="X88" s="4"/>
      <c r="Y88" s="3"/>
      <c r="Z88" s="4"/>
      <c r="AA88" s="3" t="str">
        <f>IFERROR(__xludf.DUMMYFUNCTION("""COMPUTED_VALUE"""),"S28 Tony (2/13): Back home in the motherland, I'm a police officer. I can't be corrupt. Out here, all I'm doing is bluffing and I'm lying my ass off. I've been telling them about this special idol now. Just planting the seed in their head that I'm gonna u"&amp;"se it but I've been bluffing saying that I can use it for final four. But right now, this idol is nothing more than a souvenir. It's useless in this game because today was the last day I could use it at this Tribal Council. The only thing that I have goin"&amp;"g for me right now is my bluff. But if I don't pull this off and I don't win an individual Immunity Necklace, I might be in serious trouble so close to the end where it's going to hurt the most.")</f>
        <v>S28 Tony (2/13): Back home in the motherland, I'm a police officer. I can't be corrupt. Out here, all I'm doing is bluffing and I'm lying my ass off. I've been telling them about this special idol now. Just planting the seed in their head that I'm gonna use it but I've been bluffing saying that I can use it for final four. But right now, this idol is nothing more than a souvenir. It's useless in this game because today was the last day I could use it at this Tribal Council. The only thing that I have going for me right now is my bluff. But if I don't pull this off and I don't win an individual Immunity Necklace, I might be in serious trouble so close to the end where it's going to hurt the most.</v>
      </c>
      <c r="AB88" s="4"/>
      <c r="AC88" s="3"/>
      <c r="AD88" s="4"/>
      <c r="AE88" s="3"/>
      <c r="AF88" s="4"/>
      <c r="AG88" s="3"/>
      <c r="AH88" s="4"/>
      <c r="AI88" s="3"/>
      <c r="AJ88" s="4"/>
      <c r="AK88" s="3"/>
      <c r="AL88" s="4"/>
      <c r="AM88" s="3" t="str">
        <f>IFERROR(__xludf.DUMMYFUNCTION("""COMPUTED_VALUE"""),"S22 Rob (4/14): Ashley drives me nuts, but her tactics are so amateur hour. Natalie's a good-hearted little soul, one that's loyal. And, uh, I don't like to see someone corrupt my soldier. I can't wait to vote her ass out. I can't. 37 days. It's like the "&amp;"patience is finally going to pay off and it's going to be that much sweeter.")</f>
        <v>S22 Rob (4/14): Ashley drives me nuts, but her tactics are so amateur hour. Natalie's a good-hearted little soul, one that's loyal. And, uh, I don't like to see someone corrupt my soldier. I can't wait to vote her ass out. I can't. 37 days. It's like the patience is finally going to pay off and it's going to be that much sweeter.</v>
      </c>
      <c r="AN88" s="4"/>
      <c r="AO88" s="3"/>
      <c r="AP88" s="4"/>
      <c r="AQ88" s="3"/>
      <c r="AR88" s="4"/>
      <c r="AS88" s="3"/>
      <c r="AT88" s="4"/>
      <c r="AU88" s="3"/>
      <c r="AV88" s="4"/>
      <c r="AW88" s="3"/>
      <c r="AX88" s="4"/>
      <c r="AY88" s="3"/>
      <c r="AZ88" s="4"/>
      <c r="BA88" s="3"/>
      <c r="BB88" s="4"/>
      <c r="BC88" s="3"/>
      <c r="BD88" s="4"/>
      <c r="BE88" s="3"/>
      <c r="BF88" s="4"/>
      <c r="BG88" s="3"/>
      <c r="BH88" s="4"/>
      <c r="BI88" s="3"/>
      <c r="BJ88" s="4"/>
      <c r="BK88" s="3"/>
      <c r="BL88" s="4"/>
      <c r="BM88" s="3"/>
      <c r="BN88" s="4"/>
      <c r="BO88" s="3"/>
      <c r="BP88" s="4"/>
      <c r="BQ88" s="3"/>
      <c r="BR88" s="4"/>
      <c r="BS88" s="3"/>
      <c r="BT88" s="4"/>
      <c r="BU88" s="3"/>
      <c r="BV88" s="4"/>
      <c r="BW88" s="3"/>
      <c r="BX88" s="4"/>
      <c r="BY88" s="3"/>
      <c r="BZ88" s="4"/>
      <c r="CA88" s="3"/>
      <c r="CB88" s="4"/>
      <c r="CC88" s="3"/>
      <c r="CD88" s="4"/>
    </row>
    <row r="89">
      <c r="A89" s="3"/>
      <c r="B89" s="4"/>
      <c r="C89" s="3"/>
      <c r="D89" s="4"/>
      <c r="E89" s="3"/>
      <c r="F89" s="4"/>
      <c r="G89" s="3"/>
      <c r="H89" s="4"/>
      <c r="I89" s="3"/>
      <c r="J89" s="4"/>
      <c r="K89" s="3"/>
      <c r="L89" s="4"/>
      <c r="M89" s="3"/>
      <c r="N89" s="4"/>
      <c r="O89" s="3"/>
      <c r="P89" s="4"/>
      <c r="Q89" s="3"/>
      <c r="R89" s="4"/>
      <c r="S89" s="3"/>
      <c r="T89" s="4"/>
      <c r="U89" s="3"/>
      <c r="V89" s="4"/>
      <c r="W89" s="3"/>
      <c r="X89" s="4"/>
      <c r="Y89" s="3"/>
      <c r="Z89" s="4"/>
      <c r="AA89" s="3" t="str">
        <f>IFERROR(__xludf.DUMMYFUNCTION("""COMPUTED_VALUE"""),"S28 Tony (3/13): I'm looking around, I'm looking around like please, I was looking for my wife and I didn't see my wife and... (takes deep breath) I've seen my best friend Arnold and it sucks because I was anticipating my wife, you know, I was looking for"&amp;"ward to seeing my wife but I just don't think she could leave a four month old baby home to come out here. I mean it was hard enough for me to do it but I know it was in her mom's hands.")</f>
        <v>S28 Tony (3/13): I'm looking around, I'm looking around like please, I was looking for my wife and I didn't see my wife and... (takes deep breath) I've seen my best friend Arnold and it sucks because I was anticipating my wife, you know, I was looking forward to seeing my wife but I just don't think she could leave a four month old baby home to come out here. I mean it was hard enough for me to do it but I know it was in her mom's hands.</v>
      </c>
      <c r="AB89" s="4"/>
      <c r="AC89" s="3"/>
      <c r="AD89" s="4"/>
      <c r="AE89" s="3"/>
      <c r="AF89" s="4"/>
      <c r="AG89" s="3"/>
      <c r="AH89" s="4"/>
      <c r="AI89" s="3"/>
      <c r="AJ89" s="4"/>
      <c r="AK89" s="3"/>
      <c r="AL89" s="4"/>
      <c r="AM89" s="3" t="str">
        <f>IFERROR(__xludf.DUMMYFUNCTION("""COMPUTED_VALUE"""),"S22 Rob (5/14): Ashley won. So Andrea goes home. Andrea's actually worked hard this game. She's been helpful around camp. She has a good relationship with people on the other side. Seems like a no brainer to get rid of her.")</f>
        <v>S22 Rob (5/14): Ashley won. So Andrea goes home. Andrea's actually worked hard this game. She's been helpful around camp. She has a good relationship with people on the other side. Seems like a no brainer to get rid of her.</v>
      </c>
      <c r="AN89" s="4"/>
      <c r="AO89" s="3"/>
      <c r="AP89" s="4"/>
      <c r="AQ89" s="3"/>
      <c r="AR89" s="4"/>
      <c r="AS89" s="3"/>
      <c r="AT89" s="4"/>
      <c r="AU89" s="3"/>
      <c r="AV89" s="4"/>
      <c r="AW89" s="3"/>
      <c r="AX89" s="4"/>
      <c r="AY89" s="3"/>
      <c r="AZ89" s="4"/>
      <c r="BA89" s="3"/>
      <c r="BB89" s="4"/>
      <c r="BC89" s="3"/>
      <c r="BD89" s="4"/>
      <c r="BE89" s="3"/>
      <c r="BF89" s="4"/>
      <c r="BG89" s="3"/>
      <c r="BH89" s="4"/>
      <c r="BI89" s="3"/>
      <c r="BJ89" s="4"/>
      <c r="BK89" s="3"/>
      <c r="BL89" s="4"/>
      <c r="BM89" s="3"/>
      <c r="BN89" s="4"/>
      <c r="BO89" s="3"/>
      <c r="BP89" s="4"/>
      <c r="BQ89" s="3"/>
      <c r="BR89" s="4"/>
      <c r="BS89" s="3"/>
      <c r="BT89" s="4"/>
      <c r="BU89" s="3"/>
      <c r="BV89" s="4"/>
      <c r="BW89" s="3"/>
      <c r="BX89" s="4"/>
      <c r="BY89" s="3"/>
      <c r="BZ89" s="4"/>
      <c r="CA89" s="3"/>
      <c r="CB89" s="4"/>
      <c r="CC89" s="3"/>
      <c r="CD89" s="4"/>
    </row>
    <row r="90">
      <c r="A90" s="3"/>
      <c r="B90" s="4"/>
      <c r="C90" s="3"/>
      <c r="D90" s="4"/>
      <c r="E90" s="3"/>
      <c r="F90" s="4"/>
      <c r="G90" s="3"/>
      <c r="H90" s="4"/>
      <c r="I90" s="3"/>
      <c r="J90" s="4"/>
      <c r="K90" s="3"/>
      <c r="L90" s="4"/>
      <c r="M90" s="3"/>
      <c r="N90" s="4"/>
      <c r="O90" s="3"/>
      <c r="P90" s="4"/>
      <c r="Q90" s="3"/>
      <c r="R90" s="4"/>
      <c r="S90" s="3"/>
      <c r="T90" s="4"/>
      <c r="U90" s="3"/>
      <c r="V90" s="4"/>
      <c r="W90" s="3"/>
      <c r="X90" s="4"/>
      <c r="Y90" s="3"/>
      <c r="Z90" s="4"/>
      <c r="AA90" s="3" t="str">
        <f>IFERROR(__xludf.DUMMYFUNCTION("""COMPUTED_VALUE"""),"S28 Tony (4/13): Arnold told me everything about my little baby. He told me... (stands up, looks away from the camera and wipes tears) He told me that my baby is almost twice the size. I was so happy to hear that, you know, it was like my daughter is in h"&amp;"er mom's hands, I'm at peace.")</f>
        <v>S28 Tony (4/13): Arnold told me everything about my little baby. He told me... (stands up, looks away from the camera and wipes tears) He told me that my baby is almost twice the size. I was so happy to hear that, you know, it was like my daughter is in her mom's hands, I'm at peace.</v>
      </c>
      <c r="AB90" s="4"/>
      <c r="AC90" s="3"/>
      <c r="AD90" s="4"/>
      <c r="AE90" s="3"/>
      <c r="AF90" s="4"/>
      <c r="AG90" s="3"/>
      <c r="AH90" s="4"/>
      <c r="AI90" s="3"/>
      <c r="AJ90" s="4"/>
      <c r="AK90" s="3"/>
      <c r="AL90" s="4"/>
      <c r="AM90" s="3" t="str">
        <f>IFERROR(__xludf.DUMMYFUNCTION("""COMPUTED_VALUE"""),"S22 Rob (6/14): There are no idols after tonight, and it's the last time I can use my idol. But I don't even need the idol. If I decided, you know what? I'm going to go fishing, I don't have anything to worry about. I'm not going home tonight.")</f>
        <v>S22 Rob (6/14): There are no idols after tonight, and it's the last time I can use my idol. But I don't even need the idol. If I decided, you know what? I'm going to go fishing, I don't have anything to worry about. I'm not going home tonight.</v>
      </c>
      <c r="AN90" s="4"/>
      <c r="AO90" s="3"/>
      <c r="AP90" s="4"/>
      <c r="AQ90" s="3"/>
      <c r="AR90" s="4"/>
      <c r="AS90" s="3"/>
      <c r="AT90" s="4"/>
      <c r="AU90" s="3"/>
      <c r="AV90" s="4"/>
      <c r="AW90" s="3"/>
      <c r="AX90" s="4"/>
      <c r="AY90" s="3"/>
      <c r="AZ90" s="4"/>
      <c r="BA90" s="3"/>
      <c r="BB90" s="4"/>
      <c r="BC90" s="3"/>
      <c r="BD90" s="4"/>
      <c r="BE90" s="3"/>
      <c r="BF90" s="4"/>
      <c r="BG90" s="3"/>
      <c r="BH90" s="4"/>
      <c r="BI90" s="3"/>
      <c r="BJ90" s="4"/>
      <c r="BK90" s="3"/>
      <c r="BL90" s="4"/>
      <c r="BM90" s="3"/>
      <c r="BN90" s="4"/>
      <c r="BO90" s="3"/>
      <c r="BP90" s="4"/>
      <c r="BQ90" s="3"/>
      <c r="BR90" s="4"/>
      <c r="BS90" s="3"/>
      <c r="BT90" s="4"/>
      <c r="BU90" s="3"/>
      <c r="BV90" s="4"/>
      <c r="BW90" s="3"/>
      <c r="BX90" s="4"/>
      <c r="BY90" s="3"/>
      <c r="BZ90" s="4"/>
      <c r="CA90" s="3"/>
      <c r="CB90" s="4"/>
      <c r="CC90" s="3"/>
      <c r="CD90" s="4"/>
    </row>
    <row r="91">
      <c r="A91" s="3"/>
      <c r="B91" s="4"/>
      <c r="C91" s="3"/>
      <c r="D91" s="4"/>
      <c r="E91" s="3"/>
      <c r="F91" s="4"/>
      <c r="G91" s="3"/>
      <c r="H91" s="4"/>
      <c r="I91" s="3"/>
      <c r="J91" s="4"/>
      <c r="K91" s="3"/>
      <c r="L91" s="4"/>
      <c r="M91" s="3"/>
      <c r="N91" s="4"/>
      <c r="O91" s="3"/>
      <c r="P91" s="4"/>
      <c r="Q91" s="3"/>
      <c r="R91" s="4"/>
      <c r="S91" s="3"/>
      <c r="T91" s="4"/>
      <c r="U91" s="3"/>
      <c r="V91" s="4"/>
      <c r="W91" s="3"/>
      <c r="X91" s="4"/>
      <c r="Y91" s="3"/>
      <c r="Z91" s="4"/>
      <c r="AA91" s="3" t="str">
        <f>IFERROR(__xludf.DUMMYFUNCTION("""COMPUTED_VALUE"""),"S28 Tony (5/13): Spencer, Kass and Woo are still under the impression that I have an idol that I can use at final four. That's why I feel safe. But all I wanted was to wear one Immunity Necklace, one time. And I'm crying about I didn't even get a chance t"&amp;"o wear an Immunity Necklace and Spencer says “Hold on, Tony. That's what I want to talk to you about.”")</f>
        <v>S28 Tony (5/13): Spencer, Kass and Woo are still under the impression that I have an idol that I can use at final four. That's why I feel safe. But all I wanted was to wear one Immunity Necklace, one time. And I'm crying about I didn't even get a chance to wear an Immunity Necklace and Spencer says “Hold on, Tony. That's what I want to talk to you about.”</v>
      </c>
      <c r="AB91" s="4"/>
      <c r="AC91" s="3"/>
      <c r="AD91" s="4"/>
      <c r="AE91" s="3"/>
      <c r="AF91" s="4"/>
      <c r="AG91" s="3"/>
      <c r="AH91" s="4"/>
      <c r="AI91" s="3"/>
      <c r="AJ91" s="4"/>
      <c r="AK91" s="3"/>
      <c r="AL91" s="4"/>
      <c r="AM91" s="3" t="str">
        <f>IFERROR(__xludf.DUMMYFUNCTION("""COMPUTED_VALUE"""),"S22 Rob (7/14): I got Phillip telling me the girls are in the woods talking. Yeah, thanks, Phillip, welcome to Day 37. I've played this game four times. Do these guys not realize that? Do they not realize that I can pretty much predict what they're going "&amp;"to do and say before they actually do it?")</f>
        <v>S22 Rob (7/14): I got Phillip telling me the girls are in the woods talking. Yeah, thanks, Phillip, welcome to Day 37. I've played this game four times. Do these guys not realize that? Do they not realize that I can pretty much predict what they're going to do and say before they actually do it?</v>
      </c>
      <c r="AN91" s="4"/>
      <c r="AO91" s="3"/>
      <c r="AP91" s="4"/>
      <c r="AQ91" s="3"/>
      <c r="AR91" s="4"/>
      <c r="AS91" s="3"/>
      <c r="AT91" s="4"/>
      <c r="AU91" s="3"/>
      <c r="AV91" s="4"/>
      <c r="AW91" s="3"/>
      <c r="AX91" s="4"/>
      <c r="AY91" s="3"/>
      <c r="AZ91" s="4"/>
      <c r="BA91" s="3"/>
      <c r="BB91" s="4"/>
      <c r="BC91" s="3"/>
      <c r="BD91" s="4"/>
      <c r="BE91" s="3"/>
      <c r="BF91" s="4"/>
      <c r="BG91" s="3"/>
      <c r="BH91" s="4"/>
      <c r="BI91" s="3"/>
      <c r="BJ91" s="4"/>
      <c r="BK91" s="3"/>
      <c r="BL91" s="4"/>
      <c r="BM91" s="3"/>
      <c r="BN91" s="4"/>
      <c r="BO91" s="3"/>
      <c r="BP91" s="4"/>
      <c r="BQ91" s="3"/>
      <c r="BR91" s="4"/>
      <c r="BS91" s="3"/>
      <c r="BT91" s="4"/>
      <c r="BU91" s="3"/>
      <c r="BV91" s="4"/>
      <c r="BW91" s="3"/>
      <c r="BX91" s="4"/>
      <c r="BY91" s="3"/>
      <c r="BZ91" s="4"/>
      <c r="CA91" s="3"/>
      <c r="CB91" s="4"/>
      <c r="CC91" s="3"/>
      <c r="CD91" s="4"/>
    </row>
    <row r="92">
      <c r="A92" s="3"/>
      <c r="B92" s="4"/>
      <c r="C92" s="3"/>
      <c r="D92" s="4"/>
      <c r="E92" s="3"/>
      <c r="F92" s="4"/>
      <c r="G92" s="3"/>
      <c r="H92" s="4"/>
      <c r="I92" s="3"/>
      <c r="J92" s="4"/>
      <c r="K92" s="3"/>
      <c r="L92" s="4"/>
      <c r="M92" s="3"/>
      <c r="N92" s="4"/>
      <c r="O92" s="3"/>
      <c r="P92" s="4"/>
      <c r="Q92" s="3"/>
      <c r="R92" s="4"/>
      <c r="S92" s="3"/>
      <c r="T92" s="4"/>
      <c r="U92" s="3"/>
      <c r="V92" s="4"/>
      <c r="W92" s="3"/>
      <c r="X92" s="4"/>
      <c r="Y92" s="3"/>
      <c r="Z92" s="4"/>
      <c r="AA92" s="3" t="str">
        <f>IFERROR(__xludf.DUMMYFUNCTION("""COMPUTED_VALUE"""),"S28 Tony (6/13): So we walk to Tree Mail and he's like “Tone, it's going to be final two this season.” He's a super fan so I'm listening to him and he makes all the sense in the world.")</f>
        <v>S28 Tony (6/13): So we walk to Tree Mail and he's like “Tone, it's going to be final two this season.” He's a super fan so I'm listening to him and he makes all the sense in the world.</v>
      </c>
      <c r="AB92" s="4"/>
      <c r="AC92" s="3"/>
      <c r="AD92" s="4"/>
      <c r="AE92" s="3"/>
      <c r="AF92" s="4"/>
      <c r="AG92" s="3"/>
      <c r="AH92" s="4"/>
      <c r="AI92" s="3"/>
      <c r="AJ92" s="4"/>
      <c r="AK92" s="3"/>
      <c r="AL92" s="4"/>
      <c r="AM92" s="3" t="str">
        <f>IFERROR(__xludf.DUMMYFUNCTION("""COMPUTED_VALUE"""),"S22 Rob (8/14): I can still dictate this vote. I don't even need the idol. As long as I have Natalie. I could take it home as a souvenir, too. What can I say? I like to gamble. (chuckles) God, I'm sick. I'm so sick.")</f>
        <v>S22 Rob (8/14): I can still dictate this vote. I don't even need the idol. As long as I have Natalie. I could take it home as a souvenir, too. What can I say? I like to gamble. (chuckles) God, I'm sick. I'm so sick.</v>
      </c>
      <c r="AN92" s="4"/>
      <c r="AO92" s="3"/>
      <c r="AP92" s="4"/>
      <c r="AQ92" s="3"/>
      <c r="AR92" s="4"/>
      <c r="AS92" s="3"/>
      <c r="AT92" s="4"/>
      <c r="AU92" s="3"/>
      <c r="AV92" s="4"/>
      <c r="AW92" s="3"/>
      <c r="AX92" s="4"/>
      <c r="AY92" s="3"/>
      <c r="AZ92" s="4"/>
      <c r="BA92" s="3"/>
      <c r="BB92" s="4"/>
      <c r="BC92" s="3"/>
      <c r="BD92" s="4"/>
      <c r="BE92" s="3"/>
      <c r="BF92" s="4"/>
      <c r="BG92" s="3"/>
      <c r="BH92" s="4"/>
      <c r="BI92" s="3"/>
      <c r="BJ92" s="4"/>
      <c r="BK92" s="3"/>
      <c r="BL92" s="4"/>
      <c r="BM92" s="3"/>
      <c r="BN92" s="4"/>
      <c r="BO92" s="3"/>
      <c r="BP92" s="4"/>
      <c r="BQ92" s="3"/>
      <c r="BR92" s="4"/>
      <c r="BS92" s="3"/>
      <c r="BT92" s="4"/>
      <c r="BU92" s="3"/>
      <c r="BV92" s="4"/>
      <c r="BW92" s="3"/>
      <c r="BX92" s="4"/>
      <c r="BY92" s="3"/>
      <c r="BZ92" s="4"/>
      <c r="CA92" s="3"/>
      <c r="CB92" s="4"/>
      <c r="CC92" s="3"/>
      <c r="CD92" s="4"/>
    </row>
    <row r="93">
      <c r="A93" s="3"/>
      <c r="B93" s="4"/>
      <c r="C93" s="3"/>
      <c r="D93" s="4"/>
      <c r="E93" s="3"/>
      <c r="F93" s="4"/>
      <c r="G93" s="3"/>
      <c r="H93" s="4"/>
      <c r="I93" s="3"/>
      <c r="J93" s="4"/>
      <c r="K93" s="3"/>
      <c r="L93" s="4"/>
      <c r="M93" s="3"/>
      <c r="N93" s="4"/>
      <c r="O93" s="3"/>
      <c r="P93" s="4"/>
      <c r="Q93" s="3"/>
      <c r="R93" s="4"/>
      <c r="S93" s="3"/>
      <c r="T93" s="4"/>
      <c r="U93" s="3"/>
      <c r="V93" s="4"/>
      <c r="W93" s="3"/>
      <c r="X93" s="4"/>
      <c r="Y93" s="3"/>
      <c r="Z93" s="4"/>
      <c r="AA93" s="3" t="str">
        <f>IFERROR(__xludf.DUMMYFUNCTION("""COMPUTED_VALUE"""),"S28 Tony (7/13): Here I am, Day 38, and now my destiny lies in Woo's hands. My back is up against the wall. He's not going to be so easy to convince to vote against Kass.")</f>
        <v>S28 Tony (7/13): Here I am, Day 38, and now my destiny lies in Woo's hands. My back is up against the wall. He's not going to be so easy to convince to vote against Kass.</v>
      </c>
      <c r="AB93" s="4"/>
      <c r="AC93" s="3"/>
      <c r="AD93" s="4"/>
      <c r="AE93" s="3"/>
      <c r="AF93" s="4"/>
      <c r="AG93" s="3"/>
      <c r="AH93" s="4"/>
      <c r="AI93" s="3"/>
      <c r="AJ93" s="4"/>
      <c r="AK93" s="3"/>
      <c r="AL93" s="4"/>
      <c r="AM93" s="3" t="str">
        <f>IFERROR(__xludf.DUMMYFUNCTION("""COMPUTED_VALUE"""),"S22 Rob (9/14): Ten years, four times on Survivor, 116 days, one challenge, for one million bucks. That's what it comes down to. It's pretty big stakes.")</f>
        <v>S22 Rob (9/14): Ten years, four times on Survivor, 116 days, one challenge, for one million bucks. That's what it comes down to. It's pretty big stakes.</v>
      </c>
      <c r="AN93" s="4"/>
      <c r="AO93" s="3"/>
      <c r="AP93" s="4"/>
      <c r="AQ93" s="3"/>
      <c r="AR93" s="4"/>
      <c r="AS93" s="3"/>
      <c r="AT93" s="4"/>
      <c r="AU93" s="3"/>
      <c r="AV93" s="4"/>
      <c r="AW93" s="3"/>
      <c r="AX93" s="4"/>
      <c r="AY93" s="3"/>
      <c r="AZ93" s="4"/>
      <c r="BA93" s="3"/>
      <c r="BB93" s="4"/>
      <c r="BC93" s="3"/>
      <c r="BD93" s="4"/>
      <c r="BE93" s="3"/>
      <c r="BF93" s="4"/>
      <c r="BG93" s="3"/>
      <c r="BH93" s="4"/>
      <c r="BI93" s="3"/>
      <c r="BJ93" s="4"/>
      <c r="BK93" s="3"/>
      <c r="BL93" s="4"/>
      <c r="BM93" s="3"/>
      <c r="BN93" s="4"/>
      <c r="BO93" s="3"/>
      <c r="BP93" s="4"/>
      <c r="BQ93" s="3"/>
      <c r="BR93" s="4"/>
      <c r="BS93" s="3"/>
      <c r="BT93" s="4"/>
      <c r="BU93" s="3"/>
      <c r="BV93" s="4"/>
      <c r="BW93" s="3"/>
      <c r="BX93" s="4"/>
      <c r="BY93" s="3"/>
      <c r="BZ93" s="4"/>
      <c r="CA93" s="3"/>
      <c r="CB93" s="4"/>
      <c r="CC93" s="3"/>
      <c r="CD93" s="4"/>
    </row>
    <row r="94">
      <c r="A94" s="3"/>
      <c r="B94" s="4"/>
      <c r="C94" s="3"/>
      <c r="D94" s="4"/>
      <c r="E94" s="3"/>
      <c r="F94" s="4"/>
      <c r="G94" s="3"/>
      <c r="H94" s="4"/>
      <c r="I94" s="3"/>
      <c r="J94" s="4"/>
      <c r="K94" s="3"/>
      <c r="L94" s="4"/>
      <c r="M94" s="3"/>
      <c r="N94" s="4"/>
      <c r="O94" s="3"/>
      <c r="P94" s="4"/>
      <c r="Q94" s="3"/>
      <c r="R94" s="4"/>
      <c r="S94" s="3"/>
      <c r="T94" s="4"/>
      <c r="U94" s="3"/>
      <c r="V94" s="4"/>
      <c r="W94" s="3"/>
      <c r="X94" s="4"/>
      <c r="Y94" s="3"/>
      <c r="Z94" s="4"/>
      <c r="AA94" s="3" t="str">
        <f>IFERROR(__xludf.DUMMYFUNCTION("""COMPUTED_VALUE"""),"S28 Tony (8/13): So I wanna be as subtle, as soft as I can but at the same time aggressive. I'm just planting the seeds once again hoping something catches.")</f>
        <v>S28 Tony (8/13): So I wanna be as subtle, as soft as I can but at the same time aggressive. I'm just planting the seeds once again hoping something catches.</v>
      </c>
      <c r="AB94" s="4"/>
      <c r="AC94" s="3"/>
      <c r="AD94" s="4"/>
      <c r="AE94" s="3"/>
      <c r="AF94" s="4"/>
      <c r="AG94" s="3"/>
      <c r="AH94" s="4"/>
      <c r="AI94" s="3"/>
      <c r="AJ94" s="4"/>
      <c r="AK94" s="3"/>
      <c r="AL94" s="4"/>
      <c r="AM94" s="3" t="str">
        <f>IFERROR(__xludf.DUMMYFUNCTION("""COMPUTED_VALUE"""),"S22 Rob (10/14): (tearfully) It was Amber that encouraged me to come back and try again. She believes in me. It's because of her. Like, whatever happens now, I'm okay. Even if I don't win. Which is ironic because the only reason I ever wanted to come back"&amp;" to play again was to win. But.... I feel like I did my best. But I'm not done yet. First of all, figure out which one of these other three idiots I'm going to send home tonight, and then how I'm going to convince the other people sitting on the jury to g"&amp;"ive me a million dollars after my wife's already won one.")</f>
        <v>S22 Rob (10/14): (tearfully) It was Amber that encouraged me to come back and try again. She believes in me. It's because of her. Like, whatever happens now, I'm okay. Even if I don't win. Which is ironic because the only reason I ever wanted to come back to play again was to win. But.... I feel like I did my best. But I'm not done yet. First of all, figure out which one of these other three idiots I'm going to send home tonight, and then how I'm going to convince the other people sitting on the jury to give me a million dollars after my wife's already won one.</v>
      </c>
      <c r="AN94" s="4"/>
      <c r="AO94" s="3"/>
      <c r="AP94" s="4"/>
      <c r="AQ94" s="3"/>
      <c r="AR94" s="4"/>
      <c r="AS94" s="3"/>
      <c r="AT94" s="4"/>
      <c r="AU94" s="3"/>
      <c r="AV94" s="4"/>
      <c r="AW94" s="3"/>
      <c r="AX94" s="4"/>
      <c r="AY94" s="3"/>
      <c r="AZ94" s="4"/>
      <c r="BA94" s="3"/>
      <c r="BB94" s="4"/>
      <c r="BC94" s="3"/>
      <c r="BD94" s="4"/>
      <c r="BE94" s="3"/>
      <c r="BF94" s="4"/>
      <c r="BG94" s="3"/>
      <c r="BH94" s="4"/>
      <c r="BI94" s="3"/>
      <c r="BJ94" s="4"/>
      <c r="BK94" s="3"/>
      <c r="BL94" s="4"/>
      <c r="BM94" s="3"/>
      <c r="BN94" s="4"/>
      <c r="BO94" s="3"/>
      <c r="BP94" s="4"/>
      <c r="BQ94" s="3"/>
      <c r="BR94" s="4"/>
      <c r="BS94" s="3"/>
      <c r="BT94" s="4"/>
      <c r="BU94" s="3"/>
      <c r="BV94" s="4"/>
      <c r="BW94" s="3"/>
      <c r="BX94" s="4"/>
      <c r="BY94" s="3"/>
      <c r="BZ94" s="4"/>
      <c r="CA94" s="3"/>
      <c r="CB94" s="4"/>
      <c r="CC94" s="3"/>
      <c r="CD94" s="4"/>
    </row>
    <row r="95">
      <c r="A95" s="3"/>
      <c r="B95" s="4"/>
      <c r="C95" s="3"/>
      <c r="D95" s="4"/>
      <c r="E95" s="3"/>
      <c r="F95" s="4"/>
      <c r="G95" s="3"/>
      <c r="H95" s="4"/>
      <c r="I95" s="3"/>
      <c r="J95" s="4"/>
      <c r="K95" s="3"/>
      <c r="L95" s="4"/>
      <c r="M95" s="3"/>
      <c r="N95" s="4"/>
      <c r="O95" s="3"/>
      <c r="P95" s="4"/>
      <c r="Q95" s="3"/>
      <c r="R95" s="4"/>
      <c r="S95" s="3"/>
      <c r="T95" s="4"/>
      <c r="U95" s="3"/>
      <c r="V95" s="4"/>
      <c r="W95" s="3"/>
      <c r="X95" s="4"/>
      <c r="Y95" s="3"/>
      <c r="Z95" s="4"/>
      <c r="AA95" s="3" t="str">
        <f>IFERROR(__xludf.DUMMYFUNCTION("""COMPUTED_VALUE"""),"S28 Tony (9/13): My argument to Woo is a pretty valid argument. Woo has based this game around loyalty, honor, integrity and so I'm telling him “Woo, final two, for you to oust me now, you just threw your game plan out the window!”")</f>
        <v>S28 Tony (9/13): My argument to Woo is a pretty valid argument. Woo has based this game around loyalty, honor, integrity and so I'm telling him “Woo, final two, for you to oust me now, you just threw your game plan out the window!”</v>
      </c>
      <c r="AB95" s="4"/>
      <c r="AC95" s="3"/>
      <c r="AD95" s="4"/>
      <c r="AE95" s="3"/>
      <c r="AF95" s="4"/>
      <c r="AG95" s="3"/>
      <c r="AH95" s="4"/>
      <c r="AI95" s="3"/>
      <c r="AJ95" s="4"/>
      <c r="AK95" s="3"/>
      <c r="AL95" s="4"/>
      <c r="AM95" s="3" t="str">
        <f>IFERROR(__xludf.DUMMYFUNCTION("""COMPUTED_VALUE"""),"S22 Rob (11/14): Basically at this point, I just want to make Ashley and Phillip both feel like they're going to the finals with me. It'd keep peace around camp for this afternoon and tonight, someone gets the final blindside. The problem is, if I want to"&amp;" get rid of Ashley, I have to get Natalie on board. And that's going to take some work.")</f>
        <v>S22 Rob (11/14): Basically at this point, I just want to make Ashley and Phillip both feel like they're going to the finals with me. It'd keep peace around camp for this afternoon and tonight, someone gets the final blindside. The problem is, if I want to get rid of Ashley, I have to get Natalie on board. And that's going to take some work.</v>
      </c>
      <c r="AN95" s="4"/>
      <c r="AO95" s="3"/>
      <c r="AP95" s="4"/>
      <c r="AQ95" s="3"/>
      <c r="AR95" s="4"/>
      <c r="AS95" s="3"/>
      <c r="AT95" s="4"/>
      <c r="AU95" s="3"/>
      <c r="AV95" s="4"/>
      <c r="AW95" s="3"/>
      <c r="AX95" s="4"/>
      <c r="AY95" s="3"/>
      <c r="AZ95" s="4"/>
      <c r="BA95" s="3"/>
      <c r="BB95" s="4"/>
      <c r="BC95" s="3"/>
      <c r="BD95" s="4"/>
      <c r="BE95" s="3"/>
      <c r="BF95" s="4"/>
      <c r="BG95" s="3"/>
      <c r="BH95" s="4"/>
      <c r="BI95" s="3"/>
      <c r="BJ95" s="4"/>
      <c r="BK95" s="3"/>
      <c r="BL95" s="4"/>
      <c r="BM95" s="3"/>
      <c r="BN95" s="4"/>
      <c r="BO95" s="3"/>
      <c r="BP95" s="4"/>
      <c r="BQ95" s="3"/>
      <c r="BR95" s="4"/>
      <c r="BS95" s="3"/>
      <c r="BT95" s="4"/>
      <c r="BU95" s="3"/>
      <c r="BV95" s="4"/>
      <c r="BW95" s="3"/>
      <c r="BX95" s="4"/>
      <c r="BY95" s="3"/>
      <c r="BZ95" s="4"/>
      <c r="CA95" s="3"/>
      <c r="CB95" s="4"/>
      <c r="CC95" s="3"/>
      <c r="CD95" s="4"/>
    </row>
    <row r="96">
      <c r="A96" s="3"/>
      <c r="B96" s="4"/>
      <c r="C96" s="3"/>
      <c r="D96" s="4"/>
      <c r="E96" s="3"/>
      <c r="F96" s="4"/>
      <c r="G96" s="3"/>
      <c r="H96" s="4"/>
      <c r="I96" s="3"/>
      <c r="J96" s="4"/>
      <c r="K96" s="3"/>
      <c r="L96" s="4"/>
      <c r="M96" s="3"/>
      <c r="N96" s="4"/>
      <c r="O96" s="3"/>
      <c r="P96" s="4"/>
      <c r="Q96" s="3"/>
      <c r="R96" s="4"/>
      <c r="S96" s="3"/>
      <c r="T96" s="4"/>
      <c r="U96" s="3"/>
      <c r="V96" s="4"/>
      <c r="W96" s="3"/>
      <c r="X96" s="4"/>
      <c r="Y96" s="3"/>
      <c r="Z96" s="4"/>
      <c r="AA96" s="3" t="str">
        <f>IFERROR(__xludf.DUMMYFUNCTION("""COMPUTED_VALUE"""),"S28 Tony (10/13): Is he buying it? I wouldn't buy it. I'd take my chances with Kass.")</f>
        <v>S28 Tony (10/13): Is he buying it? I wouldn't buy it. I'd take my chances with Kass.</v>
      </c>
      <c r="AB96" s="4"/>
      <c r="AC96" s="3"/>
      <c r="AD96" s="4"/>
      <c r="AE96" s="3"/>
      <c r="AF96" s="4"/>
      <c r="AG96" s="3"/>
      <c r="AH96" s="4"/>
      <c r="AI96" s="3"/>
      <c r="AJ96" s="4"/>
      <c r="AK96" s="3"/>
      <c r="AL96" s="4"/>
      <c r="AM96" s="3" t="str">
        <f>IFERROR(__xludf.DUMMYFUNCTION("""COMPUTED_VALUE"""),"S22 Rob (12/14): The other problem with Ashley is that while the Zapatera people were here, she got awfully close to a lot of them. And probably created some bonds that would come to haunt me in the Final Tribal Council with her and Natalie. So, pretty mu"&amp;"ch, I have to try to convince Natalie to vote off Ashley. She's not going to like it. And, ultimately, she may not go along with the plan.")</f>
        <v>S22 Rob (12/14): The other problem with Ashley is that while the Zapatera people were here, she got awfully close to a lot of them. And probably created some bonds that would come to haunt me in the Final Tribal Council with her and Natalie. So, pretty much, I have to try to convince Natalie to vote off Ashley. She's not going to like it. And, ultimately, she may not go along with the plan.</v>
      </c>
      <c r="AN96" s="4"/>
      <c r="AO96" s="3"/>
      <c r="AP96" s="4"/>
      <c r="AQ96" s="3"/>
      <c r="AR96" s="4"/>
      <c r="AS96" s="3"/>
      <c r="AT96" s="4"/>
      <c r="AU96" s="3"/>
      <c r="AV96" s="4"/>
      <c r="AW96" s="3"/>
      <c r="AX96" s="4"/>
      <c r="AY96" s="3"/>
      <c r="AZ96" s="4"/>
      <c r="BA96" s="3"/>
      <c r="BB96" s="4"/>
      <c r="BC96" s="3"/>
      <c r="BD96" s="4"/>
      <c r="BE96" s="3"/>
      <c r="BF96" s="4"/>
      <c r="BG96" s="3"/>
      <c r="BH96" s="4"/>
      <c r="BI96" s="3"/>
      <c r="BJ96" s="4"/>
      <c r="BK96" s="3"/>
      <c r="BL96" s="4"/>
      <c r="BM96" s="3"/>
      <c r="BN96" s="4"/>
      <c r="BO96" s="3"/>
      <c r="BP96" s="4"/>
      <c r="BQ96" s="3"/>
      <c r="BR96" s="4"/>
      <c r="BS96" s="3"/>
      <c r="BT96" s="4"/>
      <c r="BU96" s="3"/>
      <c r="BV96" s="4"/>
      <c r="BW96" s="3"/>
      <c r="BX96" s="4"/>
      <c r="BY96" s="3"/>
      <c r="BZ96" s="4"/>
      <c r="CA96" s="3"/>
      <c r="CB96" s="4"/>
      <c r="CC96" s="3"/>
      <c r="CD96" s="4"/>
    </row>
    <row r="97">
      <c r="A97" s="3"/>
      <c r="B97" s="4"/>
      <c r="C97" s="3"/>
      <c r="D97" s="4"/>
      <c r="E97" s="3"/>
      <c r="F97" s="4"/>
      <c r="G97" s="3"/>
      <c r="H97" s="4"/>
      <c r="I97" s="3"/>
      <c r="J97" s="4"/>
      <c r="K97" s="3"/>
      <c r="L97" s="4"/>
      <c r="M97" s="3"/>
      <c r="N97" s="4"/>
      <c r="O97" s="3"/>
      <c r="P97" s="4"/>
      <c r="Q97" s="3"/>
      <c r="R97" s="4"/>
      <c r="S97" s="3"/>
      <c r="T97" s="4"/>
      <c r="U97" s="3"/>
      <c r="V97" s="4"/>
      <c r="W97" s="3"/>
      <c r="X97" s="4"/>
      <c r="Y97" s="3"/>
      <c r="Z97" s="4"/>
      <c r="AA97" s="3" t="str">
        <f>IFERROR(__xludf.DUMMYFUNCTION("""COMPUTED_VALUE"""),"S28 Tony (11/13): Today we take a walk to Tree Mail. (blows raspberry) Oh my goodness! Eggs, croissants, sausages, bacon. I'm really am loving life.")</f>
        <v>S28 Tony (11/13): Today we take a walk to Tree Mail. (blows raspberry) Oh my goodness! Eggs, croissants, sausages, bacon. I'm really am loving life.</v>
      </c>
      <c r="AB97" s="4"/>
      <c r="AC97" s="3"/>
      <c r="AD97" s="4"/>
      <c r="AE97" s="3"/>
      <c r="AF97" s="4"/>
      <c r="AG97" s="3"/>
      <c r="AH97" s="4"/>
      <c r="AI97" s="3"/>
      <c r="AJ97" s="4"/>
      <c r="AK97" s="3"/>
      <c r="AL97" s="4"/>
      <c r="AM97" s="3" t="str">
        <f>IFERROR(__xludf.DUMMYFUNCTION("""COMPUTED_VALUE"""),"S22 Rob (13/14): Wow, 39 days in Nicaragua, 117 days total over the last 10 years. It's overwhelming. Winning this game has always eluded me. And, again, I find myself one step away from the top, and I'm just hoping to get there.")</f>
        <v>S22 Rob (13/14): Wow, 39 days in Nicaragua, 117 days total over the last 10 years. It's overwhelming. Winning this game has always eluded me. And, again, I find myself one step away from the top, and I'm just hoping to get there.</v>
      </c>
      <c r="AN97" s="4"/>
      <c r="AO97" s="3"/>
      <c r="AP97" s="4"/>
      <c r="AQ97" s="3"/>
      <c r="AR97" s="4"/>
      <c r="AS97" s="3"/>
      <c r="AT97" s="4"/>
      <c r="AU97" s="3"/>
      <c r="AV97" s="4"/>
      <c r="AW97" s="3"/>
      <c r="AX97" s="4"/>
      <c r="AY97" s="3"/>
      <c r="AZ97" s="4"/>
      <c r="BA97" s="3"/>
      <c r="BB97" s="4"/>
      <c r="BC97" s="3"/>
      <c r="BD97" s="4"/>
      <c r="BE97" s="3"/>
      <c r="BF97" s="4"/>
      <c r="BG97" s="3"/>
      <c r="BH97" s="4"/>
      <c r="BI97" s="3"/>
      <c r="BJ97" s="4"/>
      <c r="BK97" s="3"/>
      <c r="BL97" s="4"/>
      <c r="BM97" s="3"/>
      <c r="BN97" s="4"/>
      <c r="BO97" s="3"/>
      <c r="BP97" s="4"/>
      <c r="BQ97" s="3"/>
      <c r="BR97" s="4"/>
      <c r="BS97" s="3"/>
      <c r="BT97" s="4"/>
      <c r="BU97" s="3"/>
      <c r="BV97" s="4"/>
      <c r="BW97" s="3"/>
      <c r="BX97" s="4"/>
      <c r="BY97" s="3"/>
      <c r="BZ97" s="4"/>
      <c r="CA97" s="3"/>
      <c r="CB97" s="4"/>
      <c r="CC97" s="3"/>
      <c r="CD97" s="4"/>
    </row>
    <row r="98">
      <c r="A98" s="3"/>
      <c r="B98" s="4"/>
      <c r="C98" s="3"/>
      <c r="D98" s="4"/>
      <c r="E98" s="3"/>
      <c r="F98" s="4"/>
      <c r="G98" s="3"/>
      <c r="H98" s="4"/>
      <c r="I98" s="3"/>
      <c r="J98" s="4"/>
      <c r="K98" s="3"/>
      <c r="L98" s="4"/>
      <c r="M98" s="3"/>
      <c r="N98" s="4"/>
      <c r="O98" s="3"/>
      <c r="P98" s="4"/>
      <c r="Q98" s="3"/>
      <c r="R98" s="4"/>
      <c r="S98" s="3"/>
      <c r="T98" s="4"/>
      <c r="U98" s="3"/>
      <c r="V98" s="4"/>
      <c r="W98" s="3"/>
      <c r="X98" s="4"/>
      <c r="Y98" s="3"/>
      <c r="Z98" s="4"/>
      <c r="AA98" s="3" t="str">
        <f>IFERROR(__xludf.DUMMYFUNCTION("""COMPUTED_VALUE"""),"S28 Tony (12/13): I'm still in Survivor mode. As a matter of fact, there was a clue in the basket. I've seen the clue and-and automatic I went into my basic instinct. So you know, Woo is cooking up the food and as I'm talking to him I grab the clue, put i"&amp;"t in my pocket and I was like “What else could this be? Maybe it's a free vote or something!” you know. I don't know what it was. So then I took it behind Woo's back and I started reading it and it just gave me a hint about going to the back of the camp a"&amp;"nd there's another surprise waiting for me. So I said “Let me just go see what this is.” And it was a mirror with a scale. I looked in the mirror and thank God it didn't crack.")</f>
        <v>S28 Tony (12/13): I'm still in Survivor mode. As a matter of fact, there was a clue in the basket. I've seen the clue and-and automatic I went into my basic instinct. So you know, Woo is cooking up the food and as I'm talking to him I grab the clue, put it in my pocket and I was like “What else could this be? Maybe it's a free vote or something!” you know. I don't know what it was. So then I took it behind Woo's back and I started reading it and it just gave me a hint about going to the back of the camp and there's another surprise waiting for me. So I said “Let me just go see what this is.” And it was a mirror with a scale. I looked in the mirror and thank God it didn't crack.</v>
      </c>
      <c r="AB98" s="4"/>
      <c r="AC98" s="3"/>
      <c r="AD98" s="4"/>
      <c r="AE98" s="3"/>
      <c r="AF98" s="4"/>
      <c r="AG98" s="3"/>
      <c r="AH98" s="4"/>
      <c r="AI98" s="3"/>
      <c r="AJ98" s="4"/>
      <c r="AK98" s="3"/>
      <c r="AL98" s="4"/>
      <c r="AM98" s="3" t="str">
        <f>IFERROR(__xludf.DUMMYFUNCTION("""COMPUTED_VALUE"""),"S22 Rob (14/14): I haven't stopped playing the game. To some people it may look like I'm giving pointers to Natalie, but I'm actually giving Natalie pointers on how I want her to handle Tribal Council. And twice, you know, I made it all the way to the end"&amp;". The first time the jury didn't feel I was worthy. I'm hoping that tonight, I'm not going to screw it up again. As far as I'm concerned, I've done my job.")</f>
        <v>S22 Rob (14/14): I haven't stopped playing the game. To some people it may look like I'm giving pointers to Natalie, but I'm actually giving Natalie pointers on how I want her to handle Tribal Council. And twice, you know, I made it all the way to the end. The first time the jury didn't feel I was worthy. I'm hoping that tonight, I'm not going to screw it up again. As far as I'm concerned, I've done my job.</v>
      </c>
      <c r="AN98" s="4"/>
      <c r="AO98" s="3"/>
      <c r="AP98" s="4"/>
      <c r="AQ98" s="3"/>
      <c r="AR98" s="4"/>
      <c r="AS98" s="3"/>
      <c r="AT98" s="4"/>
      <c r="AU98" s="3"/>
      <c r="AV98" s="4"/>
      <c r="AW98" s="3"/>
      <c r="AX98" s="4"/>
      <c r="AY98" s="3"/>
      <c r="AZ98" s="4"/>
      <c r="BA98" s="3"/>
      <c r="BB98" s="4"/>
      <c r="BC98" s="3"/>
      <c r="BD98" s="4"/>
      <c r="BE98" s="3"/>
      <c r="BF98" s="4"/>
      <c r="BG98" s="3"/>
      <c r="BH98" s="4"/>
      <c r="BI98" s="3"/>
      <c r="BJ98" s="4"/>
      <c r="BK98" s="3"/>
      <c r="BL98" s="4"/>
      <c r="BM98" s="3"/>
      <c r="BN98" s="4"/>
      <c r="BO98" s="3"/>
      <c r="BP98" s="4"/>
      <c r="BQ98" s="3"/>
      <c r="BR98" s="4"/>
      <c r="BS98" s="3"/>
      <c r="BT98" s="4"/>
      <c r="BU98" s="3"/>
      <c r="BV98" s="4"/>
      <c r="BW98" s="3"/>
      <c r="BX98" s="4"/>
      <c r="BY98" s="3"/>
      <c r="BZ98" s="4"/>
      <c r="CA98" s="3"/>
      <c r="CB98" s="4"/>
      <c r="CC98" s="3"/>
      <c r="CD98" s="4"/>
    </row>
    <row r="99">
      <c r="A99" s="3"/>
      <c r="B99" s="4"/>
      <c r="C99" s="3"/>
      <c r="D99" s="4"/>
      <c r="E99" s="3"/>
      <c r="F99" s="4"/>
      <c r="G99" s="3"/>
      <c r="H99" s="4"/>
      <c r="I99" s="3"/>
      <c r="J99" s="4"/>
      <c r="K99" s="3"/>
      <c r="L99" s="4"/>
      <c r="M99" s="3"/>
      <c r="N99" s="4"/>
      <c r="O99" s="3"/>
      <c r="P99" s="4"/>
      <c r="Q99" s="3"/>
      <c r="R99" s="4"/>
      <c r="S99" s="3"/>
      <c r="T99" s="4"/>
      <c r="U99" s="3"/>
      <c r="V99" s="4"/>
      <c r="W99" s="3"/>
      <c r="X99" s="4"/>
      <c r="Y99" s="3"/>
      <c r="Z99" s="4"/>
      <c r="AA99" s="3" t="str">
        <f>IFERROR(__xludf.DUMMYFUNCTION("""COMPUTED_VALUE"""),"S28 Tony (13/13): I came out here not knowing anything about making fires, not knowing anything about cutting palm fronds, I never held a machete in my hand in my life. I just used my common sense. Throughout this game, Tony had so many names: Tony In Tro"&amp;"uble, Tony In Charge, Tony In The Driver Seat, Tony In Control. Today, I feel like I'm a Tony In Need of a Million Dollars. The million dollars was my main priority to come out here to better my life, better my wife's life and all my wife wants is a pink "&amp;"chandelier for my baby daughter. And my baby daughter is going to have a beautiful pink chandelier when I get back home.")</f>
        <v>S28 Tony (13/13): I came out here not knowing anything about making fires, not knowing anything about cutting palm fronds, I never held a machete in my hand in my life. I just used my common sense. Throughout this game, Tony had so many names: Tony In Trouble, Tony In Charge, Tony In The Driver Seat, Tony In Control. Today, I feel like I'm a Tony In Need of a Million Dollars. The million dollars was my main priority to come out here to better my life, better my wife's life and all my wife wants is a pink chandelier for my baby daughter. And my baby daughter is going to have a beautiful pink chandelier when I get back home.</v>
      </c>
      <c r="AB99" s="4"/>
      <c r="AC99" s="3"/>
      <c r="AD99" s="4"/>
      <c r="AE99" s="3"/>
      <c r="AF99" s="4"/>
      <c r="AG99" s="3"/>
      <c r="AH99" s="4"/>
      <c r="AI99" s="3"/>
      <c r="AJ99" s="4"/>
      <c r="AK99" s="3"/>
      <c r="AL99" s="4"/>
      <c r="AM99" s="3"/>
      <c r="AN99" s="4"/>
      <c r="AO99" s="3"/>
      <c r="AP99" s="4"/>
      <c r="AQ99" s="3"/>
      <c r="AR99" s="4"/>
      <c r="AS99" s="3"/>
      <c r="AT99" s="4"/>
      <c r="AU99" s="3"/>
      <c r="AV99" s="4"/>
      <c r="AW99" s="3"/>
      <c r="AX99" s="4"/>
      <c r="AY99" s="3"/>
      <c r="AZ99" s="4"/>
      <c r="BA99" s="3"/>
      <c r="BB99" s="4"/>
      <c r="BC99" s="3"/>
      <c r="BD99" s="4"/>
      <c r="BE99" s="3"/>
      <c r="BF99" s="4"/>
      <c r="BG99" s="3"/>
      <c r="BH99" s="4"/>
      <c r="BI99" s="3"/>
      <c r="BJ99" s="4"/>
      <c r="BK99" s="3"/>
      <c r="BL99" s="4"/>
      <c r="BM99" s="3"/>
      <c r="BN99" s="4"/>
      <c r="BO99" s="3"/>
      <c r="BP99" s="4"/>
      <c r="BQ99" s="3"/>
      <c r="BR99" s="4"/>
      <c r="BS99" s="3"/>
      <c r="BT99" s="4"/>
      <c r="BU99" s="3"/>
      <c r="BV99" s="4"/>
      <c r="BW99" s="3"/>
      <c r="BX99" s="4"/>
      <c r="BY99" s="3"/>
      <c r="BZ99" s="4"/>
      <c r="CA99" s="3"/>
      <c r="CB99" s="4"/>
      <c r="CC99" s="3"/>
      <c r="CD99" s="4"/>
    </row>
    <row r="100">
      <c r="A100" s="3"/>
      <c r="B100" s="4"/>
      <c r="C100" s="3"/>
      <c r="D100" s="4"/>
      <c r="E100" s="3"/>
      <c r="F100" s="4"/>
      <c r="G100" s="3"/>
      <c r="H100" s="4"/>
      <c r="I100" s="3"/>
      <c r="J100" s="4"/>
      <c r="K100" s="3"/>
      <c r="L100" s="4"/>
      <c r="M100" s="3"/>
      <c r="N100" s="4"/>
      <c r="O100" s="3"/>
      <c r="P100" s="4"/>
      <c r="Q100" s="3"/>
      <c r="R100" s="4"/>
      <c r="S100" s="3"/>
      <c r="T100" s="4"/>
      <c r="U100" s="3"/>
      <c r="V100" s="4"/>
      <c r="W100" s="3"/>
      <c r="X100" s="4"/>
      <c r="Y100" s="3"/>
      <c r="Z100" s="4"/>
      <c r="AA100" s="3"/>
      <c r="AB100" s="4"/>
      <c r="AC100" s="3"/>
      <c r="AD100" s="4"/>
      <c r="AE100" s="3"/>
      <c r="AF100" s="4"/>
      <c r="AG100" s="3"/>
      <c r="AH100" s="4"/>
      <c r="AI100" s="3"/>
      <c r="AJ100" s="4"/>
      <c r="AK100" s="3"/>
      <c r="AL100" s="4"/>
      <c r="AM100" s="3"/>
      <c r="AN100" s="4"/>
      <c r="AO100" s="3"/>
      <c r="AP100" s="4"/>
      <c r="AQ100" s="3"/>
      <c r="AR100" s="4"/>
      <c r="AS100" s="3"/>
      <c r="AT100" s="4"/>
      <c r="AU100" s="3"/>
      <c r="AV100" s="4"/>
      <c r="AW100" s="3"/>
      <c r="AX100" s="4"/>
      <c r="AY100" s="3"/>
      <c r="AZ100" s="4"/>
      <c r="BA100" s="3"/>
      <c r="BB100" s="4"/>
      <c r="BC100" s="3"/>
      <c r="BD100" s="4"/>
      <c r="BE100" s="3"/>
      <c r="BF100" s="4"/>
      <c r="BG100" s="3"/>
      <c r="BH100" s="4"/>
      <c r="BI100" s="3"/>
      <c r="BJ100" s="4"/>
      <c r="BK100" s="3"/>
      <c r="BL100" s="4"/>
      <c r="BM100" s="3"/>
      <c r="BN100" s="4"/>
      <c r="BO100" s="3"/>
      <c r="BP100" s="4"/>
      <c r="BQ100" s="3"/>
      <c r="BR100" s="4"/>
      <c r="BS100" s="3"/>
      <c r="BT100" s="4"/>
      <c r="BU100" s="3"/>
      <c r="BV100" s="4"/>
      <c r="BW100" s="3"/>
      <c r="BX100" s="4"/>
      <c r="BY100" s="3"/>
      <c r="BZ100" s="4"/>
      <c r="CA100" s="3"/>
      <c r="CB100" s="4"/>
      <c r="CC100" s="3"/>
      <c r="CD100" s="4"/>
    </row>
    <row r="101">
      <c r="A101" s="3"/>
      <c r="B101" s="4"/>
      <c r="C101" s="3"/>
      <c r="D101" s="4"/>
      <c r="E101" s="3"/>
      <c r="F101" s="4"/>
      <c r="G101" s="3"/>
      <c r="H101" s="4"/>
      <c r="I101" s="3"/>
      <c r="J101" s="4"/>
      <c r="K101" s="3"/>
      <c r="L101" s="4"/>
      <c r="M101" s="3"/>
      <c r="N101" s="4"/>
      <c r="O101" s="3"/>
      <c r="P101" s="4"/>
      <c r="Q101" s="3"/>
      <c r="R101" s="4"/>
      <c r="S101" s="3"/>
      <c r="T101" s="4"/>
      <c r="U101" s="3"/>
      <c r="V101" s="4"/>
      <c r="W101" s="3"/>
      <c r="X101" s="4"/>
      <c r="Y101" s="3"/>
      <c r="Z101" s="4"/>
      <c r="AA101" s="3"/>
      <c r="AB101" s="4"/>
      <c r="AC101" s="3"/>
      <c r="AD101" s="4"/>
      <c r="AE101" s="3"/>
      <c r="AF101" s="4"/>
      <c r="AG101" s="3"/>
      <c r="AH101" s="4"/>
      <c r="AI101" s="3"/>
      <c r="AJ101" s="4"/>
      <c r="AK101" s="3"/>
      <c r="AL101" s="4"/>
      <c r="AM101" s="3"/>
      <c r="AN101" s="4"/>
      <c r="AO101" s="3"/>
      <c r="AP101" s="4"/>
      <c r="AQ101" s="3"/>
      <c r="AR101" s="4"/>
      <c r="AS101" s="3"/>
      <c r="AT101" s="4"/>
      <c r="AU101" s="3"/>
      <c r="AV101" s="4"/>
      <c r="AW101" s="3"/>
      <c r="AX101" s="4"/>
      <c r="AY101" s="3"/>
      <c r="AZ101" s="4"/>
      <c r="BA101" s="3"/>
      <c r="BB101" s="4"/>
      <c r="BC101" s="3"/>
      <c r="BD101" s="4"/>
      <c r="BE101" s="3"/>
      <c r="BF101" s="4"/>
      <c r="BG101" s="3"/>
      <c r="BH101" s="4"/>
      <c r="BI101" s="3"/>
      <c r="BJ101" s="4"/>
      <c r="BK101" s="3"/>
      <c r="BL101" s="4"/>
      <c r="BM101" s="3"/>
      <c r="BN101" s="4"/>
      <c r="BO101" s="3"/>
      <c r="BP101" s="4"/>
      <c r="BQ101" s="3"/>
      <c r="BR101" s="4"/>
      <c r="BS101" s="3"/>
      <c r="BT101" s="4"/>
      <c r="BU101" s="3"/>
      <c r="BV101" s="4"/>
      <c r="BW101" s="3"/>
      <c r="BX101" s="4"/>
      <c r="BY101" s="3"/>
      <c r="BZ101" s="4"/>
      <c r="CA101" s="3"/>
      <c r="CB101" s="4"/>
      <c r="CC101" s="3"/>
      <c r="CD101" s="4"/>
    </row>
    <row r="102">
      <c r="A102" s="3"/>
      <c r="B102" s="4"/>
      <c r="C102" s="3"/>
      <c r="D102" s="4"/>
      <c r="E102" s="3"/>
      <c r="F102" s="4"/>
      <c r="G102" s="3"/>
      <c r="H102" s="4"/>
      <c r="I102" s="3"/>
      <c r="J102" s="4"/>
      <c r="K102" s="3"/>
      <c r="L102" s="4"/>
      <c r="M102" s="3"/>
      <c r="N102" s="4"/>
      <c r="O102" s="3"/>
      <c r="P102" s="4"/>
      <c r="Q102" s="3"/>
      <c r="R102" s="4"/>
      <c r="S102" s="3"/>
      <c r="T102" s="4"/>
      <c r="U102" s="3"/>
      <c r="V102" s="4"/>
      <c r="W102" s="3"/>
      <c r="X102" s="4"/>
      <c r="Y102" s="3"/>
      <c r="Z102" s="4"/>
      <c r="AA102" s="3"/>
      <c r="AB102" s="4"/>
      <c r="AC102" s="3"/>
      <c r="AD102" s="4"/>
      <c r="AE102" s="3"/>
      <c r="AF102" s="4"/>
      <c r="AG102" s="3"/>
      <c r="AH102" s="4"/>
      <c r="AI102" s="3"/>
      <c r="AJ102" s="4"/>
      <c r="AK102" s="3"/>
      <c r="AL102" s="4"/>
      <c r="AM102" s="3"/>
      <c r="AN102" s="4"/>
      <c r="AO102" s="3"/>
      <c r="AP102" s="4"/>
      <c r="AQ102" s="3"/>
      <c r="AR102" s="4"/>
      <c r="AS102" s="3"/>
      <c r="AT102" s="4"/>
      <c r="AU102" s="3"/>
      <c r="AV102" s="4"/>
      <c r="AW102" s="3"/>
      <c r="AX102" s="4"/>
      <c r="AY102" s="3"/>
      <c r="AZ102" s="4"/>
      <c r="BA102" s="3"/>
      <c r="BB102" s="4"/>
      <c r="BC102" s="3"/>
      <c r="BD102" s="4"/>
      <c r="BE102" s="3"/>
      <c r="BF102" s="4"/>
      <c r="BG102" s="3"/>
      <c r="BH102" s="4"/>
      <c r="BI102" s="3"/>
      <c r="BJ102" s="4"/>
      <c r="BK102" s="3"/>
      <c r="BL102" s="4"/>
      <c r="BM102" s="3"/>
      <c r="BN102" s="4"/>
      <c r="BO102" s="3"/>
      <c r="BP102" s="4"/>
      <c r="BQ102" s="3"/>
      <c r="BR102" s="4"/>
      <c r="BS102" s="3"/>
      <c r="BT102" s="4"/>
      <c r="BU102" s="3"/>
      <c r="BV102" s="4"/>
      <c r="BW102" s="3"/>
      <c r="BX102" s="4"/>
      <c r="BY102" s="3"/>
      <c r="BZ102" s="4"/>
      <c r="CA102" s="3"/>
      <c r="CB102" s="4"/>
      <c r="CC102" s="3"/>
      <c r="CD102" s="4"/>
    </row>
    <row r="103">
      <c r="A103" s="3"/>
      <c r="B103" s="4"/>
      <c r="C103" s="3"/>
      <c r="D103" s="4"/>
      <c r="E103" s="3"/>
      <c r="F103" s="4"/>
      <c r="G103" s="3"/>
      <c r="H103" s="4"/>
      <c r="I103" s="3"/>
      <c r="J103" s="4"/>
      <c r="K103" s="3"/>
      <c r="L103" s="4"/>
      <c r="M103" s="3"/>
      <c r="N103" s="4"/>
      <c r="O103" s="3"/>
      <c r="P103" s="4"/>
      <c r="Q103" s="3"/>
      <c r="R103" s="4"/>
      <c r="S103" s="3"/>
      <c r="T103" s="4"/>
      <c r="U103" s="3"/>
      <c r="V103" s="4"/>
      <c r="W103" s="3"/>
      <c r="X103" s="4"/>
      <c r="Y103" s="3"/>
      <c r="Z103" s="4"/>
      <c r="AA103" s="3"/>
      <c r="AB103" s="4"/>
      <c r="AC103" s="3"/>
      <c r="AD103" s="4"/>
      <c r="AE103" s="3"/>
      <c r="AF103" s="4"/>
      <c r="AG103" s="3"/>
      <c r="AH103" s="4"/>
      <c r="AI103" s="3"/>
      <c r="AJ103" s="4"/>
      <c r="AK103" s="3"/>
      <c r="AL103" s="4"/>
      <c r="AM103" s="3"/>
      <c r="AN103" s="4"/>
      <c r="AO103" s="3"/>
      <c r="AP103" s="4"/>
      <c r="AQ103" s="3"/>
      <c r="AR103" s="4"/>
      <c r="AS103" s="3"/>
      <c r="AT103" s="4"/>
      <c r="AU103" s="3"/>
      <c r="AV103" s="4"/>
      <c r="AW103" s="3"/>
      <c r="AX103" s="4"/>
      <c r="AY103" s="3"/>
      <c r="AZ103" s="4"/>
      <c r="BA103" s="3"/>
      <c r="BB103" s="4"/>
      <c r="BC103" s="3"/>
      <c r="BD103" s="4"/>
      <c r="BE103" s="3"/>
      <c r="BF103" s="4"/>
      <c r="BG103" s="3"/>
      <c r="BH103" s="4"/>
      <c r="BI103" s="3"/>
      <c r="BJ103" s="4"/>
      <c r="BK103" s="3"/>
      <c r="BL103" s="4"/>
      <c r="BM103" s="3"/>
      <c r="BN103" s="4"/>
      <c r="BO103" s="3"/>
      <c r="BP103" s="4"/>
      <c r="BQ103" s="3"/>
      <c r="BR103" s="4"/>
      <c r="BS103" s="3"/>
      <c r="BT103" s="4"/>
      <c r="BU103" s="3"/>
      <c r="BV103" s="4"/>
      <c r="BW103" s="3"/>
      <c r="BX103" s="4"/>
      <c r="BY103" s="3"/>
      <c r="BZ103" s="4"/>
      <c r="CA103" s="3"/>
      <c r="CB103" s="4"/>
      <c r="CC103" s="3"/>
      <c r="CD103" s="4"/>
    </row>
    <row r="104">
      <c r="A104" s="3"/>
      <c r="B104" s="4"/>
      <c r="C104" s="3"/>
      <c r="D104" s="4"/>
      <c r="E104" s="3"/>
      <c r="F104" s="4"/>
      <c r="G104" s="3"/>
      <c r="H104" s="4"/>
      <c r="I104" s="3"/>
      <c r="J104" s="4"/>
      <c r="K104" s="3"/>
      <c r="L104" s="4"/>
      <c r="M104" s="3"/>
      <c r="N104" s="4"/>
      <c r="O104" s="3"/>
      <c r="P104" s="4"/>
      <c r="Q104" s="3"/>
      <c r="R104" s="4"/>
      <c r="S104" s="3"/>
      <c r="T104" s="4"/>
      <c r="U104" s="3"/>
      <c r="V104" s="4"/>
      <c r="W104" s="3"/>
      <c r="X104" s="4"/>
      <c r="Y104" s="3"/>
      <c r="Z104" s="4"/>
      <c r="AA104" s="3"/>
      <c r="AB104" s="4"/>
      <c r="AC104" s="3"/>
      <c r="AD104" s="4"/>
      <c r="AE104" s="3"/>
      <c r="AF104" s="4"/>
      <c r="AG104" s="3"/>
      <c r="AH104" s="4"/>
      <c r="AI104" s="3"/>
      <c r="AJ104" s="4"/>
      <c r="AK104" s="3"/>
      <c r="AL104" s="4"/>
      <c r="AM104" s="3"/>
      <c r="AN104" s="4"/>
      <c r="AO104" s="3"/>
      <c r="AP104" s="4"/>
      <c r="AQ104" s="3"/>
      <c r="AR104" s="4"/>
      <c r="AS104" s="3"/>
      <c r="AT104" s="4"/>
      <c r="AU104" s="3"/>
      <c r="AV104" s="4"/>
      <c r="AW104" s="3"/>
      <c r="AX104" s="4"/>
      <c r="AY104" s="3"/>
      <c r="AZ104" s="4"/>
      <c r="BA104" s="3"/>
      <c r="BB104" s="4"/>
      <c r="BC104" s="3"/>
      <c r="BD104" s="4"/>
      <c r="BE104" s="3"/>
      <c r="BF104" s="4"/>
      <c r="BG104" s="3"/>
      <c r="BH104" s="4"/>
      <c r="BI104" s="3"/>
      <c r="BJ104" s="4"/>
      <c r="BK104" s="3"/>
      <c r="BL104" s="4"/>
      <c r="BM104" s="3"/>
      <c r="BN104" s="4"/>
      <c r="BO104" s="3"/>
      <c r="BP104" s="4"/>
      <c r="BQ104" s="3"/>
      <c r="BR104" s="4"/>
      <c r="BS104" s="3"/>
      <c r="BT104" s="4"/>
      <c r="BU104" s="3"/>
      <c r="BV104" s="4"/>
      <c r="BW104" s="3"/>
      <c r="BX104" s="4"/>
      <c r="BY104" s="3"/>
      <c r="BZ104" s="4"/>
      <c r="CA104" s="3"/>
      <c r="CB104" s="4"/>
      <c r="CC104" s="3"/>
      <c r="CD104" s="4"/>
    </row>
    <row r="105">
      <c r="A105" s="3"/>
      <c r="B105" s="4"/>
      <c r="C105" s="3"/>
      <c r="D105" s="4"/>
      <c r="E105" s="3"/>
      <c r="F105" s="4"/>
      <c r="G105" s="3"/>
      <c r="H105" s="4"/>
      <c r="I105" s="3"/>
      <c r="J105" s="4"/>
      <c r="K105" s="3"/>
      <c r="L105" s="4"/>
      <c r="M105" s="3"/>
      <c r="N105" s="4"/>
      <c r="O105" s="3"/>
      <c r="P105" s="4"/>
      <c r="Q105" s="3"/>
      <c r="R105" s="4"/>
      <c r="S105" s="3"/>
      <c r="T105" s="4"/>
      <c r="U105" s="3"/>
      <c r="V105" s="4"/>
      <c r="W105" s="3"/>
      <c r="X105" s="4"/>
      <c r="Y105" s="3"/>
      <c r="Z105" s="4"/>
      <c r="AA105" s="3"/>
      <c r="AB105" s="4"/>
      <c r="AC105" s="3"/>
      <c r="AD105" s="4"/>
      <c r="AE105" s="3"/>
      <c r="AF105" s="4"/>
      <c r="AG105" s="3"/>
      <c r="AH105" s="4"/>
      <c r="AI105" s="3"/>
      <c r="AJ105" s="4"/>
      <c r="AK105" s="3"/>
      <c r="AL105" s="4"/>
      <c r="AM105" s="3"/>
      <c r="AN105" s="4"/>
      <c r="AO105" s="3"/>
      <c r="AP105" s="4"/>
      <c r="AQ105" s="3"/>
      <c r="AR105" s="4"/>
      <c r="AS105" s="3"/>
      <c r="AT105" s="4"/>
      <c r="AU105" s="3"/>
      <c r="AV105" s="4"/>
      <c r="AW105" s="3"/>
      <c r="AX105" s="4"/>
      <c r="AY105" s="3"/>
      <c r="AZ105" s="4"/>
      <c r="BA105" s="3"/>
      <c r="BB105" s="4"/>
      <c r="BC105" s="3"/>
      <c r="BD105" s="4"/>
      <c r="BE105" s="3"/>
      <c r="BF105" s="4"/>
      <c r="BG105" s="3"/>
      <c r="BH105" s="4"/>
      <c r="BI105" s="3"/>
      <c r="BJ105" s="4"/>
      <c r="BK105" s="3"/>
      <c r="BL105" s="4"/>
      <c r="BM105" s="3"/>
      <c r="BN105" s="4"/>
      <c r="BO105" s="3"/>
      <c r="BP105" s="4"/>
      <c r="BQ105" s="3"/>
      <c r="BR105" s="4"/>
      <c r="BS105" s="3"/>
      <c r="BT105" s="4"/>
      <c r="BU105" s="3"/>
      <c r="BV105" s="4"/>
      <c r="BW105" s="3"/>
      <c r="BX105" s="4"/>
      <c r="BY105" s="3"/>
      <c r="BZ105" s="4"/>
      <c r="CA105" s="3"/>
      <c r="CB105" s="4"/>
      <c r="CC105" s="3"/>
      <c r="CD105" s="4"/>
    </row>
    <row r="106">
      <c r="A106" s="3"/>
      <c r="B106" s="4"/>
      <c r="C106" s="3"/>
      <c r="D106" s="4"/>
      <c r="E106" s="3"/>
      <c r="F106" s="4"/>
      <c r="G106" s="3"/>
      <c r="H106" s="4"/>
      <c r="I106" s="3"/>
      <c r="J106" s="4"/>
      <c r="K106" s="3"/>
      <c r="L106" s="4"/>
      <c r="M106" s="3"/>
      <c r="N106" s="4"/>
      <c r="O106" s="3"/>
      <c r="P106" s="4"/>
      <c r="Q106" s="3"/>
      <c r="R106" s="4"/>
      <c r="S106" s="3"/>
      <c r="T106" s="4"/>
      <c r="U106" s="3"/>
      <c r="V106" s="4"/>
      <c r="W106" s="3"/>
      <c r="X106" s="4"/>
      <c r="Y106" s="3"/>
      <c r="Z106" s="4"/>
      <c r="AA106" s="3"/>
      <c r="AB106" s="4"/>
      <c r="AC106" s="3"/>
      <c r="AD106" s="4"/>
      <c r="AE106" s="3"/>
      <c r="AF106" s="4"/>
      <c r="AG106" s="3"/>
      <c r="AH106" s="4"/>
      <c r="AI106" s="3"/>
      <c r="AJ106" s="4"/>
      <c r="AK106" s="3"/>
      <c r="AL106" s="4"/>
      <c r="AM106" s="3"/>
      <c r="AN106" s="4"/>
      <c r="AO106" s="3"/>
      <c r="AP106" s="4"/>
      <c r="AQ106" s="3"/>
      <c r="AR106" s="4"/>
      <c r="AS106" s="3"/>
      <c r="AT106" s="4"/>
      <c r="AU106" s="3"/>
      <c r="AV106" s="4"/>
      <c r="AW106" s="3"/>
      <c r="AX106" s="4"/>
      <c r="AY106" s="3"/>
      <c r="AZ106" s="4"/>
      <c r="BA106" s="3"/>
      <c r="BB106" s="4"/>
      <c r="BC106" s="3"/>
      <c r="BD106" s="4"/>
      <c r="BE106" s="3"/>
      <c r="BF106" s="4"/>
      <c r="BG106" s="3"/>
      <c r="BH106" s="4"/>
      <c r="BI106" s="3"/>
      <c r="BJ106" s="4"/>
      <c r="BK106" s="3"/>
      <c r="BL106" s="4"/>
      <c r="BM106" s="3"/>
      <c r="BN106" s="4"/>
      <c r="BO106" s="3"/>
      <c r="BP106" s="4"/>
      <c r="BQ106" s="3"/>
      <c r="BR106" s="4"/>
      <c r="BS106" s="3"/>
      <c r="BT106" s="4"/>
      <c r="BU106" s="3"/>
      <c r="BV106" s="4"/>
      <c r="BW106" s="3"/>
      <c r="BX106" s="4"/>
      <c r="BY106" s="3"/>
      <c r="BZ106" s="4"/>
      <c r="CA106" s="3"/>
      <c r="CB106" s="4"/>
      <c r="CC106" s="3"/>
      <c r="CD106" s="4"/>
    </row>
    <row r="107">
      <c r="A107" s="3"/>
      <c r="B107" s="4"/>
      <c r="C107" s="3"/>
      <c r="D107" s="4"/>
      <c r="E107" s="3"/>
      <c r="F107" s="4"/>
      <c r="G107" s="3"/>
      <c r="H107" s="4"/>
      <c r="I107" s="3"/>
      <c r="J107" s="4"/>
      <c r="K107" s="3"/>
      <c r="L107" s="4"/>
      <c r="M107" s="3"/>
      <c r="N107" s="4"/>
      <c r="O107" s="3"/>
      <c r="P107" s="4"/>
      <c r="Q107" s="3"/>
      <c r="R107" s="4"/>
      <c r="S107" s="3"/>
      <c r="T107" s="4"/>
      <c r="U107" s="3"/>
      <c r="V107" s="4"/>
      <c r="W107" s="3"/>
      <c r="X107" s="4"/>
      <c r="Y107" s="3"/>
      <c r="Z107" s="4"/>
      <c r="AA107" s="3"/>
      <c r="AB107" s="4"/>
      <c r="AC107" s="3"/>
      <c r="AD107" s="4"/>
      <c r="AE107" s="3"/>
      <c r="AF107" s="4"/>
      <c r="AG107" s="3"/>
      <c r="AH107" s="4"/>
      <c r="AI107" s="3"/>
      <c r="AJ107" s="4"/>
      <c r="AK107" s="3"/>
      <c r="AL107" s="4"/>
      <c r="AM107" s="3"/>
      <c r="AN107" s="4"/>
      <c r="AO107" s="3"/>
      <c r="AP107" s="4"/>
      <c r="AQ107" s="3"/>
      <c r="AR107" s="4"/>
      <c r="AS107" s="3"/>
      <c r="AT107" s="4"/>
      <c r="AU107" s="3"/>
      <c r="AV107" s="4"/>
      <c r="AW107" s="3"/>
      <c r="AX107" s="4"/>
      <c r="AY107" s="3"/>
      <c r="AZ107" s="4"/>
      <c r="BA107" s="3"/>
      <c r="BB107" s="4"/>
      <c r="BC107" s="3"/>
      <c r="BD107" s="4"/>
      <c r="BE107" s="3"/>
      <c r="BF107" s="4"/>
      <c r="BG107" s="3"/>
      <c r="BH107" s="4"/>
      <c r="BI107" s="3"/>
      <c r="BJ107" s="4"/>
      <c r="BK107" s="3"/>
      <c r="BL107" s="4"/>
      <c r="BM107" s="3"/>
      <c r="BN107" s="4"/>
      <c r="BO107" s="3"/>
      <c r="BP107" s="4"/>
      <c r="BQ107" s="3"/>
      <c r="BR107" s="4"/>
      <c r="BS107" s="3"/>
      <c r="BT107" s="4"/>
      <c r="BU107" s="3"/>
      <c r="BV107" s="4"/>
      <c r="BW107" s="3"/>
      <c r="BX107" s="4"/>
      <c r="BY107" s="3"/>
      <c r="BZ107" s="4"/>
      <c r="CA107" s="3"/>
      <c r="CB107" s="4"/>
      <c r="CC107" s="3"/>
      <c r="CD107" s="4"/>
    </row>
    <row r="108">
      <c r="A108" s="3"/>
      <c r="B108" s="4"/>
      <c r="C108" s="3"/>
      <c r="D108" s="4"/>
      <c r="E108" s="3"/>
      <c r="F108" s="4"/>
      <c r="G108" s="3"/>
      <c r="H108" s="4"/>
      <c r="I108" s="3"/>
      <c r="J108" s="4"/>
      <c r="K108" s="3"/>
      <c r="L108" s="4"/>
      <c r="M108" s="3"/>
      <c r="N108" s="4"/>
      <c r="O108" s="3"/>
      <c r="P108" s="4"/>
      <c r="Q108" s="3"/>
      <c r="R108" s="4"/>
      <c r="S108" s="3"/>
      <c r="T108" s="4"/>
      <c r="U108" s="3"/>
      <c r="V108" s="4"/>
      <c r="W108" s="3"/>
      <c r="X108" s="4"/>
      <c r="Y108" s="3"/>
      <c r="Z108" s="4"/>
      <c r="AA108" s="3"/>
      <c r="AB108" s="4"/>
      <c r="AC108" s="3"/>
      <c r="AD108" s="4"/>
      <c r="AE108" s="3"/>
      <c r="AF108" s="4"/>
      <c r="AG108" s="3"/>
      <c r="AH108" s="4"/>
      <c r="AI108" s="3"/>
      <c r="AJ108" s="4"/>
      <c r="AK108" s="3"/>
      <c r="AL108" s="4"/>
      <c r="AM108" s="3"/>
      <c r="AN108" s="4"/>
      <c r="AO108" s="3"/>
      <c r="AP108" s="4"/>
      <c r="AQ108" s="3"/>
      <c r="AR108" s="4"/>
      <c r="AS108" s="3"/>
      <c r="AT108" s="4"/>
      <c r="AU108" s="3"/>
      <c r="AV108" s="4"/>
      <c r="AW108" s="3"/>
      <c r="AX108" s="4"/>
      <c r="AY108" s="3"/>
      <c r="AZ108" s="4"/>
      <c r="BA108" s="3"/>
      <c r="BB108" s="4"/>
      <c r="BC108" s="3"/>
      <c r="BD108" s="4"/>
      <c r="BE108" s="3"/>
      <c r="BF108" s="4"/>
      <c r="BG108" s="3"/>
      <c r="BH108" s="4"/>
      <c r="BI108" s="3"/>
      <c r="BJ108" s="4"/>
      <c r="BK108" s="3"/>
      <c r="BL108" s="4"/>
      <c r="BM108" s="3"/>
      <c r="BN108" s="4"/>
      <c r="BO108" s="3"/>
      <c r="BP108" s="4"/>
      <c r="BQ108" s="3"/>
      <c r="BR108" s="4"/>
      <c r="BS108" s="3"/>
      <c r="BT108" s="4"/>
      <c r="BU108" s="3"/>
      <c r="BV108" s="4"/>
      <c r="BW108" s="3"/>
      <c r="BX108" s="4"/>
      <c r="BY108" s="3"/>
      <c r="BZ108" s="4"/>
      <c r="CA108" s="3"/>
      <c r="CB108" s="4"/>
      <c r="CC108" s="3"/>
      <c r="CD108" s="4"/>
    </row>
    <row r="109">
      <c r="A109" s="3"/>
      <c r="B109" s="4"/>
      <c r="C109" s="3"/>
      <c r="D109" s="4"/>
      <c r="E109" s="3"/>
      <c r="F109" s="4"/>
      <c r="G109" s="3"/>
      <c r="H109" s="4"/>
      <c r="I109" s="3"/>
      <c r="J109" s="4"/>
      <c r="K109" s="3"/>
      <c r="L109" s="4"/>
      <c r="M109" s="3"/>
      <c r="N109" s="4"/>
      <c r="O109" s="3"/>
      <c r="P109" s="4"/>
      <c r="Q109" s="3"/>
      <c r="R109" s="4"/>
      <c r="S109" s="3"/>
      <c r="T109" s="4"/>
      <c r="U109" s="3"/>
      <c r="V109" s="4"/>
      <c r="W109" s="3"/>
      <c r="X109" s="4"/>
      <c r="Y109" s="3"/>
      <c r="Z109" s="4"/>
      <c r="AA109" s="3"/>
      <c r="AB109" s="4"/>
      <c r="AC109" s="3"/>
      <c r="AD109" s="4"/>
      <c r="AE109" s="3"/>
      <c r="AF109" s="4"/>
      <c r="AG109" s="3"/>
      <c r="AH109" s="4"/>
      <c r="AI109" s="3"/>
      <c r="AJ109" s="4"/>
      <c r="AK109" s="3"/>
      <c r="AL109" s="4"/>
      <c r="AM109" s="3"/>
      <c r="AN109" s="4"/>
      <c r="AO109" s="3"/>
      <c r="AP109" s="4"/>
      <c r="AQ109" s="3"/>
      <c r="AR109" s="4"/>
      <c r="AS109" s="3"/>
      <c r="AT109" s="4"/>
      <c r="AU109" s="3"/>
      <c r="AV109" s="4"/>
      <c r="AW109" s="3"/>
      <c r="AX109" s="4"/>
      <c r="AY109" s="3"/>
      <c r="AZ109" s="4"/>
      <c r="BA109" s="3"/>
      <c r="BB109" s="4"/>
      <c r="BC109" s="3"/>
      <c r="BD109" s="4"/>
      <c r="BE109" s="3"/>
      <c r="BF109" s="4"/>
      <c r="BG109" s="3"/>
      <c r="BH109" s="4"/>
      <c r="BI109" s="3"/>
      <c r="BJ109" s="4"/>
      <c r="BK109" s="3"/>
      <c r="BL109" s="4"/>
      <c r="BM109" s="3"/>
      <c r="BN109" s="4"/>
      <c r="BO109" s="3"/>
      <c r="BP109" s="4"/>
      <c r="BQ109" s="3"/>
      <c r="BR109" s="4"/>
      <c r="BS109" s="3"/>
      <c r="BT109" s="4"/>
      <c r="BU109" s="3"/>
      <c r="BV109" s="4"/>
      <c r="BW109" s="3"/>
      <c r="BX109" s="4"/>
      <c r="BY109" s="3"/>
      <c r="BZ109" s="4"/>
      <c r="CA109" s="3"/>
      <c r="CB109" s="4"/>
      <c r="CC109" s="3"/>
      <c r="CD109" s="4"/>
    </row>
    <row r="110">
      <c r="A110" s="3"/>
      <c r="B110" s="4"/>
      <c r="C110" s="3"/>
      <c r="D110" s="4"/>
      <c r="E110" s="3"/>
      <c r="F110" s="4"/>
      <c r="G110" s="3"/>
      <c r="H110" s="4"/>
      <c r="I110" s="3"/>
      <c r="J110" s="4"/>
      <c r="K110" s="3"/>
      <c r="L110" s="4"/>
      <c r="M110" s="3"/>
      <c r="N110" s="4"/>
      <c r="O110" s="3"/>
      <c r="P110" s="4"/>
      <c r="Q110" s="3"/>
      <c r="R110" s="4"/>
      <c r="S110" s="3"/>
      <c r="T110" s="4"/>
      <c r="U110" s="3"/>
      <c r="V110" s="4"/>
      <c r="W110" s="3"/>
      <c r="X110" s="4"/>
      <c r="Y110" s="3"/>
      <c r="Z110" s="4"/>
      <c r="AA110" s="3"/>
      <c r="AB110" s="4"/>
      <c r="AC110" s="3"/>
      <c r="AD110" s="4"/>
      <c r="AE110" s="3"/>
      <c r="AF110" s="4"/>
      <c r="AG110" s="3"/>
      <c r="AH110" s="4"/>
      <c r="AI110" s="3"/>
      <c r="AJ110" s="4"/>
      <c r="AK110" s="3"/>
      <c r="AL110" s="4"/>
      <c r="AM110" s="3"/>
      <c r="AN110" s="4"/>
      <c r="AO110" s="3"/>
      <c r="AP110" s="4"/>
      <c r="AQ110" s="3"/>
      <c r="AR110" s="4"/>
      <c r="AS110" s="3"/>
      <c r="AT110" s="4"/>
      <c r="AU110" s="3"/>
      <c r="AV110" s="4"/>
      <c r="AW110" s="3"/>
      <c r="AX110" s="4"/>
      <c r="AY110" s="3"/>
      <c r="AZ110" s="4"/>
      <c r="BA110" s="3"/>
      <c r="BB110" s="4"/>
      <c r="BC110" s="3"/>
      <c r="BD110" s="4"/>
      <c r="BE110" s="3"/>
      <c r="BF110" s="4"/>
      <c r="BG110" s="3"/>
      <c r="BH110" s="4"/>
      <c r="BI110" s="3"/>
      <c r="BJ110" s="4"/>
      <c r="BK110" s="3"/>
      <c r="BL110" s="4"/>
      <c r="BM110" s="3"/>
      <c r="BN110" s="4"/>
      <c r="BO110" s="3"/>
      <c r="BP110" s="4"/>
      <c r="BQ110" s="3"/>
      <c r="BR110" s="4"/>
      <c r="BS110" s="3"/>
      <c r="BT110" s="4"/>
      <c r="BU110" s="3"/>
      <c r="BV110" s="4"/>
      <c r="BW110" s="3"/>
      <c r="BX110" s="4"/>
      <c r="BY110" s="3"/>
      <c r="BZ110" s="4"/>
      <c r="CA110" s="3"/>
      <c r="CB110" s="4"/>
      <c r="CC110" s="3"/>
      <c r="CD110" s="4"/>
    </row>
    <row r="111">
      <c r="A111" s="3"/>
      <c r="B111" s="4"/>
      <c r="C111" s="3"/>
      <c r="D111" s="4"/>
      <c r="E111" s="3"/>
      <c r="F111" s="4"/>
      <c r="G111" s="3"/>
      <c r="H111" s="4"/>
      <c r="I111" s="3"/>
      <c r="J111" s="4"/>
      <c r="K111" s="3"/>
      <c r="L111" s="4"/>
      <c r="M111" s="3"/>
      <c r="N111" s="4"/>
      <c r="O111" s="3"/>
      <c r="P111" s="4"/>
      <c r="Q111" s="3"/>
      <c r="R111" s="4"/>
      <c r="S111" s="3"/>
      <c r="T111" s="4"/>
      <c r="U111" s="3"/>
      <c r="V111" s="4"/>
      <c r="W111" s="3"/>
      <c r="X111" s="4"/>
      <c r="Y111" s="3"/>
      <c r="Z111" s="4"/>
      <c r="AA111" s="3"/>
      <c r="AB111" s="4"/>
      <c r="AC111" s="3"/>
      <c r="AD111" s="4"/>
      <c r="AE111" s="3"/>
      <c r="AF111" s="4"/>
      <c r="AG111" s="3"/>
      <c r="AH111" s="4"/>
      <c r="AI111" s="3"/>
      <c r="AJ111" s="4"/>
      <c r="AK111" s="3"/>
      <c r="AL111" s="4"/>
      <c r="AM111" s="3"/>
      <c r="AN111" s="4"/>
      <c r="AO111" s="3"/>
      <c r="AP111" s="4"/>
      <c r="AQ111" s="3"/>
      <c r="AR111" s="4"/>
      <c r="AS111" s="3"/>
      <c r="AT111" s="4"/>
      <c r="AU111" s="3"/>
      <c r="AV111" s="4"/>
      <c r="AW111" s="3"/>
      <c r="AX111" s="4"/>
      <c r="AY111" s="3"/>
      <c r="AZ111" s="4"/>
      <c r="BA111" s="3"/>
      <c r="BB111" s="4"/>
      <c r="BC111" s="3"/>
      <c r="BD111" s="4"/>
      <c r="BE111" s="3"/>
      <c r="BF111" s="4"/>
      <c r="BG111" s="3"/>
      <c r="BH111" s="4"/>
      <c r="BI111" s="3"/>
      <c r="BJ111" s="4"/>
      <c r="BK111" s="3"/>
      <c r="BL111" s="4"/>
      <c r="BM111" s="3"/>
      <c r="BN111" s="4"/>
      <c r="BO111" s="3"/>
      <c r="BP111" s="4"/>
      <c r="BQ111" s="3"/>
      <c r="BR111" s="4"/>
      <c r="BS111" s="3"/>
      <c r="BT111" s="4"/>
      <c r="BU111" s="3"/>
      <c r="BV111" s="4"/>
      <c r="BW111" s="3"/>
      <c r="BX111" s="4"/>
      <c r="BY111" s="3"/>
      <c r="BZ111" s="4"/>
      <c r="CA111" s="3"/>
      <c r="CB111" s="4"/>
      <c r="CC111" s="3"/>
      <c r="CD111" s="4"/>
    </row>
    <row r="112">
      <c r="A112" s="3"/>
      <c r="B112" s="4"/>
      <c r="C112" s="3"/>
      <c r="D112" s="4"/>
      <c r="E112" s="3"/>
      <c r="F112" s="4"/>
      <c r="G112" s="3"/>
      <c r="H112" s="4"/>
      <c r="I112" s="3"/>
      <c r="J112" s="4"/>
      <c r="K112" s="3"/>
      <c r="L112" s="4"/>
      <c r="M112" s="3"/>
      <c r="N112" s="4"/>
      <c r="O112" s="3"/>
      <c r="P112" s="4"/>
      <c r="Q112" s="3"/>
      <c r="R112" s="4"/>
      <c r="S112" s="3"/>
      <c r="T112" s="4"/>
      <c r="U112" s="3"/>
      <c r="V112" s="4"/>
      <c r="W112" s="3"/>
      <c r="X112" s="4"/>
      <c r="Y112" s="3"/>
      <c r="Z112" s="4"/>
      <c r="AA112" s="3"/>
      <c r="AB112" s="4"/>
      <c r="AC112" s="3"/>
      <c r="AD112" s="4"/>
      <c r="AE112" s="3"/>
      <c r="AF112" s="4"/>
      <c r="AG112" s="3"/>
      <c r="AH112" s="4"/>
      <c r="AI112" s="3"/>
      <c r="AJ112" s="4"/>
      <c r="AK112" s="3"/>
      <c r="AL112" s="4"/>
      <c r="AM112" s="3"/>
      <c r="AN112" s="4"/>
      <c r="AO112" s="3"/>
      <c r="AP112" s="4"/>
      <c r="AQ112" s="3"/>
      <c r="AR112" s="4"/>
      <c r="AS112" s="3"/>
      <c r="AT112" s="4"/>
      <c r="AU112" s="3"/>
      <c r="AV112" s="4"/>
      <c r="AW112" s="3"/>
      <c r="AX112" s="4"/>
      <c r="AY112" s="3"/>
      <c r="AZ112" s="4"/>
      <c r="BA112" s="3"/>
      <c r="BB112" s="4"/>
      <c r="BC112" s="3"/>
      <c r="BD112" s="4"/>
      <c r="BE112" s="3"/>
      <c r="BF112" s="4"/>
      <c r="BG112" s="3"/>
      <c r="BH112" s="4"/>
      <c r="BI112" s="3"/>
      <c r="BJ112" s="4"/>
      <c r="BK112" s="3"/>
      <c r="BL112" s="4"/>
      <c r="BM112" s="3"/>
      <c r="BN112" s="4"/>
      <c r="BO112" s="3"/>
      <c r="BP112" s="4"/>
      <c r="BQ112" s="3"/>
      <c r="BR112" s="4"/>
      <c r="BS112" s="3"/>
      <c r="BT112" s="4"/>
      <c r="BU112" s="3"/>
      <c r="BV112" s="4"/>
      <c r="BW112" s="3"/>
      <c r="BX112" s="4"/>
      <c r="BY112" s="3"/>
      <c r="BZ112" s="4"/>
      <c r="CA112" s="3"/>
      <c r="CB112" s="4"/>
      <c r="CC112" s="3"/>
      <c r="CD112" s="4"/>
    </row>
    <row r="113">
      <c r="A113" s="3"/>
      <c r="B113" s="4"/>
      <c r="C113" s="3"/>
      <c r="D113" s="4"/>
      <c r="E113" s="3"/>
      <c r="F113" s="4"/>
      <c r="G113" s="3"/>
      <c r="H113" s="4"/>
      <c r="I113" s="3"/>
      <c r="J113" s="4"/>
      <c r="K113" s="3"/>
      <c r="L113" s="4"/>
      <c r="M113" s="3"/>
      <c r="N113" s="4"/>
      <c r="O113" s="3"/>
      <c r="P113" s="4"/>
      <c r="Q113" s="3"/>
      <c r="R113" s="4"/>
      <c r="S113" s="3"/>
      <c r="T113" s="4"/>
      <c r="U113" s="3"/>
      <c r="V113" s="4"/>
      <c r="W113" s="3"/>
      <c r="X113" s="4"/>
      <c r="Y113" s="3"/>
      <c r="Z113" s="4"/>
      <c r="AA113" s="3"/>
      <c r="AB113" s="4"/>
      <c r="AC113" s="3"/>
      <c r="AD113" s="4"/>
      <c r="AE113" s="3"/>
      <c r="AF113" s="4"/>
      <c r="AG113" s="3"/>
      <c r="AH113" s="4"/>
      <c r="AI113" s="3"/>
      <c r="AJ113" s="4"/>
      <c r="AK113" s="3"/>
      <c r="AL113" s="4"/>
      <c r="AM113" s="3"/>
      <c r="AN113" s="4"/>
      <c r="AO113" s="3"/>
      <c r="AP113" s="4"/>
      <c r="AQ113" s="3"/>
      <c r="AR113" s="4"/>
      <c r="AS113" s="3"/>
      <c r="AT113" s="4"/>
      <c r="AU113" s="3"/>
      <c r="AV113" s="4"/>
      <c r="AW113" s="3"/>
      <c r="AX113" s="4"/>
      <c r="AY113" s="3"/>
      <c r="AZ113" s="4"/>
      <c r="BA113" s="3"/>
      <c r="BB113" s="4"/>
      <c r="BC113" s="3"/>
      <c r="BD113" s="4"/>
      <c r="BE113" s="3"/>
      <c r="BF113" s="4"/>
      <c r="BG113" s="3"/>
      <c r="BH113" s="4"/>
      <c r="BI113" s="3"/>
      <c r="BJ113" s="4"/>
      <c r="BK113" s="3"/>
      <c r="BL113" s="4"/>
      <c r="BM113" s="3"/>
      <c r="BN113" s="4"/>
      <c r="BO113" s="3"/>
      <c r="BP113" s="4"/>
      <c r="BQ113" s="3"/>
      <c r="BR113" s="4"/>
      <c r="BS113" s="3"/>
      <c r="BT113" s="4"/>
      <c r="BU113" s="3"/>
      <c r="BV113" s="4"/>
      <c r="BW113" s="3"/>
      <c r="BX113" s="4"/>
      <c r="BY113" s="3"/>
      <c r="BZ113" s="4"/>
      <c r="CA113" s="3"/>
      <c r="CB113" s="4"/>
      <c r="CC113" s="3"/>
      <c r="CD113" s="4"/>
    </row>
    <row r="114">
      <c r="A114" s="3"/>
      <c r="B114" s="4"/>
      <c r="C114" s="3"/>
      <c r="D114" s="4"/>
      <c r="E114" s="3"/>
      <c r="F114" s="4"/>
      <c r="G114" s="3"/>
      <c r="H114" s="4"/>
      <c r="I114" s="3"/>
      <c r="J114" s="4"/>
      <c r="K114" s="3"/>
      <c r="L114" s="4"/>
      <c r="M114" s="3"/>
      <c r="N114" s="4"/>
      <c r="O114" s="3"/>
      <c r="P114" s="4"/>
      <c r="Q114" s="3"/>
      <c r="R114" s="4"/>
      <c r="S114" s="3"/>
      <c r="T114" s="4"/>
      <c r="U114" s="3"/>
      <c r="V114" s="4"/>
      <c r="W114" s="3"/>
      <c r="X114" s="4"/>
      <c r="Y114" s="3"/>
      <c r="Z114" s="4"/>
      <c r="AA114" s="3"/>
      <c r="AB114" s="4"/>
      <c r="AC114" s="3"/>
      <c r="AD114" s="4"/>
      <c r="AE114" s="3"/>
      <c r="AF114" s="4"/>
      <c r="AG114" s="3"/>
      <c r="AH114" s="4"/>
      <c r="AI114" s="3"/>
      <c r="AJ114" s="4"/>
      <c r="AK114" s="3"/>
      <c r="AL114" s="4"/>
      <c r="AM114" s="3"/>
      <c r="AN114" s="4"/>
      <c r="AO114" s="3"/>
      <c r="AP114" s="4"/>
      <c r="AQ114" s="3"/>
      <c r="AR114" s="4"/>
      <c r="AS114" s="3"/>
      <c r="AT114" s="4"/>
      <c r="AU114" s="3"/>
      <c r="AV114" s="4"/>
      <c r="AW114" s="3"/>
      <c r="AX114" s="4"/>
      <c r="AY114" s="3"/>
      <c r="AZ114" s="4"/>
      <c r="BA114" s="3"/>
      <c r="BB114" s="4"/>
      <c r="BC114" s="3"/>
      <c r="BD114" s="4"/>
      <c r="BE114" s="3"/>
      <c r="BF114" s="4"/>
      <c r="BG114" s="3"/>
      <c r="BH114" s="4"/>
      <c r="BI114" s="3"/>
      <c r="BJ114" s="4"/>
      <c r="BK114" s="3"/>
      <c r="BL114" s="4"/>
      <c r="BM114" s="3"/>
      <c r="BN114" s="4"/>
      <c r="BO114" s="3"/>
      <c r="BP114" s="4"/>
      <c r="BQ114" s="3"/>
      <c r="BR114" s="4"/>
      <c r="BS114" s="3"/>
      <c r="BT114" s="4"/>
      <c r="BU114" s="3"/>
      <c r="BV114" s="4"/>
      <c r="BW114" s="3"/>
      <c r="BX114" s="4"/>
      <c r="BY114" s="3"/>
      <c r="BZ114" s="4"/>
      <c r="CA114" s="3"/>
      <c r="CB114" s="4"/>
      <c r="CC114" s="3"/>
      <c r="CD114" s="4"/>
    </row>
    <row r="115">
      <c r="A115" s="3"/>
      <c r="B115" s="4"/>
      <c r="C115" s="3"/>
      <c r="D115" s="4"/>
      <c r="E115" s="3"/>
      <c r="F115" s="4"/>
      <c r="G115" s="3"/>
      <c r="H115" s="4"/>
      <c r="I115" s="3"/>
      <c r="J115" s="4"/>
      <c r="K115" s="3"/>
      <c r="L115" s="4"/>
      <c r="M115" s="3"/>
      <c r="N115" s="4"/>
      <c r="O115" s="3"/>
      <c r="P115" s="4"/>
      <c r="Q115" s="3"/>
      <c r="R115" s="4"/>
      <c r="S115" s="3"/>
      <c r="T115" s="4"/>
      <c r="U115" s="3"/>
      <c r="V115" s="4"/>
      <c r="W115" s="3"/>
      <c r="X115" s="4"/>
      <c r="Y115" s="3"/>
      <c r="Z115" s="4"/>
      <c r="AA115" s="3"/>
      <c r="AB115" s="4"/>
      <c r="AC115" s="3"/>
      <c r="AD115" s="4"/>
      <c r="AE115" s="3"/>
      <c r="AF115" s="4"/>
      <c r="AG115" s="3"/>
      <c r="AH115" s="4"/>
      <c r="AI115" s="3"/>
      <c r="AJ115" s="4"/>
      <c r="AK115" s="3"/>
      <c r="AL115" s="4"/>
      <c r="AM115" s="3"/>
      <c r="AN115" s="4"/>
      <c r="AO115" s="3"/>
      <c r="AP115" s="4"/>
      <c r="AQ115" s="3"/>
      <c r="AR115" s="4"/>
      <c r="AS115" s="3"/>
      <c r="AT115" s="4"/>
      <c r="AU115" s="3"/>
      <c r="AV115" s="4"/>
      <c r="AW115" s="3"/>
      <c r="AX115" s="4"/>
      <c r="AY115" s="3"/>
      <c r="AZ115" s="4"/>
      <c r="BA115" s="3"/>
      <c r="BB115" s="4"/>
      <c r="BC115" s="3"/>
      <c r="BD115" s="4"/>
      <c r="BE115" s="3"/>
      <c r="BF115" s="4"/>
      <c r="BG115" s="3"/>
      <c r="BH115" s="4"/>
      <c r="BI115" s="3"/>
      <c r="BJ115" s="4"/>
      <c r="BK115" s="3"/>
      <c r="BL115" s="4"/>
      <c r="BM115" s="3"/>
      <c r="BN115" s="4"/>
      <c r="BO115" s="3"/>
      <c r="BP115" s="4"/>
      <c r="BQ115" s="3"/>
      <c r="BR115" s="4"/>
      <c r="BS115" s="3"/>
      <c r="BT115" s="4"/>
      <c r="BU115" s="3"/>
      <c r="BV115" s="4"/>
      <c r="BW115" s="3"/>
      <c r="BX115" s="4"/>
      <c r="BY115" s="3"/>
      <c r="BZ115" s="4"/>
      <c r="CA115" s="3"/>
      <c r="CB115" s="4"/>
      <c r="CC115" s="3"/>
      <c r="CD115" s="4"/>
    </row>
    <row r="116">
      <c r="A116" s="3"/>
      <c r="B116" s="4"/>
      <c r="C116" s="3"/>
      <c r="D116" s="4"/>
      <c r="E116" s="3"/>
      <c r="F116" s="4"/>
      <c r="G116" s="3"/>
      <c r="H116" s="4"/>
      <c r="I116" s="3"/>
      <c r="J116" s="4"/>
      <c r="K116" s="3"/>
      <c r="L116" s="4"/>
      <c r="M116" s="3"/>
      <c r="N116" s="4"/>
      <c r="O116" s="3"/>
      <c r="P116" s="4"/>
      <c r="Q116" s="3"/>
      <c r="R116" s="4"/>
      <c r="S116" s="3"/>
      <c r="T116" s="4"/>
      <c r="U116" s="3"/>
      <c r="V116" s="4"/>
      <c r="W116" s="3"/>
      <c r="X116" s="4"/>
      <c r="Y116" s="3"/>
      <c r="Z116" s="4"/>
      <c r="AA116" s="3"/>
      <c r="AB116" s="4"/>
      <c r="AC116" s="3"/>
      <c r="AD116" s="4"/>
      <c r="AE116" s="3"/>
      <c r="AF116" s="4"/>
      <c r="AG116" s="3"/>
      <c r="AH116" s="4"/>
      <c r="AI116" s="3"/>
      <c r="AJ116" s="4"/>
      <c r="AK116" s="3"/>
      <c r="AL116" s="4"/>
      <c r="AM116" s="3"/>
      <c r="AN116" s="4"/>
      <c r="AO116" s="3"/>
      <c r="AP116" s="4"/>
      <c r="AQ116" s="3"/>
      <c r="AR116" s="4"/>
      <c r="AS116" s="3"/>
      <c r="AT116" s="4"/>
      <c r="AU116" s="3"/>
      <c r="AV116" s="4"/>
      <c r="AW116" s="3"/>
      <c r="AX116" s="4"/>
      <c r="AY116" s="3"/>
      <c r="AZ116" s="4"/>
      <c r="BA116" s="3"/>
      <c r="BB116" s="4"/>
      <c r="BC116" s="3"/>
      <c r="BD116" s="4"/>
      <c r="BE116" s="3"/>
      <c r="BF116" s="4"/>
      <c r="BG116" s="3"/>
      <c r="BH116" s="4"/>
      <c r="BI116" s="3"/>
      <c r="BJ116" s="4"/>
      <c r="BK116" s="3"/>
      <c r="BL116" s="4"/>
      <c r="BM116" s="3"/>
      <c r="BN116" s="4"/>
      <c r="BO116" s="3"/>
      <c r="BP116" s="4"/>
      <c r="BQ116" s="3"/>
      <c r="BR116" s="4"/>
      <c r="BS116" s="3"/>
      <c r="BT116" s="4"/>
      <c r="BU116" s="3"/>
      <c r="BV116" s="4"/>
      <c r="BW116" s="3"/>
      <c r="BX116" s="4"/>
      <c r="BY116" s="3"/>
      <c r="BZ116" s="4"/>
      <c r="CA116" s="3"/>
      <c r="CB116" s="4"/>
      <c r="CC116" s="3"/>
      <c r="CD116" s="4"/>
    </row>
    <row r="117">
      <c r="A117" s="3"/>
      <c r="B117" s="4"/>
      <c r="C117" s="3"/>
      <c r="D117" s="4"/>
      <c r="E117" s="3"/>
      <c r="F117" s="4"/>
      <c r="G117" s="3"/>
      <c r="H117" s="4"/>
      <c r="I117" s="3"/>
      <c r="J117" s="4"/>
      <c r="K117" s="3"/>
      <c r="L117" s="4"/>
      <c r="M117" s="3"/>
      <c r="N117" s="4"/>
      <c r="O117" s="3"/>
      <c r="P117" s="4"/>
      <c r="Q117" s="3"/>
      <c r="R117" s="4"/>
      <c r="S117" s="3"/>
      <c r="T117" s="4"/>
      <c r="U117" s="3"/>
      <c r="V117" s="4"/>
      <c r="W117" s="3"/>
      <c r="X117" s="4"/>
      <c r="Y117" s="3"/>
      <c r="Z117" s="4"/>
      <c r="AA117" s="3"/>
      <c r="AB117" s="4"/>
      <c r="AC117" s="3"/>
      <c r="AD117" s="4"/>
      <c r="AE117" s="3"/>
      <c r="AF117" s="4"/>
      <c r="AG117" s="3"/>
      <c r="AH117" s="4"/>
      <c r="AI117" s="3"/>
      <c r="AJ117" s="4"/>
      <c r="AK117" s="3"/>
      <c r="AL117" s="4"/>
      <c r="AM117" s="3"/>
      <c r="AN117" s="4"/>
      <c r="AO117" s="3"/>
      <c r="AP117" s="4"/>
      <c r="AQ117" s="3"/>
      <c r="AR117" s="4"/>
      <c r="AS117" s="3"/>
      <c r="AT117" s="4"/>
      <c r="AU117" s="3"/>
      <c r="AV117" s="4"/>
      <c r="AW117" s="3"/>
      <c r="AX117" s="4"/>
      <c r="AY117" s="3"/>
      <c r="AZ117" s="4"/>
      <c r="BA117" s="3"/>
      <c r="BB117" s="4"/>
      <c r="BC117" s="3"/>
      <c r="BD117" s="4"/>
      <c r="BE117" s="3"/>
      <c r="BF117" s="4"/>
      <c r="BG117" s="3"/>
      <c r="BH117" s="4"/>
      <c r="BI117" s="3"/>
      <c r="BJ117" s="4"/>
      <c r="BK117" s="3"/>
      <c r="BL117" s="4"/>
      <c r="BM117" s="3"/>
      <c r="BN117" s="4"/>
      <c r="BO117" s="3"/>
      <c r="BP117" s="4"/>
      <c r="BQ117" s="3"/>
      <c r="BR117" s="4"/>
      <c r="BS117" s="3"/>
      <c r="BT117" s="4"/>
      <c r="BU117" s="3"/>
      <c r="BV117" s="4"/>
      <c r="BW117" s="3"/>
      <c r="BX117" s="4"/>
      <c r="BY117" s="3"/>
      <c r="BZ117" s="4"/>
      <c r="CA117" s="3"/>
      <c r="CB117" s="4"/>
      <c r="CC117" s="3"/>
      <c r="CD117" s="4"/>
    </row>
    <row r="118">
      <c r="A118" s="3"/>
      <c r="B118" s="4"/>
      <c r="C118" s="3"/>
      <c r="D118" s="4"/>
      <c r="E118" s="3"/>
      <c r="F118" s="4"/>
      <c r="G118" s="3"/>
      <c r="H118" s="4"/>
      <c r="I118" s="3"/>
      <c r="J118" s="4"/>
      <c r="K118" s="3"/>
      <c r="L118" s="4"/>
      <c r="M118" s="3"/>
      <c r="N118" s="4"/>
      <c r="O118" s="3"/>
      <c r="P118" s="4"/>
      <c r="Q118" s="3"/>
      <c r="R118" s="4"/>
      <c r="S118" s="3"/>
      <c r="T118" s="4"/>
      <c r="U118" s="3"/>
      <c r="V118" s="4"/>
      <c r="W118" s="3"/>
      <c r="X118" s="4"/>
      <c r="Y118" s="3"/>
      <c r="Z118" s="4"/>
      <c r="AA118" s="3"/>
      <c r="AB118" s="4"/>
      <c r="AC118" s="3"/>
      <c r="AD118" s="4"/>
      <c r="AE118" s="3"/>
      <c r="AF118" s="4"/>
      <c r="AG118" s="3"/>
      <c r="AH118" s="4"/>
      <c r="AI118" s="3"/>
      <c r="AJ118" s="4"/>
      <c r="AK118" s="3"/>
      <c r="AL118" s="4"/>
      <c r="AM118" s="3"/>
      <c r="AN118" s="4"/>
      <c r="AO118" s="3"/>
      <c r="AP118" s="4"/>
      <c r="AQ118" s="3"/>
      <c r="AR118" s="4"/>
      <c r="AS118" s="3"/>
      <c r="AT118" s="4"/>
      <c r="AU118" s="3"/>
      <c r="AV118" s="4"/>
      <c r="AW118" s="3"/>
      <c r="AX118" s="4"/>
      <c r="AY118" s="3"/>
      <c r="AZ118" s="4"/>
      <c r="BA118" s="3"/>
      <c r="BB118" s="4"/>
      <c r="BC118" s="3"/>
      <c r="BD118" s="4"/>
      <c r="BE118" s="3"/>
      <c r="BF118" s="4"/>
      <c r="BG118" s="3"/>
      <c r="BH118" s="4"/>
      <c r="BI118" s="3"/>
      <c r="BJ118" s="4"/>
      <c r="BK118" s="3"/>
      <c r="BL118" s="4"/>
      <c r="BM118" s="3"/>
      <c r="BN118" s="4"/>
      <c r="BO118" s="3"/>
      <c r="BP118" s="4"/>
      <c r="BQ118" s="3"/>
      <c r="BR118" s="4"/>
      <c r="BS118" s="3"/>
      <c r="BT118" s="4"/>
      <c r="BU118" s="3"/>
      <c r="BV118" s="4"/>
      <c r="BW118" s="3"/>
      <c r="BX118" s="4"/>
      <c r="BY118" s="3"/>
      <c r="BZ118" s="4"/>
      <c r="CA118" s="3"/>
      <c r="CB118" s="4"/>
      <c r="CC118" s="3"/>
      <c r="CD118" s="4"/>
    </row>
    <row r="119">
      <c r="A119" s="3"/>
      <c r="B119" s="4"/>
      <c r="C119" s="3"/>
      <c r="D119" s="4"/>
      <c r="E119" s="3"/>
      <c r="F119" s="4"/>
      <c r="G119" s="3"/>
      <c r="H119" s="4"/>
      <c r="I119" s="3"/>
      <c r="J119" s="4"/>
      <c r="K119" s="3"/>
      <c r="L119" s="4"/>
      <c r="M119" s="3"/>
      <c r="N119" s="4"/>
      <c r="O119" s="3"/>
      <c r="P119" s="4"/>
      <c r="Q119" s="3"/>
      <c r="R119" s="4"/>
      <c r="S119" s="3"/>
      <c r="T119" s="4"/>
      <c r="U119" s="3"/>
      <c r="V119" s="4"/>
      <c r="W119" s="3"/>
      <c r="X119" s="4"/>
      <c r="Y119" s="3"/>
      <c r="Z119" s="4"/>
      <c r="AA119" s="3"/>
      <c r="AB119" s="4"/>
      <c r="AC119" s="3"/>
      <c r="AD119" s="4"/>
      <c r="AE119" s="3"/>
      <c r="AF119" s="4"/>
      <c r="AG119" s="3"/>
      <c r="AH119" s="4"/>
      <c r="AI119" s="3"/>
      <c r="AJ119" s="4"/>
      <c r="AK119" s="3"/>
      <c r="AL119" s="4"/>
      <c r="AM119" s="3"/>
      <c r="AN119" s="4"/>
      <c r="AO119" s="3"/>
      <c r="AP119" s="4"/>
      <c r="AQ119" s="3"/>
      <c r="AR119" s="4"/>
      <c r="AS119" s="3"/>
      <c r="AT119" s="4"/>
      <c r="AU119" s="3"/>
      <c r="AV119" s="4"/>
      <c r="AW119" s="3"/>
      <c r="AX119" s="4"/>
      <c r="AY119" s="3"/>
      <c r="AZ119" s="4"/>
      <c r="BA119" s="3"/>
      <c r="BB119" s="4"/>
      <c r="BC119" s="3"/>
      <c r="BD119" s="4"/>
      <c r="BE119" s="3"/>
      <c r="BF119" s="4"/>
      <c r="BG119" s="3"/>
      <c r="BH119" s="4"/>
      <c r="BI119" s="3"/>
      <c r="BJ119" s="4"/>
      <c r="BK119" s="3"/>
      <c r="BL119" s="4"/>
      <c r="BM119" s="3"/>
      <c r="BN119" s="4"/>
      <c r="BO119" s="3"/>
      <c r="BP119" s="4"/>
      <c r="BQ119" s="3"/>
      <c r="BR119" s="4"/>
      <c r="BS119" s="3"/>
      <c r="BT119" s="4"/>
      <c r="BU119" s="3"/>
      <c r="BV119" s="4"/>
      <c r="BW119" s="3"/>
      <c r="BX119" s="4"/>
      <c r="BY119" s="3"/>
      <c r="BZ119" s="4"/>
      <c r="CA119" s="3"/>
      <c r="CB119" s="4"/>
      <c r="CC119" s="3"/>
      <c r="CD119" s="4"/>
    </row>
    <row r="120">
      <c r="A120" s="3"/>
      <c r="B120" s="4"/>
      <c r="C120" s="3"/>
      <c r="D120" s="4"/>
      <c r="E120" s="3"/>
      <c r="F120" s="4"/>
      <c r="G120" s="3"/>
      <c r="H120" s="4"/>
      <c r="I120" s="3"/>
      <c r="J120" s="4"/>
      <c r="K120" s="3"/>
      <c r="L120" s="4"/>
      <c r="M120" s="3"/>
      <c r="N120" s="4"/>
      <c r="O120" s="3"/>
      <c r="P120" s="4"/>
      <c r="Q120" s="3"/>
      <c r="R120" s="4"/>
      <c r="S120" s="3"/>
      <c r="T120" s="4"/>
      <c r="U120" s="3"/>
      <c r="V120" s="4"/>
      <c r="W120" s="3"/>
      <c r="X120" s="4"/>
      <c r="Y120" s="3"/>
      <c r="Z120" s="4"/>
      <c r="AA120" s="3"/>
      <c r="AB120" s="4"/>
      <c r="AC120" s="3"/>
      <c r="AD120" s="4"/>
      <c r="AE120" s="3"/>
      <c r="AF120" s="4"/>
      <c r="AG120" s="3"/>
      <c r="AH120" s="4"/>
      <c r="AI120" s="3"/>
      <c r="AJ120" s="4"/>
      <c r="AK120" s="3"/>
      <c r="AL120" s="4"/>
      <c r="AM120" s="3"/>
      <c r="AN120" s="4"/>
      <c r="AO120" s="3"/>
      <c r="AP120" s="4"/>
      <c r="AQ120" s="3"/>
      <c r="AR120" s="4"/>
      <c r="AS120" s="3"/>
      <c r="AT120" s="4"/>
      <c r="AU120" s="3"/>
      <c r="AV120" s="4"/>
      <c r="AW120" s="3"/>
      <c r="AX120" s="4"/>
      <c r="AY120" s="3"/>
      <c r="AZ120" s="4"/>
      <c r="BA120" s="3"/>
      <c r="BB120" s="4"/>
      <c r="BC120" s="3"/>
      <c r="BD120" s="4"/>
      <c r="BE120" s="3"/>
      <c r="BF120" s="4"/>
      <c r="BG120" s="3"/>
      <c r="BH120" s="4"/>
      <c r="BI120" s="3"/>
      <c r="BJ120" s="4"/>
      <c r="BK120" s="3"/>
      <c r="BL120" s="4"/>
      <c r="BM120" s="3"/>
      <c r="BN120" s="4"/>
      <c r="BO120" s="3"/>
      <c r="BP120" s="4"/>
      <c r="BQ120" s="3"/>
      <c r="BR120" s="4"/>
      <c r="BS120" s="3"/>
      <c r="BT120" s="4"/>
      <c r="BU120" s="3"/>
      <c r="BV120" s="4"/>
      <c r="BW120" s="3"/>
      <c r="BX120" s="4"/>
      <c r="BY120" s="3"/>
      <c r="BZ120" s="4"/>
      <c r="CA120" s="3"/>
      <c r="CB120" s="4"/>
      <c r="CC120" s="3"/>
      <c r="CD120" s="4"/>
    </row>
    <row r="121">
      <c r="A121" s="3"/>
      <c r="B121" s="4"/>
      <c r="C121" s="3"/>
      <c r="D121" s="4"/>
      <c r="E121" s="3"/>
      <c r="F121" s="4"/>
      <c r="G121" s="3"/>
      <c r="H121" s="4"/>
      <c r="I121" s="3"/>
      <c r="J121" s="4"/>
      <c r="K121" s="3"/>
      <c r="L121" s="4"/>
      <c r="M121" s="3"/>
      <c r="N121" s="4"/>
      <c r="O121" s="3"/>
      <c r="P121" s="4"/>
      <c r="Q121" s="3"/>
      <c r="R121" s="4"/>
      <c r="S121" s="3"/>
      <c r="T121" s="4"/>
      <c r="U121" s="3"/>
      <c r="V121" s="4"/>
      <c r="W121" s="3"/>
      <c r="X121" s="4"/>
      <c r="Y121" s="3"/>
      <c r="Z121" s="4"/>
      <c r="AA121" s="3"/>
      <c r="AB121" s="4"/>
      <c r="AC121" s="3"/>
      <c r="AD121" s="4"/>
      <c r="AE121" s="3"/>
      <c r="AF121" s="4"/>
      <c r="AG121" s="3"/>
      <c r="AH121" s="4"/>
      <c r="AI121" s="3"/>
      <c r="AJ121" s="4"/>
      <c r="AK121" s="3"/>
      <c r="AL121" s="4"/>
      <c r="AM121" s="3"/>
      <c r="AN121" s="4"/>
      <c r="AO121" s="3"/>
      <c r="AP121" s="4"/>
      <c r="AQ121" s="3"/>
      <c r="AR121" s="4"/>
      <c r="AS121" s="3"/>
      <c r="AT121" s="4"/>
      <c r="AU121" s="3"/>
      <c r="AV121" s="4"/>
      <c r="AW121" s="3"/>
      <c r="AX121" s="4"/>
      <c r="AY121" s="3"/>
      <c r="AZ121" s="4"/>
      <c r="BA121" s="3"/>
      <c r="BB121" s="4"/>
      <c r="BC121" s="3"/>
      <c r="BD121" s="4"/>
      <c r="BE121" s="3"/>
      <c r="BF121" s="4"/>
      <c r="BG121" s="3"/>
      <c r="BH121" s="4"/>
      <c r="BI121" s="3"/>
      <c r="BJ121" s="4"/>
      <c r="BK121" s="3"/>
      <c r="BL121" s="4"/>
      <c r="BM121" s="3"/>
      <c r="BN121" s="4"/>
      <c r="BO121" s="3"/>
      <c r="BP121" s="4"/>
      <c r="BQ121" s="3"/>
      <c r="BR121" s="4"/>
      <c r="BS121" s="3"/>
      <c r="BT121" s="4"/>
      <c r="BU121" s="3"/>
      <c r="BV121" s="4"/>
      <c r="BW121" s="3"/>
      <c r="BX121" s="4"/>
      <c r="BY121" s="3"/>
      <c r="BZ121" s="4"/>
      <c r="CA121" s="3"/>
      <c r="CB121" s="4"/>
      <c r="CC121" s="3"/>
      <c r="CD121" s="4"/>
    </row>
    <row r="122">
      <c r="A122" s="3"/>
      <c r="B122" s="4"/>
      <c r="C122" s="3"/>
      <c r="D122" s="4"/>
      <c r="E122" s="3"/>
      <c r="F122" s="4"/>
      <c r="G122" s="3"/>
      <c r="H122" s="4"/>
      <c r="I122" s="3"/>
      <c r="J122" s="4"/>
      <c r="K122" s="3"/>
      <c r="L122" s="4"/>
      <c r="M122" s="3"/>
      <c r="N122" s="4"/>
      <c r="O122" s="3"/>
      <c r="P122" s="4"/>
      <c r="Q122" s="3"/>
      <c r="R122" s="4"/>
      <c r="S122" s="3"/>
      <c r="T122" s="4"/>
      <c r="U122" s="3"/>
      <c r="V122" s="4"/>
      <c r="W122" s="3"/>
      <c r="X122" s="4"/>
      <c r="Y122" s="3"/>
      <c r="Z122" s="4"/>
      <c r="AA122" s="3"/>
      <c r="AB122" s="4"/>
      <c r="AC122" s="3"/>
      <c r="AD122" s="4"/>
      <c r="AE122" s="3"/>
      <c r="AF122" s="4"/>
      <c r="AG122" s="3"/>
      <c r="AH122" s="4"/>
      <c r="AI122" s="3"/>
      <c r="AJ122" s="4"/>
      <c r="AK122" s="3"/>
      <c r="AL122" s="4"/>
      <c r="AM122" s="3"/>
      <c r="AN122" s="4"/>
      <c r="AO122" s="3"/>
      <c r="AP122" s="4"/>
      <c r="AQ122" s="3"/>
      <c r="AR122" s="4"/>
      <c r="AS122" s="3"/>
      <c r="AT122" s="4"/>
      <c r="AU122" s="3"/>
      <c r="AV122" s="4"/>
      <c r="AW122" s="3"/>
      <c r="AX122" s="4"/>
      <c r="AY122" s="3"/>
      <c r="AZ122" s="4"/>
      <c r="BA122" s="3"/>
      <c r="BB122" s="4"/>
      <c r="BC122" s="3"/>
      <c r="BD122" s="4"/>
      <c r="BE122" s="3"/>
      <c r="BF122" s="4"/>
      <c r="BG122" s="3"/>
      <c r="BH122" s="4"/>
      <c r="BI122" s="3"/>
      <c r="BJ122" s="4"/>
      <c r="BK122" s="3"/>
      <c r="BL122" s="4"/>
      <c r="BM122" s="3"/>
      <c r="BN122" s="4"/>
      <c r="BO122" s="3"/>
      <c r="BP122" s="4"/>
      <c r="BQ122" s="3"/>
      <c r="BR122" s="4"/>
      <c r="BS122" s="3"/>
      <c r="BT122" s="4"/>
      <c r="BU122" s="3"/>
      <c r="BV122" s="4"/>
      <c r="BW122" s="3"/>
      <c r="BX122" s="4"/>
      <c r="BY122" s="3"/>
      <c r="BZ122" s="4"/>
      <c r="CA122" s="3"/>
      <c r="CB122" s="4"/>
      <c r="CC122" s="3"/>
      <c r="CD122" s="4"/>
    </row>
    <row r="123">
      <c r="A123" s="3"/>
      <c r="B123" s="4"/>
      <c r="C123" s="3"/>
      <c r="D123" s="4"/>
      <c r="E123" s="3"/>
      <c r="F123" s="4"/>
      <c r="G123" s="3"/>
      <c r="H123" s="4"/>
      <c r="I123" s="3"/>
      <c r="J123" s="4"/>
      <c r="K123" s="3"/>
      <c r="L123" s="4"/>
      <c r="M123" s="3"/>
      <c r="N123" s="4"/>
      <c r="O123" s="3"/>
      <c r="P123" s="4"/>
      <c r="Q123" s="3"/>
      <c r="R123" s="4"/>
      <c r="S123" s="3"/>
      <c r="T123" s="4"/>
      <c r="U123" s="3"/>
      <c r="V123" s="4"/>
      <c r="W123" s="3"/>
      <c r="X123" s="4"/>
      <c r="Y123" s="3"/>
      <c r="Z123" s="4"/>
      <c r="AA123" s="3"/>
      <c r="AB123" s="4"/>
      <c r="AC123" s="3"/>
      <c r="AD123" s="4"/>
      <c r="AE123" s="3"/>
      <c r="AF123" s="4"/>
      <c r="AG123" s="3"/>
      <c r="AH123" s="4"/>
      <c r="AI123" s="3"/>
      <c r="AJ123" s="4"/>
      <c r="AK123" s="3"/>
      <c r="AL123" s="4"/>
      <c r="AM123" s="3"/>
      <c r="AN123" s="4"/>
      <c r="AO123" s="3"/>
      <c r="AP123" s="4"/>
      <c r="AQ123" s="3"/>
      <c r="AR123" s="4"/>
      <c r="AS123" s="3"/>
      <c r="AT123" s="4"/>
      <c r="AU123" s="3"/>
      <c r="AV123" s="4"/>
      <c r="AW123" s="3"/>
      <c r="AX123" s="4"/>
      <c r="AY123" s="3"/>
      <c r="AZ123" s="4"/>
      <c r="BA123" s="3"/>
      <c r="BB123" s="4"/>
      <c r="BC123" s="3"/>
      <c r="BD123" s="4"/>
      <c r="BE123" s="3"/>
      <c r="BF123" s="4"/>
      <c r="BG123" s="3"/>
      <c r="BH123" s="4"/>
      <c r="BI123" s="3"/>
      <c r="BJ123" s="4"/>
      <c r="BK123" s="3"/>
      <c r="BL123" s="4"/>
      <c r="BM123" s="3"/>
      <c r="BN123" s="4"/>
      <c r="BO123" s="3"/>
      <c r="BP123" s="4"/>
      <c r="BQ123" s="3"/>
      <c r="BR123" s="4"/>
      <c r="BS123" s="3"/>
      <c r="BT123" s="4"/>
      <c r="BU123" s="3"/>
      <c r="BV123" s="4"/>
      <c r="BW123" s="3"/>
      <c r="BX123" s="4"/>
      <c r="BY123" s="3"/>
      <c r="BZ123" s="4"/>
      <c r="CA123" s="3"/>
      <c r="CB123" s="4"/>
      <c r="CC123" s="3"/>
      <c r="CD123" s="4"/>
    </row>
    <row r="124">
      <c r="A124" s="3"/>
      <c r="B124" s="4"/>
      <c r="C124" s="3"/>
      <c r="D124" s="4"/>
      <c r="E124" s="3"/>
      <c r="F124" s="4"/>
      <c r="G124" s="3"/>
      <c r="H124" s="4"/>
      <c r="I124" s="3"/>
      <c r="J124" s="4"/>
      <c r="K124" s="3"/>
      <c r="L124" s="4"/>
      <c r="M124" s="3"/>
      <c r="N124" s="4"/>
      <c r="O124" s="3"/>
      <c r="P124" s="4"/>
      <c r="Q124" s="3"/>
      <c r="R124" s="4"/>
      <c r="S124" s="3"/>
      <c r="T124" s="4"/>
      <c r="U124" s="3"/>
      <c r="V124" s="4"/>
      <c r="W124" s="3"/>
      <c r="X124" s="4"/>
      <c r="Y124" s="3"/>
      <c r="Z124" s="4"/>
      <c r="AA124" s="3"/>
      <c r="AB124" s="4"/>
      <c r="AC124" s="3"/>
      <c r="AD124" s="4"/>
      <c r="AE124" s="3"/>
      <c r="AF124" s="4"/>
      <c r="AG124" s="3"/>
      <c r="AH124" s="4"/>
      <c r="AI124" s="3"/>
      <c r="AJ124" s="4"/>
      <c r="AK124" s="3"/>
      <c r="AL124" s="4"/>
      <c r="AM124" s="3"/>
      <c r="AN124" s="4"/>
      <c r="AO124" s="3"/>
      <c r="AP124" s="4"/>
      <c r="AQ124" s="3"/>
      <c r="AR124" s="4"/>
      <c r="AS124" s="3"/>
      <c r="AT124" s="4"/>
      <c r="AU124" s="3"/>
      <c r="AV124" s="4"/>
      <c r="AW124" s="3"/>
      <c r="AX124" s="4"/>
      <c r="AY124" s="3"/>
      <c r="AZ124" s="4"/>
      <c r="BA124" s="3"/>
      <c r="BB124" s="4"/>
      <c r="BC124" s="3"/>
      <c r="BD124" s="4"/>
      <c r="BE124" s="3"/>
      <c r="BF124" s="4"/>
      <c r="BG124" s="3"/>
      <c r="BH124" s="4"/>
      <c r="BI124" s="3"/>
      <c r="BJ124" s="4"/>
      <c r="BK124" s="3"/>
      <c r="BL124" s="4"/>
      <c r="BM124" s="3"/>
      <c r="BN124" s="4"/>
      <c r="BO124" s="3"/>
      <c r="BP124" s="4"/>
      <c r="BQ124" s="3"/>
      <c r="BR124" s="4"/>
      <c r="BS124" s="3"/>
      <c r="BT124" s="4"/>
      <c r="BU124" s="3"/>
      <c r="BV124" s="4"/>
      <c r="BW124" s="3"/>
      <c r="BX124" s="4"/>
      <c r="BY124" s="3"/>
      <c r="BZ124" s="4"/>
      <c r="CA124" s="3"/>
      <c r="CB124" s="4"/>
      <c r="CC124" s="3"/>
      <c r="CD124" s="4"/>
    </row>
    <row r="125">
      <c r="A125" s="3"/>
      <c r="B125" s="4"/>
      <c r="C125" s="3"/>
      <c r="D125" s="4"/>
      <c r="E125" s="3"/>
      <c r="F125" s="4"/>
      <c r="G125" s="3"/>
      <c r="H125" s="4"/>
      <c r="I125" s="3"/>
      <c r="J125" s="4"/>
      <c r="K125" s="3"/>
      <c r="L125" s="4"/>
      <c r="M125" s="3"/>
      <c r="N125" s="4"/>
      <c r="O125" s="3"/>
      <c r="P125" s="4"/>
      <c r="Q125" s="3"/>
      <c r="R125" s="4"/>
      <c r="S125" s="3"/>
      <c r="T125" s="4"/>
      <c r="U125" s="3"/>
      <c r="V125" s="4"/>
      <c r="W125" s="3"/>
      <c r="X125" s="4"/>
      <c r="Y125" s="3"/>
      <c r="Z125" s="4"/>
      <c r="AA125" s="3"/>
      <c r="AB125" s="4"/>
      <c r="AC125" s="3"/>
      <c r="AD125" s="4"/>
      <c r="AE125" s="3"/>
      <c r="AF125" s="4"/>
      <c r="AG125" s="3"/>
      <c r="AH125" s="4"/>
      <c r="AI125" s="3"/>
      <c r="AJ125" s="4"/>
      <c r="AK125" s="3"/>
      <c r="AL125" s="4"/>
      <c r="AM125" s="3"/>
      <c r="AN125" s="4"/>
      <c r="AO125" s="3"/>
      <c r="AP125" s="4"/>
      <c r="AQ125" s="3"/>
      <c r="AR125" s="4"/>
      <c r="AS125" s="3"/>
      <c r="AT125" s="4"/>
      <c r="AU125" s="3"/>
      <c r="AV125" s="4"/>
      <c r="AW125" s="3"/>
      <c r="AX125" s="4"/>
      <c r="AY125" s="3"/>
      <c r="AZ125" s="4"/>
      <c r="BA125" s="3"/>
      <c r="BB125" s="4"/>
      <c r="BC125" s="3"/>
      <c r="BD125" s="4"/>
      <c r="BE125" s="3"/>
      <c r="BF125" s="4"/>
      <c r="BG125" s="3"/>
      <c r="BH125" s="4"/>
      <c r="BI125" s="3"/>
      <c r="BJ125" s="4"/>
      <c r="BK125" s="3"/>
      <c r="BL125" s="4"/>
      <c r="BM125" s="3"/>
      <c r="BN125" s="4"/>
      <c r="BO125" s="3"/>
      <c r="BP125" s="4"/>
      <c r="BQ125" s="3"/>
      <c r="BR125" s="4"/>
      <c r="BS125" s="3"/>
      <c r="BT125" s="4"/>
      <c r="BU125" s="3"/>
      <c r="BV125" s="4"/>
      <c r="BW125" s="3"/>
      <c r="BX125" s="4"/>
      <c r="BY125" s="3"/>
      <c r="BZ125" s="4"/>
      <c r="CA125" s="3"/>
      <c r="CB125" s="4"/>
      <c r="CC125" s="3"/>
      <c r="CD125" s="4"/>
    </row>
    <row r="126">
      <c r="A126" s="3"/>
      <c r="B126" s="4"/>
      <c r="C126" s="3"/>
      <c r="D126" s="4"/>
      <c r="E126" s="3"/>
      <c r="F126" s="4"/>
      <c r="G126" s="3"/>
      <c r="H126" s="4"/>
      <c r="I126" s="3"/>
      <c r="J126" s="4"/>
      <c r="K126" s="3"/>
      <c r="L126" s="4"/>
      <c r="M126" s="3"/>
      <c r="N126" s="4"/>
      <c r="O126" s="3"/>
      <c r="P126" s="4"/>
      <c r="Q126" s="3"/>
      <c r="R126" s="4"/>
      <c r="S126" s="3"/>
      <c r="T126" s="4"/>
      <c r="U126" s="3"/>
      <c r="V126" s="4"/>
      <c r="W126" s="3"/>
      <c r="X126" s="4"/>
      <c r="Y126" s="3"/>
      <c r="Z126" s="4"/>
      <c r="AA126" s="3"/>
      <c r="AB126" s="4"/>
      <c r="AC126" s="3"/>
      <c r="AD126" s="4"/>
      <c r="AE126" s="3"/>
      <c r="AF126" s="4"/>
      <c r="AG126" s="3"/>
      <c r="AH126" s="4"/>
      <c r="AI126" s="3"/>
      <c r="AJ126" s="4"/>
      <c r="AK126" s="3"/>
      <c r="AL126" s="4"/>
      <c r="AM126" s="3"/>
      <c r="AN126" s="4"/>
      <c r="AO126" s="3"/>
      <c r="AP126" s="4"/>
      <c r="AQ126" s="3"/>
      <c r="AR126" s="4"/>
      <c r="AS126" s="3"/>
      <c r="AT126" s="4"/>
      <c r="AU126" s="3"/>
      <c r="AV126" s="4"/>
      <c r="AW126" s="3"/>
      <c r="AX126" s="4"/>
      <c r="AY126" s="3"/>
      <c r="AZ126" s="4"/>
      <c r="BA126" s="3"/>
      <c r="BB126" s="4"/>
      <c r="BC126" s="3"/>
      <c r="BD126" s="4"/>
      <c r="BE126" s="3"/>
      <c r="BF126" s="4"/>
      <c r="BG126" s="3"/>
      <c r="BH126" s="4"/>
      <c r="BI126" s="3"/>
      <c r="BJ126" s="4"/>
      <c r="BK126" s="3"/>
      <c r="BL126" s="4"/>
      <c r="BM126" s="3"/>
      <c r="BN126" s="4"/>
      <c r="BO126" s="3"/>
      <c r="BP126" s="4"/>
      <c r="BQ126" s="3"/>
      <c r="BR126" s="4"/>
      <c r="BS126" s="3"/>
      <c r="BT126" s="4"/>
      <c r="BU126" s="3"/>
      <c r="BV126" s="4"/>
      <c r="BW126" s="3"/>
      <c r="BX126" s="4"/>
      <c r="BY126" s="3"/>
      <c r="BZ126" s="4"/>
      <c r="CA126" s="3"/>
      <c r="CB126" s="4"/>
      <c r="CC126" s="3"/>
      <c r="CD126" s="4"/>
    </row>
    <row r="127">
      <c r="A127" s="3"/>
      <c r="B127" s="4"/>
      <c r="C127" s="3"/>
      <c r="D127" s="4"/>
      <c r="E127" s="3"/>
      <c r="F127" s="4"/>
      <c r="G127" s="3"/>
      <c r="H127" s="4"/>
      <c r="I127" s="3"/>
      <c r="J127" s="4"/>
      <c r="K127" s="3"/>
      <c r="L127" s="4"/>
      <c r="M127" s="3"/>
      <c r="N127" s="4"/>
      <c r="O127" s="3"/>
      <c r="P127" s="4"/>
      <c r="Q127" s="3"/>
      <c r="R127" s="4"/>
      <c r="S127" s="3"/>
      <c r="T127" s="4"/>
      <c r="U127" s="3"/>
      <c r="V127" s="4"/>
      <c r="W127" s="3"/>
      <c r="X127" s="4"/>
      <c r="Y127" s="3"/>
      <c r="Z127" s="4"/>
      <c r="AA127" s="3"/>
      <c r="AB127" s="4"/>
      <c r="AC127" s="3"/>
      <c r="AD127" s="4"/>
      <c r="AE127" s="3"/>
      <c r="AF127" s="4"/>
      <c r="AG127" s="3"/>
      <c r="AH127" s="4"/>
      <c r="AI127" s="3"/>
      <c r="AJ127" s="4"/>
      <c r="AK127" s="3"/>
      <c r="AL127" s="4"/>
      <c r="AM127" s="3"/>
      <c r="AN127" s="4"/>
      <c r="AO127" s="3"/>
      <c r="AP127" s="4"/>
      <c r="AQ127" s="3"/>
      <c r="AR127" s="4"/>
      <c r="AS127" s="3"/>
      <c r="AT127" s="4"/>
      <c r="AU127" s="3"/>
      <c r="AV127" s="4"/>
      <c r="AW127" s="3"/>
      <c r="AX127" s="4"/>
      <c r="AY127" s="3"/>
      <c r="AZ127" s="4"/>
      <c r="BA127" s="3"/>
      <c r="BB127" s="4"/>
      <c r="BC127" s="3"/>
      <c r="BD127" s="4"/>
      <c r="BE127" s="3"/>
      <c r="BF127" s="4"/>
      <c r="BG127" s="3"/>
      <c r="BH127" s="4"/>
      <c r="BI127" s="3"/>
      <c r="BJ127" s="4"/>
      <c r="BK127" s="3"/>
      <c r="BL127" s="4"/>
      <c r="BM127" s="3"/>
      <c r="BN127" s="4"/>
      <c r="BO127" s="3"/>
      <c r="BP127" s="4"/>
      <c r="BQ127" s="3"/>
      <c r="BR127" s="4"/>
      <c r="BS127" s="3"/>
      <c r="BT127" s="4"/>
      <c r="BU127" s="3"/>
      <c r="BV127" s="4"/>
      <c r="BW127" s="3"/>
      <c r="BX127" s="4"/>
      <c r="BY127" s="3"/>
      <c r="BZ127" s="4"/>
      <c r="CA127" s="3"/>
      <c r="CB127" s="4"/>
      <c r="CC127" s="3"/>
      <c r="CD127" s="4"/>
    </row>
    <row r="128">
      <c r="A128" s="3"/>
      <c r="B128" s="4"/>
      <c r="C128" s="3"/>
      <c r="D128" s="4"/>
      <c r="E128" s="3"/>
      <c r="F128" s="4"/>
      <c r="G128" s="3"/>
      <c r="H128" s="4"/>
      <c r="I128" s="3"/>
      <c r="J128" s="4"/>
      <c r="K128" s="3"/>
      <c r="L128" s="4"/>
      <c r="M128" s="3"/>
      <c r="N128" s="4"/>
      <c r="O128" s="3"/>
      <c r="P128" s="4"/>
      <c r="Q128" s="3"/>
      <c r="R128" s="4"/>
      <c r="S128" s="3"/>
      <c r="T128" s="4"/>
      <c r="U128" s="3"/>
      <c r="V128" s="4"/>
      <c r="W128" s="3"/>
      <c r="X128" s="4"/>
      <c r="Y128" s="3"/>
      <c r="Z128" s="4"/>
      <c r="AA128" s="3"/>
      <c r="AB128" s="4"/>
      <c r="AC128" s="3"/>
      <c r="AD128" s="4"/>
      <c r="AE128" s="3"/>
      <c r="AF128" s="4"/>
      <c r="AG128" s="3"/>
      <c r="AH128" s="4"/>
      <c r="AI128" s="3"/>
      <c r="AJ128" s="4"/>
      <c r="AK128" s="3"/>
      <c r="AL128" s="4"/>
      <c r="AM128" s="3"/>
      <c r="AN128" s="4"/>
      <c r="AO128" s="3"/>
      <c r="AP128" s="4"/>
      <c r="AQ128" s="3"/>
      <c r="AR128" s="4"/>
      <c r="AS128" s="3"/>
      <c r="AT128" s="4"/>
      <c r="AU128" s="3"/>
      <c r="AV128" s="4"/>
      <c r="AW128" s="3"/>
      <c r="AX128" s="4"/>
      <c r="AY128" s="3"/>
      <c r="AZ128" s="4"/>
      <c r="BA128" s="3"/>
      <c r="BB128" s="4"/>
      <c r="BC128" s="3"/>
      <c r="BD128" s="4"/>
      <c r="BE128" s="3"/>
      <c r="BF128" s="4"/>
      <c r="BG128" s="3"/>
      <c r="BH128" s="4"/>
      <c r="BI128" s="3"/>
      <c r="BJ128" s="4"/>
      <c r="BK128" s="3"/>
      <c r="BL128" s="4"/>
      <c r="BM128" s="3"/>
      <c r="BN128" s="4"/>
      <c r="BO128" s="3"/>
      <c r="BP128" s="4"/>
      <c r="BQ128" s="3"/>
      <c r="BR128" s="4"/>
      <c r="BS128" s="3"/>
      <c r="BT128" s="4"/>
      <c r="BU128" s="3"/>
      <c r="BV128" s="4"/>
      <c r="BW128" s="3"/>
      <c r="BX128" s="4"/>
      <c r="BY128" s="3"/>
      <c r="BZ128" s="4"/>
      <c r="CA128" s="3"/>
      <c r="CB128" s="4"/>
      <c r="CC128" s="3"/>
      <c r="CD128" s="4"/>
    </row>
    <row r="129">
      <c r="A129" s="3"/>
      <c r="B129" s="4"/>
      <c r="C129" s="3"/>
      <c r="D129" s="4"/>
      <c r="E129" s="3"/>
      <c r="F129" s="4"/>
      <c r="G129" s="3"/>
      <c r="H129" s="4"/>
      <c r="I129" s="3"/>
      <c r="J129" s="4"/>
      <c r="K129" s="3"/>
      <c r="L129" s="4"/>
      <c r="M129" s="3"/>
      <c r="N129" s="4"/>
      <c r="O129" s="3"/>
      <c r="P129" s="4"/>
      <c r="Q129" s="3"/>
      <c r="R129" s="4"/>
      <c r="S129" s="3"/>
      <c r="T129" s="4"/>
      <c r="U129" s="3"/>
      <c r="V129" s="4"/>
      <c r="W129" s="3"/>
      <c r="X129" s="4"/>
      <c r="Y129" s="3"/>
      <c r="Z129" s="4"/>
      <c r="AA129" s="3"/>
      <c r="AB129" s="4"/>
      <c r="AC129" s="3"/>
      <c r="AD129" s="4"/>
      <c r="AE129" s="3"/>
      <c r="AF129" s="4"/>
      <c r="AG129" s="3"/>
      <c r="AH129" s="4"/>
      <c r="AI129" s="3"/>
      <c r="AJ129" s="4"/>
      <c r="AK129" s="3"/>
      <c r="AL129" s="4"/>
      <c r="AM129" s="3"/>
      <c r="AN129" s="4"/>
      <c r="AO129" s="3"/>
      <c r="AP129" s="4"/>
      <c r="AQ129" s="3"/>
      <c r="AR129" s="4"/>
      <c r="AS129" s="3"/>
      <c r="AT129" s="4"/>
      <c r="AU129" s="3"/>
      <c r="AV129" s="4"/>
      <c r="AW129" s="3"/>
      <c r="AX129" s="4"/>
      <c r="AY129" s="3"/>
      <c r="AZ129" s="4"/>
      <c r="BA129" s="3"/>
      <c r="BB129" s="4"/>
      <c r="BC129" s="3"/>
      <c r="BD129" s="4"/>
      <c r="BE129" s="3"/>
      <c r="BF129" s="4"/>
      <c r="BG129" s="3"/>
      <c r="BH129" s="4"/>
      <c r="BI129" s="3"/>
      <c r="BJ129" s="4"/>
      <c r="BK129" s="3"/>
      <c r="BL129" s="4"/>
      <c r="BM129" s="3"/>
      <c r="BN129" s="4"/>
      <c r="BO129" s="3"/>
      <c r="BP129" s="4"/>
      <c r="BQ129" s="3"/>
      <c r="BR129" s="4"/>
      <c r="BS129" s="3"/>
      <c r="BT129" s="4"/>
      <c r="BU129" s="3"/>
      <c r="BV129" s="4"/>
      <c r="BW129" s="3"/>
      <c r="BX129" s="4"/>
      <c r="BY129" s="3"/>
      <c r="BZ129" s="4"/>
      <c r="CA129" s="3"/>
      <c r="CB129" s="4"/>
      <c r="CC129" s="3"/>
      <c r="CD129" s="4"/>
    </row>
    <row r="130">
      <c r="A130" s="3"/>
      <c r="B130" s="4"/>
      <c r="C130" s="3"/>
      <c r="D130" s="4"/>
      <c r="E130" s="3"/>
      <c r="F130" s="4"/>
      <c r="G130" s="3"/>
      <c r="H130" s="4"/>
      <c r="I130" s="3"/>
      <c r="J130" s="4"/>
      <c r="K130" s="3"/>
      <c r="L130" s="4"/>
      <c r="M130" s="3"/>
      <c r="N130" s="4"/>
      <c r="O130" s="3"/>
      <c r="P130" s="4"/>
      <c r="Q130" s="3"/>
      <c r="R130" s="4"/>
      <c r="S130" s="3"/>
      <c r="T130" s="4"/>
      <c r="U130" s="3"/>
      <c r="V130" s="4"/>
      <c r="W130" s="3"/>
      <c r="X130" s="4"/>
      <c r="Y130" s="3"/>
      <c r="Z130" s="4"/>
      <c r="AA130" s="3"/>
      <c r="AB130" s="4"/>
      <c r="AC130" s="3"/>
      <c r="AD130" s="4"/>
      <c r="AE130" s="3"/>
      <c r="AF130" s="4"/>
      <c r="AG130" s="3"/>
      <c r="AH130" s="4"/>
      <c r="AI130" s="3"/>
      <c r="AJ130" s="4"/>
      <c r="AK130" s="3"/>
      <c r="AL130" s="4"/>
      <c r="AM130" s="3"/>
      <c r="AN130" s="4"/>
      <c r="AO130" s="3"/>
      <c r="AP130" s="4"/>
      <c r="AQ130" s="3"/>
      <c r="AR130" s="4"/>
      <c r="AS130" s="3"/>
      <c r="AT130" s="4"/>
      <c r="AU130" s="3"/>
      <c r="AV130" s="4"/>
      <c r="AW130" s="3"/>
      <c r="AX130" s="4"/>
      <c r="AY130" s="3"/>
      <c r="AZ130" s="4"/>
      <c r="BA130" s="3"/>
      <c r="BB130" s="4"/>
      <c r="BC130" s="3"/>
      <c r="BD130" s="4"/>
      <c r="BE130" s="3"/>
      <c r="BF130" s="4"/>
      <c r="BG130" s="3"/>
      <c r="BH130" s="4"/>
      <c r="BI130" s="3"/>
      <c r="BJ130" s="4"/>
      <c r="BK130" s="3"/>
      <c r="BL130" s="4"/>
      <c r="BM130" s="3"/>
      <c r="BN130" s="4"/>
      <c r="BO130" s="3"/>
      <c r="BP130" s="4"/>
      <c r="BQ130" s="3"/>
      <c r="BR130" s="4"/>
      <c r="BS130" s="3"/>
      <c r="BT130" s="4"/>
      <c r="BU130" s="3"/>
      <c r="BV130" s="4"/>
      <c r="BW130" s="3"/>
      <c r="BX130" s="4"/>
      <c r="BY130" s="3"/>
      <c r="BZ130" s="4"/>
      <c r="CA130" s="3"/>
      <c r="CB130" s="4"/>
      <c r="CC130" s="3"/>
      <c r="CD130" s="4"/>
    </row>
    <row r="131">
      <c r="A131" s="3"/>
      <c r="B131" s="4"/>
      <c r="C131" s="3"/>
      <c r="D131" s="4"/>
      <c r="E131" s="3"/>
      <c r="F131" s="4"/>
      <c r="G131" s="3"/>
      <c r="H131" s="4"/>
      <c r="I131" s="3"/>
      <c r="J131" s="4"/>
      <c r="K131" s="3"/>
      <c r="L131" s="4"/>
      <c r="M131" s="3"/>
      <c r="N131" s="4"/>
      <c r="O131" s="3"/>
      <c r="P131" s="4"/>
      <c r="Q131" s="3"/>
      <c r="R131" s="4"/>
      <c r="S131" s="3"/>
      <c r="T131" s="4"/>
      <c r="U131" s="3"/>
      <c r="V131" s="4"/>
      <c r="W131" s="3"/>
      <c r="X131" s="4"/>
      <c r="Y131" s="3"/>
      <c r="Z131" s="4"/>
      <c r="AA131" s="3"/>
      <c r="AB131" s="4"/>
      <c r="AC131" s="3"/>
      <c r="AD131" s="4"/>
      <c r="AE131" s="3"/>
      <c r="AF131" s="4"/>
      <c r="AG131" s="3"/>
      <c r="AH131" s="4"/>
      <c r="AI131" s="3"/>
      <c r="AJ131" s="4"/>
      <c r="AK131" s="3"/>
      <c r="AL131" s="4"/>
      <c r="AM131" s="3"/>
      <c r="AN131" s="4"/>
      <c r="AO131" s="3"/>
      <c r="AP131" s="4"/>
      <c r="AQ131" s="3"/>
      <c r="AR131" s="4"/>
      <c r="AS131" s="3"/>
      <c r="AT131" s="4"/>
      <c r="AU131" s="3"/>
      <c r="AV131" s="4"/>
      <c r="AW131" s="3"/>
      <c r="AX131" s="4"/>
      <c r="AY131" s="3"/>
      <c r="AZ131" s="4"/>
      <c r="BA131" s="3"/>
      <c r="BB131" s="4"/>
      <c r="BC131" s="3"/>
      <c r="BD131" s="4"/>
      <c r="BE131" s="3"/>
      <c r="BF131" s="4"/>
      <c r="BG131" s="3"/>
      <c r="BH131" s="4"/>
      <c r="BI131" s="3"/>
      <c r="BJ131" s="4"/>
      <c r="BK131" s="3"/>
      <c r="BL131" s="4"/>
      <c r="BM131" s="3"/>
      <c r="BN131" s="4"/>
      <c r="BO131" s="3"/>
      <c r="BP131" s="4"/>
      <c r="BQ131" s="3"/>
      <c r="BR131" s="4"/>
      <c r="BS131" s="3"/>
      <c r="BT131" s="4"/>
      <c r="BU131" s="3"/>
      <c r="BV131" s="4"/>
      <c r="BW131" s="3"/>
      <c r="BX131" s="4"/>
      <c r="BY131" s="3"/>
      <c r="BZ131" s="4"/>
      <c r="CA131" s="3"/>
      <c r="CB131" s="4"/>
      <c r="CC131" s="3"/>
      <c r="CD131" s="4"/>
    </row>
    <row r="132">
      <c r="A132" s="3"/>
      <c r="B132" s="4"/>
      <c r="C132" s="3"/>
      <c r="D132" s="4"/>
      <c r="E132" s="3"/>
      <c r="F132" s="4"/>
      <c r="G132" s="3"/>
      <c r="H132" s="4"/>
      <c r="I132" s="3"/>
      <c r="J132" s="4"/>
      <c r="K132" s="3"/>
      <c r="L132" s="4"/>
      <c r="M132" s="3"/>
      <c r="N132" s="4"/>
      <c r="O132" s="3"/>
      <c r="P132" s="4"/>
      <c r="Q132" s="3"/>
      <c r="R132" s="4"/>
      <c r="S132" s="3"/>
      <c r="T132" s="4"/>
      <c r="U132" s="3"/>
      <c r="V132" s="4"/>
      <c r="W132" s="3"/>
      <c r="X132" s="4"/>
      <c r="Y132" s="3"/>
      <c r="Z132" s="4"/>
      <c r="AA132" s="3"/>
      <c r="AB132" s="4"/>
      <c r="AC132" s="3"/>
      <c r="AD132" s="4"/>
      <c r="AE132" s="3"/>
      <c r="AF132" s="4"/>
      <c r="AG132" s="3"/>
      <c r="AH132" s="4"/>
      <c r="AI132" s="3"/>
      <c r="AJ132" s="4"/>
      <c r="AK132" s="3"/>
      <c r="AL132" s="4"/>
      <c r="AM132" s="3"/>
      <c r="AN132" s="4"/>
      <c r="AO132" s="3"/>
      <c r="AP132" s="4"/>
      <c r="AQ132" s="3"/>
      <c r="AR132" s="4"/>
      <c r="AS132" s="3"/>
      <c r="AT132" s="4"/>
      <c r="AU132" s="3"/>
      <c r="AV132" s="4"/>
      <c r="AW132" s="3"/>
      <c r="AX132" s="4"/>
      <c r="AY132" s="3"/>
      <c r="AZ132" s="4"/>
      <c r="BA132" s="3"/>
      <c r="BB132" s="4"/>
      <c r="BC132" s="3"/>
      <c r="BD132" s="4"/>
      <c r="BE132" s="3"/>
      <c r="BF132" s="4"/>
      <c r="BG132" s="3"/>
      <c r="BH132" s="4"/>
      <c r="BI132" s="3"/>
      <c r="BJ132" s="4"/>
      <c r="BK132" s="3"/>
      <c r="BL132" s="4"/>
      <c r="BM132" s="3"/>
      <c r="BN132" s="4"/>
      <c r="BO132" s="3"/>
      <c r="BP132" s="4"/>
      <c r="BQ132" s="3"/>
      <c r="BR132" s="4"/>
      <c r="BS132" s="3"/>
      <c r="BT132" s="4"/>
      <c r="BU132" s="3"/>
      <c r="BV132" s="4"/>
      <c r="BW132" s="3"/>
      <c r="BX132" s="4"/>
      <c r="BY132" s="3"/>
      <c r="BZ132" s="4"/>
      <c r="CA132" s="3"/>
      <c r="CB132" s="4"/>
      <c r="CC132" s="3"/>
      <c r="CD132" s="4"/>
    </row>
    <row r="133">
      <c r="A133" s="3"/>
      <c r="B133" s="4"/>
      <c r="C133" s="3"/>
      <c r="D133" s="4"/>
      <c r="E133" s="3"/>
      <c r="F133" s="4"/>
      <c r="G133" s="3"/>
      <c r="H133" s="4"/>
      <c r="I133" s="3"/>
      <c r="J133" s="4"/>
      <c r="K133" s="3"/>
      <c r="L133" s="4"/>
      <c r="M133" s="3"/>
      <c r="N133" s="4"/>
      <c r="O133" s="3"/>
      <c r="P133" s="4"/>
      <c r="Q133" s="3"/>
      <c r="R133" s="4"/>
      <c r="S133" s="3"/>
      <c r="T133" s="4"/>
      <c r="U133" s="3"/>
      <c r="V133" s="4"/>
      <c r="W133" s="3"/>
      <c r="X133" s="4"/>
      <c r="Y133" s="3"/>
      <c r="Z133" s="4"/>
      <c r="AA133" s="3"/>
      <c r="AB133" s="4"/>
      <c r="AC133" s="3"/>
      <c r="AD133" s="4"/>
      <c r="AE133" s="3"/>
      <c r="AF133" s="4"/>
      <c r="AG133" s="3"/>
      <c r="AH133" s="4"/>
      <c r="AI133" s="3"/>
      <c r="AJ133" s="4"/>
      <c r="AK133" s="3"/>
      <c r="AL133" s="4"/>
      <c r="AM133" s="3"/>
      <c r="AN133" s="4"/>
      <c r="AO133" s="3"/>
      <c r="AP133" s="4"/>
      <c r="AQ133" s="3"/>
      <c r="AR133" s="4"/>
      <c r="AS133" s="3"/>
      <c r="AT133" s="4"/>
      <c r="AU133" s="3"/>
      <c r="AV133" s="4"/>
      <c r="AW133" s="3"/>
      <c r="AX133" s="4"/>
      <c r="AY133" s="3"/>
      <c r="AZ133" s="4"/>
      <c r="BA133" s="3"/>
      <c r="BB133" s="4"/>
      <c r="BC133" s="3"/>
      <c r="BD133" s="4"/>
      <c r="BE133" s="3"/>
      <c r="BF133" s="4"/>
      <c r="BG133" s="3"/>
      <c r="BH133" s="4"/>
      <c r="BI133" s="3"/>
      <c r="BJ133" s="4"/>
      <c r="BK133" s="3"/>
      <c r="BL133" s="4"/>
      <c r="BM133" s="3"/>
      <c r="BN133" s="4"/>
      <c r="BO133" s="3"/>
      <c r="BP133" s="4"/>
      <c r="BQ133" s="3"/>
      <c r="BR133" s="4"/>
      <c r="BS133" s="3"/>
      <c r="BT133" s="4"/>
      <c r="BU133" s="3"/>
      <c r="BV133" s="4"/>
      <c r="BW133" s="3"/>
      <c r="BX133" s="4"/>
      <c r="BY133" s="3"/>
      <c r="BZ133" s="4"/>
      <c r="CA133" s="3"/>
      <c r="CB133" s="4"/>
      <c r="CC133" s="3"/>
      <c r="CD133" s="4"/>
    </row>
    <row r="134">
      <c r="A134" s="3"/>
      <c r="B134" s="4"/>
      <c r="C134" s="3"/>
      <c r="D134" s="4"/>
      <c r="E134" s="3"/>
      <c r="F134" s="4"/>
      <c r="G134" s="3"/>
      <c r="H134" s="4"/>
      <c r="I134" s="3"/>
      <c r="J134" s="4"/>
      <c r="K134" s="3"/>
      <c r="L134" s="4"/>
      <c r="M134" s="3"/>
      <c r="N134" s="4"/>
      <c r="O134" s="3"/>
      <c r="P134" s="4"/>
      <c r="Q134" s="3"/>
      <c r="R134" s="4"/>
      <c r="S134" s="3"/>
      <c r="T134" s="4"/>
      <c r="U134" s="3"/>
      <c r="V134" s="4"/>
      <c r="W134" s="3"/>
      <c r="X134" s="4"/>
      <c r="Y134" s="3"/>
      <c r="Z134" s="4"/>
      <c r="AA134" s="3"/>
      <c r="AB134" s="4"/>
      <c r="AC134" s="3"/>
      <c r="AD134" s="4"/>
      <c r="AE134" s="3"/>
      <c r="AF134" s="4"/>
      <c r="AG134" s="3"/>
      <c r="AH134" s="4"/>
      <c r="AI134" s="3"/>
      <c r="AJ134" s="4"/>
      <c r="AK134" s="3"/>
      <c r="AL134" s="4"/>
      <c r="AM134" s="3"/>
      <c r="AN134" s="4"/>
      <c r="AO134" s="3"/>
      <c r="AP134" s="4"/>
      <c r="AQ134" s="3"/>
      <c r="AR134" s="4"/>
      <c r="AS134" s="3"/>
      <c r="AT134" s="4"/>
      <c r="AU134" s="3"/>
      <c r="AV134" s="4"/>
      <c r="AW134" s="3"/>
      <c r="AX134" s="4"/>
      <c r="AY134" s="3"/>
      <c r="AZ134" s="4"/>
      <c r="BA134" s="3"/>
      <c r="BB134" s="4"/>
      <c r="BC134" s="3"/>
      <c r="BD134" s="4"/>
      <c r="BE134" s="3"/>
      <c r="BF134" s="4"/>
      <c r="BG134" s="3"/>
      <c r="BH134" s="4"/>
      <c r="BI134" s="3"/>
      <c r="BJ134" s="4"/>
      <c r="BK134" s="3"/>
      <c r="BL134" s="4"/>
      <c r="BM134" s="3"/>
      <c r="BN134" s="4"/>
      <c r="BO134" s="3"/>
      <c r="BP134" s="4"/>
      <c r="BQ134" s="3"/>
      <c r="BR134" s="4"/>
      <c r="BS134" s="3"/>
      <c r="BT134" s="4"/>
      <c r="BU134" s="3"/>
      <c r="BV134" s="4"/>
      <c r="BW134" s="3"/>
      <c r="BX134" s="4"/>
      <c r="BY134" s="3"/>
      <c r="BZ134" s="4"/>
      <c r="CA134" s="3"/>
      <c r="CB134" s="4"/>
      <c r="CC134" s="3"/>
      <c r="CD134" s="4"/>
    </row>
    <row r="135">
      <c r="A135" s="3"/>
      <c r="B135" s="4"/>
      <c r="C135" s="3"/>
      <c r="D135" s="4"/>
      <c r="E135" s="3"/>
      <c r="F135" s="4"/>
      <c r="G135" s="3"/>
      <c r="H135" s="4"/>
      <c r="I135" s="3"/>
      <c r="J135" s="4"/>
      <c r="K135" s="3"/>
      <c r="L135" s="4"/>
      <c r="M135" s="3"/>
      <c r="N135" s="4"/>
      <c r="O135" s="3"/>
      <c r="P135" s="4"/>
      <c r="Q135" s="3"/>
      <c r="R135" s="4"/>
      <c r="S135" s="3"/>
      <c r="T135" s="4"/>
      <c r="U135" s="3"/>
      <c r="V135" s="4"/>
      <c r="W135" s="3"/>
      <c r="X135" s="4"/>
      <c r="Y135" s="3"/>
      <c r="Z135" s="4"/>
      <c r="AA135" s="3"/>
      <c r="AB135" s="4"/>
      <c r="AC135" s="3"/>
      <c r="AD135" s="4"/>
      <c r="AE135" s="3"/>
      <c r="AF135" s="4"/>
      <c r="AG135" s="3"/>
      <c r="AH135" s="4"/>
      <c r="AI135" s="3"/>
      <c r="AJ135" s="4"/>
      <c r="AK135" s="3"/>
      <c r="AL135" s="4"/>
      <c r="AM135" s="3"/>
      <c r="AN135" s="4"/>
      <c r="AO135" s="3"/>
      <c r="AP135" s="4"/>
      <c r="AQ135" s="3"/>
      <c r="AR135" s="4"/>
      <c r="AS135" s="3"/>
      <c r="AT135" s="4"/>
      <c r="AU135" s="3"/>
      <c r="AV135" s="4"/>
      <c r="AW135" s="3"/>
      <c r="AX135" s="4"/>
      <c r="AY135" s="3"/>
      <c r="AZ135" s="4"/>
      <c r="BA135" s="3"/>
      <c r="BB135" s="4"/>
      <c r="BC135" s="3"/>
      <c r="BD135" s="4"/>
      <c r="BE135" s="3"/>
      <c r="BF135" s="4"/>
      <c r="BG135" s="3"/>
      <c r="BH135" s="4"/>
      <c r="BI135" s="3"/>
      <c r="BJ135" s="4"/>
      <c r="BK135" s="3"/>
      <c r="BL135" s="4"/>
      <c r="BM135" s="3"/>
      <c r="BN135" s="4"/>
      <c r="BO135" s="3"/>
      <c r="BP135" s="4"/>
      <c r="BQ135" s="3"/>
      <c r="BR135" s="4"/>
      <c r="BS135" s="3"/>
      <c r="BT135" s="4"/>
      <c r="BU135" s="3"/>
      <c r="BV135" s="4"/>
      <c r="BW135" s="3"/>
      <c r="BX135" s="4"/>
      <c r="BY135" s="3"/>
      <c r="BZ135" s="4"/>
      <c r="CA135" s="3"/>
      <c r="CB135" s="4"/>
      <c r="CC135" s="3"/>
      <c r="CD135" s="4"/>
    </row>
    <row r="136">
      <c r="A136" s="3"/>
      <c r="B136" s="4"/>
      <c r="C136" s="3"/>
      <c r="D136" s="4"/>
      <c r="E136" s="3"/>
      <c r="F136" s="4"/>
      <c r="G136" s="3"/>
      <c r="H136" s="4"/>
      <c r="I136" s="3"/>
      <c r="J136" s="4"/>
      <c r="K136" s="3"/>
      <c r="L136" s="4"/>
      <c r="M136" s="3"/>
      <c r="N136" s="4"/>
      <c r="O136" s="3"/>
      <c r="P136" s="4"/>
      <c r="Q136" s="3"/>
      <c r="R136" s="4"/>
      <c r="S136" s="3"/>
      <c r="T136" s="4"/>
      <c r="U136" s="3"/>
      <c r="V136" s="4"/>
      <c r="W136" s="3"/>
      <c r="X136" s="4"/>
      <c r="Y136" s="3"/>
      <c r="Z136" s="4"/>
      <c r="AA136" s="3"/>
      <c r="AB136" s="4"/>
      <c r="AC136" s="3"/>
      <c r="AD136" s="4"/>
      <c r="AE136" s="3"/>
      <c r="AF136" s="4"/>
      <c r="AG136" s="3"/>
      <c r="AH136" s="4"/>
      <c r="AI136" s="3"/>
      <c r="AJ136" s="4"/>
      <c r="AK136" s="3"/>
      <c r="AL136" s="4"/>
      <c r="AM136" s="3"/>
      <c r="AN136" s="4"/>
      <c r="AO136" s="3"/>
      <c r="AP136" s="4"/>
      <c r="AQ136" s="3"/>
      <c r="AR136" s="4"/>
      <c r="AS136" s="3"/>
      <c r="AT136" s="4"/>
      <c r="AU136" s="3"/>
      <c r="AV136" s="4"/>
      <c r="AW136" s="3"/>
      <c r="AX136" s="4"/>
      <c r="AY136" s="3"/>
      <c r="AZ136" s="4"/>
      <c r="BA136" s="3"/>
      <c r="BB136" s="4"/>
      <c r="BC136" s="3"/>
      <c r="BD136" s="4"/>
      <c r="BE136" s="3"/>
      <c r="BF136" s="4"/>
      <c r="BG136" s="3"/>
      <c r="BH136" s="4"/>
      <c r="BI136" s="3"/>
      <c r="BJ136" s="4"/>
      <c r="BK136" s="3"/>
      <c r="BL136" s="4"/>
      <c r="BM136" s="3"/>
      <c r="BN136" s="4"/>
      <c r="BO136" s="3"/>
      <c r="BP136" s="4"/>
      <c r="BQ136" s="3"/>
      <c r="BR136" s="4"/>
      <c r="BS136" s="3"/>
      <c r="BT136" s="4"/>
      <c r="BU136" s="3"/>
      <c r="BV136" s="4"/>
      <c r="BW136" s="3"/>
      <c r="BX136" s="4"/>
      <c r="BY136" s="3"/>
      <c r="BZ136" s="4"/>
      <c r="CA136" s="3"/>
      <c r="CB136" s="4"/>
      <c r="CC136" s="3"/>
      <c r="CD136" s="4"/>
    </row>
    <row r="137">
      <c r="A137" s="3"/>
      <c r="B137" s="4"/>
      <c r="C137" s="3"/>
      <c r="D137" s="4"/>
      <c r="E137" s="3"/>
      <c r="F137" s="4"/>
      <c r="G137" s="3"/>
      <c r="H137" s="4"/>
      <c r="I137" s="3"/>
      <c r="J137" s="4"/>
      <c r="K137" s="3"/>
      <c r="L137" s="4"/>
      <c r="M137" s="3"/>
      <c r="N137" s="4"/>
      <c r="O137" s="3"/>
      <c r="P137" s="4"/>
      <c r="Q137" s="3"/>
      <c r="R137" s="4"/>
      <c r="S137" s="3"/>
      <c r="T137" s="4"/>
      <c r="U137" s="3"/>
      <c r="V137" s="4"/>
      <c r="W137" s="3"/>
      <c r="X137" s="4"/>
      <c r="Y137" s="3"/>
      <c r="Z137" s="4"/>
      <c r="AA137" s="3"/>
      <c r="AB137" s="4"/>
      <c r="AC137" s="3"/>
      <c r="AD137" s="4"/>
      <c r="AE137" s="3"/>
      <c r="AF137" s="4"/>
      <c r="AG137" s="3"/>
      <c r="AH137" s="4"/>
      <c r="AI137" s="3"/>
      <c r="AJ137" s="4"/>
      <c r="AK137" s="3"/>
      <c r="AL137" s="4"/>
      <c r="AM137" s="3"/>
      <c r="AN137" s="4"/>
      <c r="AO137" s="3"/>
      <c r="AP137" s="4"/>
      <c r="AQ137" s="3"/>
      <c r="AR137" s="4"/>
      <c r="AS137" s="3"/>
      <c r="AT137" s="4"/>
      <c r="AU137" s="3"/>
      <c r="AV137" s="4"/>
      <c r="AW137" s="3"/>
      <c r="AX137" s="4"/>
      <c r="AY137" s="3"/>
      <c r="AZ137" s="4"/>
      <c r="BA137" s="3"/>
      <c r="BB137" s="4"/>
      <c r="BC137" s="3"/>
      <c r="BD137" s="4"/>
      <c r="BE137" s="3"/>
      <c r="BF137" s="4"/>
      <c r="BG137" s="3"/>
      <c r="BH137" s="4"/>
      <c r="BI137" s="3"/>
      <c r="BJ137" s="4"/>
      <c r="BK137" s="3"/>
      <c r="BL137" s="4"/>
      <c r="BM137" s="3"/>
      <c r="BN137" s="4"/>
      <c r="BO137" s="3"/>
      <c r="BP137" s="4"/>
      <c r="BQ137" s="3"/>
      <c r="BR137" s="4"/>
      <c r="BS137" s="3"/>
      <c r="BT137" s="4"/>
      <c r="BU137" s="3"/>
      <c r="BV137" s="4"/>
      <c r="BW137" s="3"/>
      <c r="BX137" s="4"/>
      <c r="BY137" s="3"/>
      <c r="BZ137" s="4"/>
      <c r="CA137" s="3"/>
      <c r="CB137" s="4"/>
      <c r="CC137" s="3"/>
      <c r="CD137" s="4"/>
    </row>
    <row r="138">
      <c r="A138" s="3"/>
      <c r="B138" s="4"/>
      <c r="C138" s="3"/>
      <c r="D138" s="4"/>
      <c r="E138" s="3"/>
      <c r="F138" s="4"/>
      <c r="G138" s="3"/>
      <c r="H138" s="4"/>
      <c r="I138" s="3"/>
      <c r="J138" s="4"/>
      <c r="K138" s="3"/>
      <c r="L138" s="4"/>
      <c r="M138" s="3"/>
      <c r="N138" s="4"/>
      <c r="O138" s="3"/>
      <c r="P138" s="4"/>
      <c r="Q138" s="3"/>
      <c r="R138" s="4"/>
      <c r="S138" s="3"/>
      <c r="T138" s="4"/>
      <c r="U138" s="3"/>
      <c r="V138" s="4"/>
      <c r="W138" s="3"/>
      <c r="X138" s="4"/>
      <c r="Y138" s="3"/>
      <c r="Z138" s="4"/>
      <c r="AA138" s="3"/>
      <c r="AB138" s="4"/>
      <c r="AC138" s="3"/>
      <c r="AD138" s="4"/>
      <c r="AE138" s="3"/>
      <c r="AF138" s="4"/>
      <c r="AG138" s="3"/>
      <c r="AH138" s="4"/>
      <c r="AI138" s="3"/>
      <c r="AJ138" s="4"/>
      <c r="AK138" s="3"/>
      <c r="AL138" s="4"/>
      <c r="AM138" s="3"/>
      <c r="AN138" s="4"/>
      <c r="AO138" s="3"/>
      <c r="AP138" s="4"/>
      <c r="AQ138" s="3"/>
      <c r="AR138" s="4"/>
      <c r="AS138" s="3"/>
      <c r="AT138" s="4"/>
      <c r="AU138" s="3"/>
      <c r="AV138" s="4"/>
      <c r="AW138" s="3"/>
      <c r="AX138" s="4"/>
      <c r="AY138" s="3"/>
      <c r="AZ138" s="4"/>
      <c r="BA138" s="3"/>
      <c r="BB138" s="4"/>
      <c r="BC138" s="3"/>
      <c r="BD138" s="4"/>
      <c r="BE138" s="3"/>
      <c r="BF138" s="4"/>
      <c r="BG138" s="3"/>
      <c r="BH138" s="4"/>
      <c r="BI138" s="3"/>
      <c r="BJ138" s="4"/>
      <c r="BK138" s="3"/>
      <c r="BL138" s="4"/>
      <c r="BM138" s="3"/>
      <c r="BN138" s="4"/>
      <c r="BO138" s="3"/>
      <c r="BP138" s="4"/>
      <c r="BQ138" s="3"/>
      <c r="BR138" s="4"/>
      <c r="BS138" s="3"/>
      <c r="BT138" s="4"/>
      <c r="BU138" s="3"/>
      <c r="BV138" s="4"/>
      <c r="BW138" s="3"/>
      <c r="BX138" s="4"/>
      <c r="BY138" s="3"/>
      <c r="BZ138" s="4"/>
      <c r="CA138" s="3"/>
      <c r="CB138" s="4"/>
      <c r="CC138" s="3"/>
      <c r="CD138" s="4"/>
    </row>
    <row r="139">
      <c r="A139" s="3"/>
      <c r="B139" s="4"/>
      <c r="C139" s="3"/>
      <c r="D139" s="4"/>
      <c r="E139" s="3"/>
      <c r="F139" s="4"/>
      <c r="G139" s="3"/>
      <c r="H139" s="4"/>
      <c r="I139" s="3"/>
      <c r="J139" s="4"/>
      <c r="K139" s="3"/>
      <c r="L139" s="4"/>
      <c r="M139" s="3"/>
      <c r="N139" s="4"/>
      <c r="O139" s="3"/>
      <c r="P139" s="4"/>
      <c r="Q139" s="3"/>
      <c r="R139" s="4"/>
      <c r="S139" s="3"/>
      <c r="T139" s="4"/>
      <c r="U139" s="3"/>
      <c r="V139" s="4"/>
      <c r="W139" s="3"/>
      <c r="X139" s="4"/>
      <c r="Y139" s="3"/>
      <c r="Z139" s="4"/>
      <c r="AA139" s="3"/>
      <c r="AB139" s="4"/>
      <c r="AC139" s="3"/>
      <c r="AD139" s="4"/>
      <c r="AE139" s="3"/>
      <c r="AF139" s="4"/>
      <c r="AG139" s="3"/>
      <c r="AH139" s="4"/>
      <c r="AI139" s="3"/>
      <c r="AJ139" s="4"/>
      <c r="AK139" s="3"/>
      <c r="AL139" s="4"/>
      <c r="AM139" s="3"/>
      <c r="AN139" s="4"/>
      <c r="AO139" s="3"/>
      <c r="AP139" s="4"/>
      <c r="AQ139" s="3"/>
      <c r="AR139" s="4"/>
      <c r="AS139" s="3"/>
      <c r="AT139" s="4"/>
      <c r="AU139" s="3"/>
      <c r="AV139" s="4"/>
      <c r="AW139" s="3"/>
      <c r="AX139" s="4"/>
      <c r="AY139" s="3"/>
      <c r="AZ139" s="4"/>
      <c r="BA139" s="3"/>
      <c r="BB139" s="4"/>
      <c r="BC139" s="3"/>
      <c r="BD139" s="4"/>
      <c r="BE139" s="3"/>
      <c r="BF139" s="4"/>
      <c r="BG139" s="3"/>
      <c r="BH139" s="4"/>
      <c r="BI139" s="3"/>
      <c r="BJ139" s="4"/>
      <c r="BK139" s="3"/>
      <c r="BL139" s="4"/>
      <c r="BM139" s="3"/>
      <c r="BN139" s="4"/>
      <c r="BO139" s="3"/>
      <c r="BP139" s="4"/>
      <c r="BQ139" s="3"/>
      <c r="BR139" s="4"/>
      <c r="BS139" s="3"/>
      <c r="BT139" s="4"/>
      <c r="BU139" s="3"/>
      <c r="BV139" s="4"/>
      <c r="BW139" s="3"/>
      <c r="BX139" s="4"/>
      <c r="BY139" s="3"/>
      <c r="BZ139" s="4"/>
      <c r="CA139" s="3"/>
      <c r="CB139" s="4"/>
      <c r="CC139" s="3"/>
      <c r="CD139" s="4"/>
    </row>
    <row r="140">
      <c r="A140" s="3"/>
      <c r="B140" s="4"/>
      <c r="C140" s="3"/>
      <c r="D140" s="4"/>
      <c r="E140" s="3"/>
      <c r="F140" s="4"/>
      <c r="G140" s="3"/>
      <c r="H140" s="4"/>
      <c r="I140" s="3"/>
      <c r="J140" s="4"/>
      <c r="K140" s="3"/>
      <c r="L140" s="4"/>
      <c r="M140" s="3"/>
      <c r="N140" s="4"/>
      <c r="O140" s="3"/>
      <c r="P140" s="4"/>
      <c r="Q140" s="3"/>
      <c r="R140" s="4"/>
      <c r="S140" s="3"/>
      <c r="T140" s="4"/>
      <c r="U140" s="3"/>
      <c r="V140" s="4"/>
      <c r="W140" s="3"/>
      <c r="X140" s="4"/>
      <c r="Y140" s="3"/>
      <c r="Z140" s="4"/>
      <c r="AA140" s="3"/>
      <c r="AB140" s="4"/>
      <c r="AC140" s="3"/>
      <c r="AD140" s="4"/>
      <c r="AE140" s="3"/>
      <c r="AF140" s="4"/>
      <c r="AG140" s="3"/>
      <c r="AH140" s="4"/>
      <c r="AI140" s="3"/>
      <c r="AJ140" s="4"/>
      <c r="AK140" s="3"/>
      <c r="AL140" s="4"/>
      <c r="AM140" s="3"/>
      <c r="AN140" s="4"/>
      <c r="AO140" s="3"/>
      <c r="AP140" s="4"/>
      <c r="AQ140" s="3"/>
      <c r="AR140" s="4"/>
      <c r="AS140" s="3"/>
      <c r="AT140" s="4"/>
      <c r="AU140" s="3"/>
      <c r="AV140" s="4"/>
      <c r="AW140" s="3"/>
      <c r="AX140" s="4"/>
      <c r="AY140" s="3"/>
      <c r="AZ140" s="4"/>
      <c r="BA140" s="3"/>
      <c r="BB140" s="4"/>
      <c r="BC140" s="3"/>
      <c r="BD140" s="4"/>
      <c r="BE140" s="3"/>
      <c r="BF140" s="4"/>
      <c r="BG140" s="3"/>
      <c r="BH140" s="4"/>
      <c r="BI140" s="3"/>
      <c r="BJ140" s="4"/>
      <c r="BK140" s="3"/>
      <c r="BL140" s="4"/>
      <c r="BM140" s="3"/>
      <c r="BN140" s="4"/>
      <c r="BO140" s="3"/>
      <c r="BP140" s="4"/>
      <c r="BQ140" s="3"/>
      <c r="BR140" s="4"/>
      <c r="BS140" s="3"/>
      <c r="BT140" s="4"/>
      <c r="BU140" s="3"/>
      <c r="BV140" s="4"/>
      <c r="BW140" s="3"/>
      <c r="BX140" s="4"/>
      <c r="BY140" s="3"/>
      <c r="BZ140" s="4"/>
      <c r="CA140" s="3"/>
      <c r="CB140" s="4"/>
      <c r="CC140" s="3"/>
      <c r="CD140" s="4"/>
    </row>
    <row r="141">
      <c r="A141" s="3"/>
      <c r="B141" s="4"/>
      <c r="C141" s="3"/>
      <c r="D141" s="4"/>
      <c r="E141" s="3"/>
      <c r="F141" s="4"/>
      <c r="G141" s="3"/>
      <c r="H141" s="4"/>
      <c r="I141" s="3"/>
      <c r="J141" s="4"/>
      <c r="K141" s="3"/>
      <c r="L141" s="4"/>
      <c r="M141" s="3"/>
      <c r="N141" s="4"/>
      <c r="O141" s="3"/>
      <c r="P141" s="4"/>
      <c r="Q141" s="3"/>
      <c r="R141" s="4"/>
      <c r="S141" s="3"/>
      <c r="T141" s="4"/>
      <c r="U141" s="3"/>
      <c r="V141" s="4"/>
      <c r="W141" s="3"/>
      <c r="X141" s="4"/>
      <c r="Y141" s="3"/>
      <c r="Z141" s="4"/>
      <c r="AA141" s="3"/>
      <c r="AB141" s="4"/>
      <c r="AC141" s="3"/>
      <c r="AD141" s="4"/>
      <c r="AE141" s="3"/>
      <c r="AF141" s="4"/>
      <c r="AG141" s="3"/>
      <c r="AH141" s="4"/>
      <c r="AI141" s="3"/>
      <c r="AJ141" s="4"/>
      <c r="AK141" s="3"/>
      <c r="AL141" s="4"/>
      <c r="AM141" s="3"/>
      <c r="AN141" s="4"/>
      <c r="AO141" s="3"/>
      <c r="AP141" s="4"/>
      <c r="AQ141" s="3"/>
      <c r="AR141" s="4"/>
      <c r="AS141" s="3"/>
      <c r="AT141" s="4"/>
      <c r="AU141" s="3"/>
      <c r="AV141" s="4"/>
      <c r="AW141" s="3"/>
      <c r="AX141" s="4"/>
      <c r="AY141" s="3"/>
      <c r="AZ141" s="4"/>
      <c r="BA141" s="3"/>
      <c r="BB141" s="4"/>
      <c r="BC141" s="3"/>
      <c r="BD141" s="4"/>
      <c r="BE141" s="3"/>
      <c r="BF141" s="4"/>
      <c r="BG141" s="3"/>
      <c r="BH141" s="4"/>
      <c r="BI141" s="3"/>
      <c r="BJ141" s="4"/>
      <c r="BK141" s="3"/>
      <c r="BL141" s="4"/>
      <c r="BM141" s="3"/>
      <c r="BN141" s="4"/>
      <c r="BO141" s="3"/>
      <c r="BP141" s="4"/>
      <c r="BQ141" s="3"/>
      <c r="BR141" s="4"/>
      <c r="BS141" s="3"/>
      <c r="BT141" s="4"/>
      <c r="BU141" s="3"/>
      <c r="BV141" s="4"/>
      <c r="BW141" s="3"/>
      <c r="BX141" s="4"/>
      <c r="BY141" s="3"/>
      <c r="BZ141" s="4"/>
      <c r="CA141" s="3"/>
      <c r="CB141" s="4"/>
      <c r="CC141" s="3"/>
      <c r="CD141" s="4"/>
    </row>
    <row r="142">
      <c r="A142" s="3"/>
      <c r="B142" s="4"/>
      <c r="C142" s="3"/>
      <c r="D142" s="4"/>
      <c r="E142" s="3"/>
      <c r="F142" s="4"/>
      <c r="G142" s="3"/>
      <c r="H142" s="4"/>
      <c r="I142" s="3"/>
      <c r="J142" s="4"/>
      <c r="K142" s="3"/>
      <c r="L142" s="4"/>
      <c r="M142" s="3"/>
      <c r="N142" s="4"/>
      <c r="O142" s="3"/>
      <c r="P142" s="4"/>
      <c r="Q142" s="3"/>
      <c r="R142" s="4"/>
      <c r="S142" s="3"/>
      <c r="T142" s="4"/>
      <c r="U142" s="3"/>
      <c r="V142" s="4"/>
      <c r="W142" s="3"/>
      <c r="X142" s="4"/>
      <c r="Y142" s="3"/>
      <c r="Z142" s="4"/>
      <c r="AA142" s="3"/>
      <c r="AB142" s="4"/>
      <c r="AC142" s="3"/>
      <c r="AD142" s="4"/>
      <c r="AE142" s="3"/>
      <c r="AF142" s="4"/>
      <c r="AG142" s="3"/>
      <c r="AH142" s="4"/>
      <c r="AI142" s="3"/>
      <c r="AJ142" s="4"/>
      <c r="AK142" s="3"/>
      <c r="AL142" s="4"/>
      <c r="AM142" s="3"/>
      <c r="AN142" s="4"/>
      <c r="AO142" s="3"/>
      <c r="AP142" s="4"/>
      <c r="AQ142" s="3"/>
      <c r="AR142" s="4"/>
      <c r="AS142" s="3"/>
      <c r="AT142" s="4"/>
      <c r="AU142" s="3"/>
      <c r="AV142" s="4"/>
      <c r="AW142" s="3"/>
      <c r="AX142" s="4"/>
      <c r="AY142" s="3"/>
      <c r="AZ142" s="4"/>
      <c r="BA142" s="3"/>
      <c r="BB142" s="4"/>
      <c r="BC142" s="3"/>
      <c r="BD142" s="4"/>
      <c r="BE142" s="3"/>
      <c r="BF142" s="4"/>
      <c r="BG142" s="3"/>
      <c r="BH142" s="4"/>
      <c r="BI142" s="3"/>
      <c r="BJ142" s="4"/>
      <c r="BK142" s="3"/>
      <c r="BL142" s="4"/>
      <c r="BM142" s="3"/>
      <c r="BN142" s="4"/>
      <c r="BO142" s="3"/>
      <c r="BP142" s="4"/>
      <c r="BQ142" s="3"/>
      <c r="BR142" s="4"/>
      <c r="BS142" s="3"/>
      <c r="BT142" s="4"/>
      <c r="BU142" s="3"/>
      <c r="BV142" s="4"/>
      <c r="BW142" s="3"/>
      <c r="BX142" s="4"/>
      <c r="BY142" s="3"/>
      <c r="BZ142" s="4"/>
      <c r="CA142" s="3"/>
      <c r="CB142" s="4"/>
      <c r="CC142" s="3"/>
      <c r="CD142" s="4"/>
    </row>
    <row r="143">
      <c r="A143" s="3"/>
      <c r="B143" s="4"/>
      <c r="C143" s="3"/>
      <c r="D143" s="4"/>
      <c r="E143" s="3"/>
      <c r="F143" s="4"/>
      <c r="G143" s="3"/>
      <c r="H143" s="4"/>
      <c r="I143" s="3"/>
      <c r="J143" s="4"/>
      <c r="K143" s="3"/>
      <c r="L143" s="4"/>
      <c r="M143" s="3"/>
      <c r="N143" s="4"/>
      <c r="O143" s="3"/>
      <c r="P143" s="4"/>
      <c r="Q143" s="3"/>
      <c r="R143" s="4"/>
      <c r="S143" s="3"/>
      <c r="T143" s="4"/>
      <c r="U143" s="3"/>
      <c r="V143" s="4"/>
      <c r="W143" s="3"/>
      <c r="X143" s="4"/>
      <c r="Y143" s="3"/>
      <c r="Z143" s="4"/>
      <c r="AA143" s="3"/>
      <c r="AB143" s="4"/>
      <c r="AC143" s="3"/>
      <c r="AD143" s="4"/>
      <c r="AE143" s="3"/>
      <c r="AF143" s="4"/>
      <c r="AG143" s="3"/>
      <c r="AH143" s="4"/>
      <c r="AI143" s="3"/>
      <c r="AJ143" s="4"/>
      <c r="AK143" s="3"/>
      <c r="AL143" s="4"/>
      <c r="AM143" s="3"/>
      <c r="AN143" s="4"/>
      <c r="AO143" s="3"/>
      <c r="AP143" s="4"/>
      <c r="AQ143" s="3"/>
      <c r="AR143" s="4"/>
      <c r="AS143" s="3"/>
      <c r="AT143" s="4"/>
      <c r="AU143" s="3"/>
      <c r="AV143" s="4"/>
      <c r="AW143" s="3"/>
      <c r="AX143" s="4"/>
      <c r="AY143" s="3"/>
      <c r="AZ143" s="4"/>
      <c r="BA143" s="3"/>
      <c r="BB143" s="4"/>
      <c r="BC143" s="3"/>
      <c r="BD143" s="4"/>
      <c r="BE143" s="3"/>
      <c r="BF143" s="4"/>
      <c r="BG143" s="3"/>
      <c r="BH143" s="4"/>
      <c r="BI143" s="3"/>
      <c r="BJ143" s="4"/>
      <c r="BK143" s="3"/>
      <c r="BL143" s="4"/>
      <c r="BM143" s="3"/>
      <c r="BN143" s="4"/>
      <c r="BO143" s="3"/>
      <c r="BP143" s="4"/>
      <c r="BQ143" s="3"/>
      <c r="BR143" s="4"/>
      <c r="BS143" s="3"/>
      <c r="BT143" s="4"/>
      <c r="BU143" s="3"/>
      <c r="BV143" s="4"/>
      <c r="BW143" s="3"/>
      <c r="BX143" s="4"/>
      <c r="BY143" s="3"/>
      <c r="BZ143" s="4"/>
      <c r="CA143" s="3"/>
      <c r="CB143" s="4"/>
      <c r="CC143" s="3"/>
      <c r="CD143" s="4"/>
    </row>
    <row r="144">
      <c r="A144" s="3"/>
      <c r="B144" s="4"/>
      <c r="C144" s="3"/>
      <c r="D144" s="4"/>
      <c r="E144" s="3"/>
      <c r="F144" s="4"/>
      <c r="G144" s="3"/>
      <c r="H144" s="4"/>
      <c r="I144" s="3"/>
      <c r="J144" s="4"/>
      <c r="K144" s="3"/>
      <c r="L144" s="4"/>
      <c r="M144" s="3"/>
      <c r="N144" s="4"/>
      <c r="O144" s="3"/>
      <c r="P144" s="4"/>
      <c r="Q144" s="3"/>
      <c r="R144" s="4"/>
      <c r="S144" s="3"/>
      <c r="T144" s="4"/>
      <c r="U144" s="3"/>
      <c r="V144" s="4"/>
      <c r="W144" s="3"/>
      <c r="X144" s="4"/>
      <c r="Y144" s="3"/>
      <c r="Z144" s="4"/>
      <c r="AA144" s="3"/>
      <c r="AB144" s="4"/>
      <c r="AC144" s="3"/>
      <c r="AD144" s="4"/>
      <c r="AE144" s="3"/>
      <c r="AF144" s="4"/>
      <c r="AG144" s="3"/>
      <c r="AH144" s="4"/>
      <c r="AI144" s="3"/>
      <c r="AJ144" s="4"/>
      <c r="AK144" s="3"/>
      <c r="AL144" s="4"/>
      <c r="AM144" s="3"/>
      <c r="AN144" s="4"/>
      <c r="AO144" s="3"/>
      <c r="AP144" s="4"/>
      <c r="AQ144" s="3"/>
      <c r="AR144" s="4"/>
      <c r="AS144" s="3"/>
      <c r="AT144" s="4"/>
      <c r="AU144" s="3"/>
      <c r="AV144" s="4"/>
      <c r="AW144" s="3"/>
      <c r="AX144" s="4"/>
      <c r="AY144" s="3"/>
      <c r="AZ144" s="4"/>
      <c r="BA144" s="3"/>
      <c r="BB144" s="4"/>
      <c r="BC144" s="3"/>
      <c r="BD144" s="4"/>
      <c r="BE144" s="3"/>
      <c r="BF144" s="4"/>
      <c r="BG144" s="3"/>
      <c r="BH144" s="4"/>
      <c r="BI144" s="3"/>
      <c r="BJ144" s="4"/>
      <c r="BK144" s="3"/>
      <c r="BL144" s="4"/>
      <c r="BM144" s="3"/>
      <c r="BN144" s="4"/>
      <c r="BO144" s="3"/>
      <c r="BP144" s="4"/>
      <c r="BQ144" s="3"/>
      <c r="BR144" s="4"/>
      <c r="BS144" s="3"/>
      <c r="BT144" s="4"/>
      <c r="BU144" s="3"/>
      <c r="BV144" s="4"/>
      <c r="BW144" s="3"/>
      <c r="BX144" s="4"/>
      <c r="BY144" s="3"/>
      <c r="BZ144" s="4"/>
      <c r="CA144" s="3"/>
      <c r="CB144" s="4"/>
      <c r="CC144" s="3"/>
      <c r="CD144" s="4"/>
    </row>
    <row r="145">
      <c r="A145" s="3"/>
      <c r="B145" s="4"/>
      <c r="C145" s="3"/>
      <c r="D145" s="4"/>
      <c r="E145" s="3"/>
      <c r="F145" s="4"/>
      <c r="G145" s="3"/>
      <c r="H145" s="4"/>
      <c r="I145" s="3"/>
      <c r="J145" s="4"/>
      <c r="K145" s="3"/>
      <c r="L145" s="4"/>
      <c r="M145" s="3"/>
      <c r="N145" s="4"/>
      <c r="O145" s="3"/>
      <c r="P145" s="4"/>
      <c r="Q145" s="3"/>
      <c r="R145" s="4"/>
      <c r="S145" s="3"/>
      <c r="T145" s="4"/>
      <c r="U145" s="3"/>
      <c r="V145" s="4"/>
      <c r="W145" s="3"/>
      <c r="X145" s="4"/>
      <c r="Y145" s="3"/>
      <c r="Z145" s="4"/>
      <c r="AA145" s="3"/>
      <c r="AB145" s="4"/>
      <c r="AC145" s="3"/>
      <c r="AD145" s="4"/>
      <c r="AE145" s="3"/>
      <c r="AF145" s="4"/>
      <c r="AG145" s="3"/>
      <c r="AH145" s="4"/>
      <c r="AI145" s="3"/>
      <c r="AJ145" s="4"/>
      <c r="AK145" s="3"/>
      <c r="AL145" s="4"/>
      <c r="AM145" s="3"/>
      <c r="AN145" s="4"/>
      <c r="AO145" s="3"/>
      <c r="AP145" s="4"/>
      <c r="AQ145" s="3"/>
      <c r="AR145" s="4"/>
      <c r="AS145" s="3"/>
      <c r="AT145" s="4"/>
      <c r="AU145" s="3"/>
      <c r="AV145" s="4"/>
      <c r="AW145" s="3"/>
      <c r="AX145" s="4"/>
      <c r="AY145" s="3"/>
      <c r="AZ145" s="4"/>
      <c r="BA145" s="3"/>
      <c r="BB145" s="4"/>
      <c r="BC145" s="3"/>
      <c r="BD145" s="4"/>
      <c r="BE145" s="3"/>
      <c r="BF145" s="4"/>
      <c r="BG145" s="3"/>
      <c r="BH145" s="4"/>
      <c r="BI145" s="3"/>
      <c r="BJ145" s="4"/>
      <c r="BK145" s="3"/>
      <c r="BL145" s="4"/>
      <c r="BM145" s="3"/>
      <c r="BN145" s="4"/>
      <c r="BO145" s="3"/>
      <c r="BP145" s="4"/>
      <c r="BQ145" s="3"/>
      <c r="BR145" s="4"/>
      <c r="BS145" s="3"/>
      <c r="BT145" s="4"/>
      <c r="BU145" s="3"/>
      <c r="BV145" s="4"/>
      <c r="BW145" s="3"/>
      <c r="BX145" s="4"/>
      <c r="BY145" s="3"/>
      <c r="BZ145" s="4"/>
      <c r="CA145" s="3"/>
      <c r="CB145" s="4"/>
      <c r="CC145" s="3"/>
      <c r="CD145" s="4"/>
    </row>
    <row r="146">
      <c r="A146" s="3"/>
      <c r="B146" s="4"/>
      <c r="C146" s="3"/>
      <c r="D146" s="4"/>
      <c r="E146" s="3"/>
      <c r="F146" s="4"/>
      <c r="G146" s="3"/>
      <c r="H146" s="4"/>
      <c r="I146" s="3"/>
      <c r="J146" s="4"/>
      <c r="K146" s="3"/>
      <c r="L146" s="4"/>
      <c r="M146" s="3"/>
      <c r="N146" s="4"/>
      <c r="O146" s="3"/>
      <c r="P146" s="4"/>
      <c r="Q146" s="3"/>
      <c r="R146" s="4"/>
      <c r="S146" s="3"/>
      <c r="T146" s="4"/>
      <c r="U146" s="3"/>
      <c r="V146" s="4"/>
      <c r="W146" s="3"/>
      <c r="X146" s="4"/>
      <c r="Y146" s="3"/>
      <c r="Z146" s="4"/>
      <c r="AA146" s="3"/>
      <c r="AB146" s="4"/>
      <c r="AC146" s="3"/>
      <c r="AD146" s="4"/>
      <c r="AE146" s="3"/>
      <c r="AF146" s="4"/>
      <c r="AG146" s="3"/>
      <c r="AH146" s="4"/>
      <c r="AI146" s="3"/>
      <c r="AJ146" s="4"/>
      <c r="AK146" s="3"/>
      <c r="AL146" s="4"/>
      <c r="AM146" s="3"/>
      <c r="AN146" s="4"/>
      <c r="AO146" s="3"/>
      <c r="AP146" s="4"/>
      <c r="AQ146" s="3"/>
      <c r="AR146" s="4"/>
      <c r="AS146" s="3"/>
      <c r="AT146" s="4"/>
      <c r="AU146" s="3"/>
      <c r="AV146" s="4"/>
      <c r="AW146" s="3"/>
      <c r="AX146" s="4"/>
      <c r="AY146" s="3"/>
      <c r="AZ146" s="4"/>
      <c r="BA146" s="3"/>
      <c r="BB146" s="4"/>
      <c r="BC146" s="3"/>
      <c r="BD146" s="4"/>
      <c r="BE146" s="3"/>
      <c r="BF146" s="4"/>
      <c r="BG146" s="3"/>
      <c r="BH146" s="4"/>
      <c r="BI146" s="3"/>
      <c r="BJ146" s="4"/>
      <c r="BK146" s="3"/>
      <c r="BL146" s="4"/>
      <c r="BM146" s="3"/>
      <c r="BN146" s="4"/>
      <c r="BO146" s="3"/>
      <c r="BP146" s="4"/>
      <c r="BQ146" s="3"/>
      <c r="BR146" s="4"/>
      <c r="BS146" s="3"/>
      <c r="BT146" s="4"/>
      <c r="BU146" s="3"/>
      <c r="BV146" s="4"/>
      <c r="BW146" s="3"/>
      <c r="BX146" s="4"/>
      <c r="BY146" s="3"/>
      <c r="BZ146" s="4"/>
      <c r="CA146" s="3"/>
      <c r="CB146" s="4"/>
      <c r="CC146" s="3"/>
      <c r="CD146" s="4"/>
    </row>
    <row r="147">
      <c r="A147" s="3"/>
      <c r="B147" s="4"/>
      <c r="C147" s="3"/>
      <c r="D147" s="4"/>
      <c r="E147" s="3"/>
      <c r="F147" s="4"/>
      <c r="G147" s="3"/>
      <c r="H147" s="4"/>
      <c r="I147" s="3"/>
      <c r="J147" s="4"/>
      <c r="K147" s="3"/>
      <c r="L147" s="4"/>
      <c r="M147" s="3"/>
      <c r="N147" s="4"/>
      <c r="O147" s="3"/>
      <c r="P147" s="4"/>
      <c r="Q147" s="3"/>
      <c r="R147" s="4"/>
      <c r="S147" s="3"/>
      <c r="T147" s="4"/>
      <c r="U147" s="3"/>
      <c r="V147" s="4"/>
      <c r="W147" s="3"/>
      <c r="X147" s="4"/>
      <c r="Y147" s="3"/>
      <c r="Z147" s="4"/>
      <c r="AA147" s="3"/>
      <c r="AB147" s="4"/>
      <c r="AC147" s="3"/>
      <c r="AD147" s="4"/>
      <c r="AE147" s="3"/>
      <c r="AF147" s="4"/>
      <c r="AG147" s="3"/>
      <c r="AH147" s="4"/>
      <c r="AI147" s="3"/>
      <c r="AJ147" s="4"/>
      <c r="AK147" s="3"/>
      <c r="AL147" s="4"/>
      <c r="AM147" s="3"/>
      <c r="AN147" s="4"/>
      <c r="AO147" s="3"/>
      <c r="AP147" s="4"/>
      <c r="AQ147" s="3"/>
      <c r="AR147" s="4"/>
      <c r="AS147" s="3"/>
      <c r="AT147" s="4"/>
      <c r="AU147" s="3"/>
      <c r="AV147" s="4"/>
      <c r="AW147" s="3"/>
      <c r="AX147" s="4"/>
      <c r="AY147" s="3"/>
      <c r="AZ147" s="4"/>
      <c r="BA147" s="3"/>
      <c r="BB147" s="4"/>
      <c r="BC147" s="3"/>
      <c r="BD147" s="4"/>
      <c r="BE147" s="3"/>
      <c r="BF147" s="4"/>
      <c r="BG147" s="3"/>
      <c r="BH147" s="4"/>
      <c r="BI147" s="3"/>
      <c r="BJ147" s="4"/>
      <c r="BK147" s="3"/>
      <c r="BL147" s="4"/>
      <c r="BM147" s="3"/>
      <c r="BN147" s="4"/>
      <c r="BO147" s="3"/>
      <c r="BP147" s="4"/>
      <c r="BQ147" s="3"/>
      <c r="BR147" s="4"/>
      <c r="BS147" s="3"/>
      <c r="BT147" s="4"/>
      <c r="BU147" s="3"/>
      <c r="BV147" s="4"/>
      <c r="BW147" s="3"/>
      <c r="BX147" s="4"/>
      <c r="BY147" s="3"/>
      <c r="BZ147" s="4"/>
      <c r="CA147" s="3"/>
      <c r="CB147" s="4"/>
      <c r="CC147" s="3"/>
      <c r="CD147" s="4"/>
    </row>
    <row r="148">
      <c r="A148" s="3"/>
      <c r="B148" s="4"/>
      <c r="C148" s="3"/>
      <c r="D148" s="4"/>
      <c r="E148" s="3"/>
      <c r="F148" s="4"/>
      <c r="G148" s="3"/>
      <c r="H148" s="4"/>
      <c r="I148" s="3"/>
      <c r="J148" s="4"/>
      <c r="K148" s="3"/>
      <c r="L148" s="4"/>
      <c r="M148" s="3"/>
      <c r="N148" s="4"/>
      <c r="O148" s="3"/>
      <c r="P148" s="4"/>
      <c r="Q148" s="3"/>
      <c r="R148" s="4"/>
      <c r="S148" s="3"/>
      <c r="T148" s="4"/>
      <c r="U148" s="3"/>
      <c r="V148" s="4"/>
      <c r="W148" s="3"/>
      <c r="X148" s="4"/>
      <c r="Y148" s="3"/>
      <c r="Z148" s="4"/>
      <c r="AA148" s="3"/>
      <c r="AB148" s="4"/>
      <c r="AC148" s="3"/>
      <c r="AD148" s="4"/>
      <c r="AE148" s="3"/>
      <c r="AF148" s="4"/>
      <c r="AG148" s="3"/>
      <c r="AH148" s="4"/>
      <c r="AI148" s="3"/>
      <c r="AJ148" s="4"/>
      <c r="AK148" s="3"/>
      <c r="AL148" s="4"/>
      <c r="AM148" s="3"/>
      <c r="AN148" s="4"/>
      <c r="AO148" s="3"/>
      <c r="AP148" s="4"/>
      <c r="AQ148" s="3"/>
      <c r="AR148" s="4"/>
      <c r="AS148" s="3"/>
      <c r="AT148" s="4"/>
      <c r="AU148" s="3"/>
      <c r="AV148" s="4"/>
      <c r="AW148" s="3"/>
      <c r="AX148" s="4"/>
      <c r="AY148" s="3"/>
      <c r="AZ148" s="4"/>
      <c r="BA148" s="3"/>
      <c r="BB148" s="4"/>
      <c r="BC148" s="3"/>
      <c r="BD148" s="4"/>
      <c r="BE148" s="3"/>
      <c r="BF148" s="4"/>
      <c r="BG148" s="3"/>
      <c r="BH148" s="4"/>
      <c r="BI148" s="3"/>
      <c r="BJ148" s="4"/>
      <c r="BK148" s="3"/>
      <c r="BL148" s="4"/>
      <c r="BM148" s="3"/>
      <c r="BN148" s="4"/>
      <c r="BO148" s="3"/>
      <c r="BP148" s="4"/>
      <c r="BQ148" s="3"/>
      <c r="BR148" s="4"/>
      <c r="BS148" s="3"/>
      <c r="BT148" s="4"/>
      <c r="BU148" s="3"/>
      <c r="BV148" s="4"/>
      <c r="BW148" s="3"/>
      <c r="BX148" s="4"/>
      <c r="BY148" s="3"/>
      <c r="BZ148" s="4"/>
      <c r="CA148" s="3"/>
      <c r="CB148" s="4"/>
      <c r="CC148" s="3"/>
      <c r="CD148" s="4"/>
    </row>
    <row r="149">
      <c r="A149" s="3"/>
      <c r="B149" s="4"/>
      <c r="C149" s="3"/>
      <c r="D149" s="4"/>
      <c r="E149" s="3"/>
      <c r="F149" s="4"/>
      <c r="G149" s="3"/>
      <c r="H149" s="4"/>
      <c r="I149" s="3"/>
      <c r="J149" s="4"/>
      <c r="K149" s="3"/>
      <c r="L149" s="4"/>
      <c r="M149" s="3"/>
      <c r="N149" s="4"/>
      <c r="O149" s="3"/>
      <c r="P149" s="4"/>
      <c r="Q149" s="3"/>
      <c r="R149" s="4"/>
      <c r="S149" s="3"/>
      <c r="T149" s="4"/>
      <c r="U149" s="3"/>
      <c r="V149" s="4"/>
      <c r="W149" s="3"/>
      <c r="X149" s="4"/>
      <c r="Y149" s="3"/>
      <c r="Z149" s="4"/>
      <c r="AA149" s="3"/>
      <c r="AB149" s="4"/>
      <c r="AC149" s="3"/>
      <c r="AD149" s="4"/>
      <c r="AE149" s="3"/>
      <c r="AF149" s="4"/>
      <c r="AG149" s="3"/>
      <c r="AH149" s="4"/>
      <c r="AI149" s="3"/>
      <c r="AJ149" s="4"/>
      <c r="AK149" s="3"/>
      <c r="AL149" s="4"/>
      <c r="AM149" s="3"/>
      <c r="AN149" s="4"/>
      <c r="AO149" s="3"/>
      <c r="AP149" s="4"/>
      <c r="AQ149" s="3"/>
      <c r="AR149" s="4"/>
      <c r="AS149" s="3"/>
      <c r="AT149" s="4"/>
      <c r="AU149" s="3"/>
      <c r="AV149" s="4"/>
      <c r="AW149" s="3"/>
      <c r="AX149" s="4"/>
      <c r="AY149" s="3"/>
      <c r="AZ149" s="4"/>
      <c r="BA149" s="3"/>
      <c r="BB149" s="4"/>
      <c r="BC149" s="3"/>
      <c r="BD149" s="4"/>
      <c r="BE149" s="3"/>
      <c r="BF149" s="4"/>
      <c r="BG149" s="3"/>
      <c r="BH149" s="4"/>
      <c r="BI149" s="3"/>
      <c r="BJ149" s="4"/>
      <c r="BK149" s="3"/>
      <c r="BL149" s="4"/>
      <c r="BM149" s="3"/>
      <c r="BN149" s="4"/>
      <c r="BO149" s="3"/>
      <c r="BP149" s="4"/>
      <c r="BQ149" s="3"/>
      <c r="BR149" s="4"/>
      <c r="BS149" s="3"/>
      <c r="BT149" s="4"/>
      <c r="BU149" s="3"/>
      <c r="BV149" s="4"/>
      <c r="BW149" s="3"/>
      <c r="BX149" s="4"/>
      <c r="BY149" s="3"/>
      <c r="BZ149" s="4"/>
      <c r="CA149" s="3"/>
      <c r="CB149" s="4"/>
      <c r="CC149" s="3"/>
      <c r="CD149" s="4"/>
    </row>
    <row r="150">
      <c r="A150" s="3"/>
      <c r="B150" s="4"/>
      <c r="C150" s="3"/>
      <c r="D150" s="4"/>
      <c r="E150" s="3"/>
      <c r="F150" s="4"/>
      <c r="G150" s="3"/>
      <c r="H150" s="4"/>
      <c r="I150" s="3"/>
      <c r="J150" s="4"/>
      <c r="K150" s="3"/>
      <c r="L150" s="4"/>
      <c r="M150" s="3"/>
      <c r="N150" s="4"/>
      <c r="O150" s="3"/>
      <c r="P150" s="4"/>
      <c r="Q150" s="3"/>
      <c r="R150" s="4"/>
      <c r="S150" s="3"/>
      <c r="T150" s="4"/>
      <c r="U150" s="3"/>
      <c r="V150" s="4"/>
      <c r="W150" s="3"/>
      <c r="X150" s="4"/>
      <c r="Y150" s="3"/>
      <c r="Z150" s="4"/>
      <c r="AA150" s="3"/>
      <c r="AB150" s="4"/>
      <c r="AC150" s="3"/>
      <c r="AD150" s="4"/>
      <c r="AE150" s="3"/>
      <c r="AF150" s="4"/>
      <c r="AG150" s="3"/>
      <c r="AH150" s="4"/>
      <c r="AI150" s="3"/>
      <c r="AJ150" s="4"/>
      <c r="AK150" s="3"/>
      <c r="AL150" s="4"/>
      <c r="AM150" s="3"/>
      <c r="AN150" s="4"/>
      <c r="AO150" s="3"/>
      <c r="AP150" s="4"/>
      <c r="AQ150" s="3"/>
      <c r="AR150" s="4"/>
      <c r="AS150" s="3"/>
      <c r="AT150" s="4"/>
      <c r="AU150" s="3"/>
      <c r="AV150" s="4"/>
      <c r="AW150" s="3"/>
      <c r="AX150" s="4"/>
      <c r="AY150" s="3"/>
      <c r="AZ150" s="4"/>
      <c r="BA150" s="3"/>
      <c r="BB150" s="4"/>
      <c r="BC150" s="3"/>
      <c r="BD150" s="4"/>
      <c r="BE150" s="3"/>
      <c r="BF150" s="4"/>
      <c r="BG150" s="3"/>
      <c r="BH150" s="4"/>
      <c r="BI150" s="3"/>
      <c r="BJ150" s="4"/>
      <c r="BK150" s="3"/>
      <c r="BL150" s="4"/>
      <c r="BM150" s="3"/>
      <c r="BN150" s="4"/>
      <c r="BO150" s="3"/>
      <c r="BP150" s="4"/>
      <c r="BQ150" s="3"/>
      <c r="BR150" s="4"/>
      <c r="BS150" s="3"/>
      <c r="BT150" s="4"/>
      <c r="BU150" s="3"/>
      <c r="BV150" s="4"/>
      <c r="BW150" s="3"/>
      <c r="BX150" s="4"/>
      <c r="BY150" s="3"/>
      <c r="BZ150" s="4"/>
      <c r="CA150" s="3"/>
      <c r="CB150" s="4"/>
      <c r="CC150" s="3"/>
      <c r="CD150" s="4"/>
    </row>
    <row r="151">
      <c r="A151" s="3"/>
      <c r="B151" s="4"/>
      <c r="C151" s="3"/>
      <c r="D151" s="4"/>
      <c r="E151" s="3"/>
      <c r="F151" s="4"/>
      <c r="G151" s="3"/>
      <c r="H151" s="4"/>
      <c r="I151" s="3"/>
      <c r="J151" s="4"/>
      <c r="K151" s="3"/>
      <c r="L151" s="4"/>
      <c r="M151" s="3"/>
      <c r="N151" s="4"/>
      <c r="O151" s="3"/>
      <c r="P151" s="4"/>
      <c r="Q151" s="3"/>
      <c r="R151" s="4"/>
      <c r="S151" s="3"/>
      <c r="T151" s="4"/>
      <c r="U151" s="3"/>
      <c r="V151" s="4"/>
      <c r="W151" s="3"/>
      <c r="X151" s="4"/>
      <c r="Y151" s="3"/>
      <c r="Z151" s="4"/>
      <c r="AA151" s="3"/>
      <c r="AB151" s="4"/>
      <c r="AC151" s="3"/>
      <c r="AD151" s="4"/>
      <c r="AE151" s="3"/>
      <c r="AF151" s="4"/>
      <c r="AG151" s="3"/>
      <c r="AH151" s="4"/>
      <c r="AI151" s="3"/>
      <c r="AJ151" s="4"/>
      <c r="AK151" s="3"/>
      <c r="AL151" s="4"/>
      <c r="AM151" s="3"/>
      <c r="AN151" s="4"/>
      <c r="AO151" s="3"/>
      <c r="AP151" s="4"/>
      <c r="AQ151" s="3"/>
      <c r="AR151" s="4"/>
      <c r="AS151" s="3"/>
      <c r="AT151" s="4"/>
      <c r="AU151" s="3"/>
      <c r="AV151" s="4"/>
      <c r="AW151" s="3"/>
      <c r="AX151" s="4"/>
      <c r="AY151" s="3"/>
      <c r="AZ151" s="4"/>
      <c r="BA151" s="3"/>
      <c r="BB151" s="4"/>
      <c r="BC151" s="3"/>
      <c r="BD151" s="4"/>
      <c r="BE151" s="3"/>
      <c r="BF151" s="4"/>
      <c r="BG151" s="3"/>
      <c r="BH151" s="4"/>
      <c r="BI151" s="3"/>
      <c r="BJ151" s="4"/>
      <c r="BK151" s="3"/>
      <c r="BL151" s="4"/>
      <c r="BM151" s="3"/>
      <c r="BN151" s="4"/>
      <c r="BO151" s="3"/>
      <c r="BP151" s="4"/>
      <c r="BQ151" s="3"/>
      <c r="BR151" s="4"/>
      <c r="BS151" s="3"/>
      <c r="BT151" s="4"/>
      <c r="BU151" s="3"/>
      <c r="BV151" s="4"/>
      <c r="BW151" s="3"/>
      <c r="BX151" s="4"/>
      <c r="BY151" s="3"/>
      <c r="BZ151" s="4"/>
      <c r="CA151" s="3"/>
      <c r="CB151" s="4"/>
      <c r="CC151" s="3"/>
      <c r="CD151" s="4"/>
    </row>
    <row r="152">
      <c r="A152" s="3"/>
      <c r="B152" s="4"/>
      <c r="C152" s="3"/>
      <c r="D152" s="4"/>
      <c r="E152" s="3"/>
      <c r="F152" s="4"/>
      <c r="G152" s="3"/>
      <c r="H152" s="4"/>
      <c r="I152" s="3"/>
      <c r="J152" s="4"/>
      <c r="K152" s="3"/>
      <c r="L152" s="4"/>
      <c r="M152" s="3"/>
      <c r="N152" s="4"/>
      <c r="O152" s="3"/>
      <c r="P152" s="4"/>
      <c r="Q152" s="3"/>
      <c r="R152" s="4"/>
      <c r="S152" s="3"/>
      <c r="T152" s="4"/>
      <c r="U152" s="3"/>
      <c r="V152" s="4"/>
      <c r="W152" s="3"/>
      <c r="X152" s="4"/>
      <c r="Y152" s="3"/>
      <c r="Z152" s="4"/>
      <c r="AA152" s="3"/>
      <c r="AB152" s="4"/>
      <c r="AC152" s="3"/>
      <c r="AD152" s="4"/>
      <c r="AE152" s="3"/>
      <c r="AF152" s="4"/>
      <c r="AG152" s="3"/>
      <c r="AH152" s="4"/>
      <c r="AI152" s="3"/>
      <c r="AJ152" s="4"/>
      <c r="AK152" s="3"/>
      <c r="AL152" s="4"/>
      <c r="AM152" s="3"/>
      <c r="AN152" s="4"/>
      <c r="AO152" s="3"/>
      <c r="AP152" s="4"/>
      <c r="AQ152" s="3"/>
      <c r="AR152" s="4"/>
      <c r="AS152" s="3"/>
      <c r="AT152" s="4"/>
      <c r="AU152" s="3"/>
      <c r="AV152" s="4"/>
      <c r="AW152" s="3"/>
      <c r="AX152" s="4"/>
      <c r="AY152" s="3"/>
      <c r="AZ152" s="4"/>
      <c r="BA152" s="3"/>
      <c r="BB152" s="4"/>
      <c r="BC152" s="3"/>
      <c r="BD152" s="4"/>
      <c r="BE152" s="3"/>
      <c r="BF152" s="4"/>
      <c r="BG152" s="3"/>
      <c r="BH152" s="4"/>
      <c r="BI152" s="3"/>
      <c r="BJ152" s="4"/>
      <c r="BK152" s="3"/>
      <c r="BL152" s="4"/>
      <c r="BM152" s="3"/>
      <c r="BN152" s="4"/>
      <c r="BO152" s="3"/>
      <c r="BP152" s="4"/>
      <c r="BQ152" s="3"/>
      <c r="BR152" s="4"/>
      <c r="BS152" s="3"/>
      <c r="BT152" s="4"/>
      <c r="BU152" s="3"/>
      <c r="BV152" s="4"/>
      <c r="BW152" s="3"/>
      <c r="BX152" s="4"/>
      <c r="BY152" s="3"/>
      <c r="BZ152" s="4"/>
      <c r="CA152" s="3"/>
      <c r="CB152" s="4"/>
      <c r="CC152" s="3"/>
      <c r="CD152" s="4"/>
    </row>
    <row r="153">
      <c r="A153" s="3"/>
      <c r="B153" s="4"/>
      <c r="C153" s="3"/>
      <c r="D153" s="4"/>
      <c r="E153" s="3"/>
      <c r="F153" s="4"/>
      <c r="G153" s="3"/>
      <c r="H153" s="4"/>
      <c r="I153" s="3"/>
      <c r="J153" s="4"/>
      <c r="K153" s="3"/>
      <c r="L153" s="4"/>
      <c r="M153" s="3"/>
      <c r="N153" s="4"/>
      <c r="O153" s="3"/>
      <c r="P153" s="4"/>
      <c r="Q153" s="3"/>
      <c r="R153" s="4"/>
      <c r="S153" s="3"/>
      <c r="T153" s="4"/>
      <c r="U153" s="3"/>
      <c r="V153" s="4"/>
      <c r="W153" s="3"/>
      <c r="X153" s="4"/>
      <c r="Y153" s="3"/>
      <c r="Z153" s="4"/>
      <c r="AA153" s="3"/>
      <c r="AB153" s="4"/>
      <c r="AC153" s="3"/>
      <c r="AD153" s="4"/>
      <c r="AE153" s="3"/>
      <c r="AF153" s="4"/>
      <c r="AG153" s="3"/>
      <c r="AH153" s="4"/>
      <c r="AI153" s="3"/>
      <c r="AJ153" s="4"/>
      <c r="AK153" s="3"/>
      <c r="AL153" s="4"/>
      <c r="AM153" s="3"/>
      <c r="AN153" s="4"/>
      <c r="AO153" s="3"/>
      <c r="AP153" s="4"/>
      <c r="AQ153" s="3"/>
      <c r="AR153" s="4"/>
      <c r="AS153" s="3"/>
      <c r="AT153" s="4"/>
      <c r="AU153" s="3"/>
      <c r="AV153" s="4"/>
      <c r="AW153" s="3"/>
      <c r="AX153" s="4"/>
      <c r="AY153" s="3"/>
      <c r="AZ153" s="4"/>
      <c r="BA153" s="3"/>
      <c r="BB153" s="4"/>
      <c r="BC153" s="3"/>
      <c r="BD153" s="4"/>
      <c r="BE153" s="3"/>
      <c r="BF153" s="4"/>
      <c r="BG153" s="3"/>
      <c r="BH153" s="4"/>
      <c r="BI153" s="3"/>
      <c r="BJ153" s="4"/>
      <c r="BK153" s="3"/>
      <c r="BL153" s="4"/>
      <c r="BM153" s="3"/>
      <c r="BN153" s="4"/>
      <c r="BO153" s="3"/>
      <c r="BP153" s="4"/>
      <c r="BQ153" s="3"/>
      <c r="BR153" s="4"/>
      <c r="BS153" s="3"/>
      <c r="BT153" s="4"/>
      <c r="BU153" s="3"/>
      <c r="BV153" s="4"/>
      <c r="BW153" s="3"/>
      <c r="BX153" s="4"/>
      <c r="BY153" s="3"/>
      <c r="BZ153" s="4"/>
      <c r="CA153" s="3"/>
      <c r="CB153" s="4"/>
      <c r="CC153" s="3"/>
      <c r="CD153" s="4"/>
    </row>
    <row r="154">
      <c r="A154" s="3"/>
      <c r="B154" s="4"/>
      <c r="C154" s="3"/>
      <c r="D154" s="4"/>
      <c r="E154" s="3"/>
      <c r="F154" s="4"/>
      <c r="G154" s="3"/>
      <c r="H154" s="4"/>
      <c r="I154" s="3"/>
      <c r="J154" s="4"/>
      <c r="K154" s="3"/>
      <c r="L154" s="4"/>
      <c r="M154" s="3"/>
      <c r="N154" s="4"/>
      <c r="O154" s="3"/>
      <c r="P154" s="4"/>
      <c r="Q154" s="3"/>
      <c r="R154" s="4"/>
      <c r="S154" s="3"/>
      <c r="T154" s="4"/>
      <c r="U154" s="3"/>
      <c r="V154" s="4"/>
      <c r="W154" s="3"/>
      <c r="X154" s="4"/>
      <c r="Y154" s="3"/>
      <c r="Z154" s="4"/>
      <c r="AA154" s="3"/>
      <c r="AB154" s="4"/>
      <c r="AC154" s="3"/>
      <c r="AD154" s="4"/>
      <c r="AE154" s="3"/>
      <c r="AF154" s="4"/>
      <c r="AG154" s="3"/>
      <c r="AH154" s="4"/>
      <c r="AI154" s="3"/>
      <c r="AJ154" s="4"/>
      <c r="AK154" s="3"/>
      <c r="AL154" s="4"/>
      <c r="AM154" s="3"/>
      <c r="AN154" s="4"/>
      <c r="AO154" s="3"/>
      <c r="AP154" s="4"/>
      <c r="AQ154" s="3"/>
      <c r="AR154" s="4"/>
      <c r="AS154" s="3"/>
      <c r="AT154" s="4"/>
      <c r="AU154" s="3"/>
      <c r="AV154" s="4"/>
      <c r="AW154" s="3"/>
      <c r="AX154" s="4"/>
      <c r="AY154" s="3"/>
      <c r="AZ154" s="4"/>
      <c r="BA154" s="3"/>
      <c r="BB154" s="4"/>
      <c r="BC154" s="3"/>
      <c r="BD154" s="4"/>
      <c r="BE154" s="3"/>
      <c r="BF154" s="4"/>
      <c r="BG154" s="3"/>
      <c r="BH154" s="4"/>
      <c r="BI154" s="3"/>
      <c r="BJ154" s="4"/>
      <c r="BK154" s="3"/>
      <c r="BL154" s="4"/>
      <c r="BM154" s="3"/>
      <c r="BN154" s="4"/>
      <c r="BO154" s="3"/>
      <c r="BP154" s="4"/>
      <c r="BQ154" s="3"/>
      <c r="BR154" s="4"/>
      <c r="BS154" s="3"/>
      <c r="BT154" s="4"/>
      <c r="BU154" s="3"/>
      <c r="BV154" s="4"/>
      <c r="BW154" s="3"/>
      <c r="BX154" s="4"/>
      <c r="BY154" s="3"/>
      <c r="BZ154" s="4"/>
      <c r="CA154" s="3"/>
      <c r="CB154" s="4"/>
      <c r="CC154" s="3"/>
      <c r="CD154" s="4"/>
    </row>
    <row r="155">
      <c r="A155" s="3"/>
      <c r="B155" s="4"/>
      <c r="C155" s="3"/>
      <c r="D155" s="4"/>
      <c r="E155" s="3"/>
      <c r="F155" s="4"/>
      <c r="G155" s="3"/>
      <c r="H155" s="4"/>
      <c r="I155" s="3"/>
      <c r="J155" s="4"/>
      <c r="K155" s="3"/>
      <c r="L155" s="4"/>
      <c r="M155" s="3"/>
      <c r="N155" s="4"/>
      <c r="O155" s="3"/>
      <c r="P155" s="4"/>
      <c r="Q155" s="3"/>
      <c r="R155" s="4"/>
      <c r="S155" s="3"/>
      <c r="T155" s="4"/>
      <c r="U155" s="3"/>
      <c r="V155" s="4"/>
      <c r="W155" s="3"/>
      <c r="X155" s="4"/>
      <c r="Y155" s="3"/>
      <c r="Z155" s="4"/>
      <c r="AA155" s="3"/>
      <c r="AB155" s="4"/>
      <c r="AC155" s="3"/>
      <c r="AD155" s="4"/>
      <c r="AE155" s="3"/>
      <c r="AF155" s="4"/>
      <c r="AG155" s="3"/>
      <c r="AH155" s="4"/>
      <c r="AI155" s="3"/>
      <c r="AJ155" s="4"/>
      <c r="AK155" s="3"/>
      <c r="AL155" s="4"/>
      <c r="AM155" s="3"/>
      <c r="AN155" s="4"/>
      <c r="AO155" s="3"/>
      <c r="AP155" s="4"/>
      <c r="AQ155" s="3"/>
      <c r="AR155" s="4"/>
      <c r="AS155" s="3"/>
      <c r="AT155" s="4"/>
      <c r="AU155" s="3"/>
      <c r="AV155" s="4"/>
      <c r="AW155" s="3"/>
      <c r="AX155" s="4"/>
      <c r="AY155" s="3"/>
      <c r="AZ155" s="4"/>
      <c r="BA155" s="3"/>
      <c r="BB155" s="4"/>
      <c r="BC155" s="3"/>
      <c r="BD155" s="4"/>
      <c r="BE155" s="3"/>
      <c r="BF155" s="4"/>
      <c r="BG155" s="3"/>
      <c r="BH155" s="4"/>
      <c r="BI155" s="3"/>
      <c r="BJ155" s="4"/>
      <c r="BK155" s="3"/>
      <c r="BL155" s="4"/>
      <c r="BM155" s="3"/>
      <c r="BN155" s="4"/>
      <c r="BO155" s="3"/>
      <c r="BP155" s="4"/>
      <c r="BQ155" s="3"/>
      <c r="BR155" s="4"/>
      <c r="BS155" s="3"/>
      <c r="BT155" s="4"/>
      <c r="BU155" s="3"/>
      <c r="BV155" s="4"/>
      <c r="BW155" s="3"/>
      <c r="BX155" s="4"/>
      <c r="BY155" s="3"/>
      <c r="BZ155" s="4"/>
      <c r="CA155" s="3"/>
      <c r="CB155" s="4"/>
      <c r="CC155" s="3"/>
      <c r="CD155" s="4"/>
    </row>
    <row r="156">
      <c r="A156" s="3"/>
      <c r="B156" s="4"/>
      <c r="C156" s="3"/>
      <c r="D156" s="4"/>
      <c r="E156" s="3"/>
      <c r="F156" s="4"/>
      <c r="G156" s="3"/>
      <c r="H156" s="4"/>
      <c r="I156" s="3"/>
      <c r="J156" s="4"/>
      <c r="K156" s="3"/>
      <c r="L156" s="4"/>
      <c r="M156" s="3"/>
      <c r="N156" s="4"/>
      <c r="O156" s="3"/>
      <c r="P156" s="4"/>
      <c r="Q156" s="3"/>
      <c r="R156" s="4"/>
      <c r="S156" s="3"/>
      <c r="T156" s="4"/>
      <c r="U156" s="3"/>
      <c r="V156" s="4"/>
      <c r="W156" s="3"/>
      <c r="X156" s="4"/>
      <c r="Y156" s="3"/>
      <c r="Z156" s="4"/>
      <c r="AA156" s="3"/>
      <c r="AB156" s="4"/>
      <c r="AC156" s="3"/>
      <c r="AD156" s="4"/>
      <c r="AE156" s="3"/>
      <c r="AF156" s="4"/>
      <c r="AG156" s="3"/>
      <c r="AH156" s="4"/>
      <c r="AI156" s="3"/>
      <c r="AJ156" s="4"/>
      <c r="AK156" s="3"/>
      <c r="AL156" s="4"/>
      <c r="AM156" s="3"/>
      <c r="AN156" s="4"/>
      <c r="AO156" s="3"/>
      <c r="AP156" s="4"/>
      <c r="AQ156" s="3"/>
      <c r="AR156" s="4"/>
      <c r="AS156" s="3"/>
      <c r="AT156" s="4"/>
      <c r="AU156" s="3"/>
      <c r="AV156" s="4"/>
      <c r="AW156" s="3"/>
      <c r="AX156" s="4"/>
      <c r="AY156" s="3"/>
      <c r="AZ156" s="4"/>
      <c r="BA156" s="3"/>
      <c r="BB156" s="4"/>
      <c r="BC156" s="3"/>
      <c r="BD156" s="4"/>
      <c r="BE156" s="3"/>
      <c r="BF156" s="4"/>
      <c r="BG156" s="3"/>
      <c r="BH156" s="4"/>
      <c r="BI156" s="3"/>
      <c r="BJ156" s="4"/>
      <c r="BK156" s="3"/>
      <c r="BL156" s="4"/>
      <c r="BM156" s="3"/>
      <c r="BN156" s="4"/>
      <c r="BO156" s="3"/>
      <c r="BP156" s="4"/>
      <c r="BQ156" s="3"/>
      <c r="BR156" s="4"/>
      <c r="BS156" s="3"/>
      <c r="BT156" s="4"/>
      <c r="BU156" s="3"/>
      <c r="BV156" s="4"/>
      <c r="BW156" s="3"/>
      <c r="BX156" s="4"/>
      <c r="BY156" s="3"/>
      <c r="BZ156" s="4"/>
      <c r="CA156" s="3"/>
      <c r="CB156" s="4"/>
      <c r="CC156" s="3"/>
      <c r="CD156" s="4"/>
    </row>
    <row r="157">
      <c r="A157" s="3"/>
      <c r="B157" s="4"/>
      <c r="C157" s="3"/>
      <c r="D157" s="4"/>
      <c r="E157" s="3"/>
      <c r="F157" s="4"/>
      <c r="G157" s="3"/>
      <c r="H157" s="4"/>
      <c r="I157" s="3"/>
      <c r="J157" s="4"/>
      <c r="K157" s="3"/>
      <c r="L157" s="4"/>
      <c r="M157" s="3"/>
      <c r="N157" s="4"/>
      <c r="O157" s="3"/>
      <c r="P157" s="4"/>
      <c r="Q157" s="3"/>
      <c r="R157" s="4"/>
      <c r="S157" s="3"/>
      <c r="T157" s="4"/>
      <c r="U157" s="3"/>
      <c r="V157" s="4"/>
      <c r="W157" s="3"/>
      <c r="X157" s="4"/>
      <c r="Y157" s="3"/>
      <c r="Z157" s="4"/>
      <c r="AA157" s="3"/>
      <c r="AB157" s="4"/>
      <c r="AC157" s="3"/>
      <c r="AD157" s="4"/>
      <c r="AE157" s="3"/>
      <c r="AF157" s="4"/>
      <c r="AG157" s="3"/>
      <c r="AH157" s="4"/>
      <c r="AI157" s="3"/>
      <c r="AJ157" s="4"/>
      <c r="AK157" s="3"/>
      <c r="AL157" s="4"/>
      <c r="AM157" s="3"/>
      <c r="AN157" s="4"/>
      <c r="AO157" s="3"/>
      <c r="AP157" s="4"/>
      <c r="AQ157" s="3"/>
      <c r="AR157" s="4"/>
      <c r="AS157" s="3"/>
      <c r="AT157" s="4"/>
      <c r="AU157" s="3"/>
      <c r="AV157" s="4"/>
      <c r="AW157" s="3"/>
      <c r="AX157" s="4"/>
      <c r="AY157" s="3"/>
      <c r="AZ157" s="4"/>
      <c r="BA157" s="3"/>
      <c r="BB157" s="4"/>
      <c r="BC157" s="3"/>
      <c r="BD157" s="4"/>
      <c r="BE157" s="3"/>
      <c r="BF157" s="4"/>
      <c r="BG157" s="3"/>
      <c r="BH157" s="4"/>
      <c r="BI157" s="3"/>
      <c r="BJ157" s="4"/>
      <c r="BK157" s="3"/>
      <c r="BL157" s="4"/>
      <c r="BM157" s="3"/>
      <c r="BN157" s="4"/>
      <c r="BO157" s="3"/>
      <c r="BP157" s="4"/>
      <c r="BQ157" s="3"/>
      <c r="BR157" s="4"/>
      <c r="BS157" s="3"/>
      <c r="BT157" s="4"/>
      <c r="BU157" s="3"/>
      <c r="BV157" s="4"/>
      <c r="BW157" s="3"/>
      <c r="BX157" s="4"/>
      <c r="BY157" s="3"/>
      <c r="BZ157" s="4"/>
      <c r="CA157" s="3"/>
      <c r="CB157" s="4"/>
      <c r="CC157" s="3"/>
      <c r="CD157" s="4"/>
    </row>
    <row r="158">
      <c r="A158" s="3"/>
      <c r="B158" s="4"/>
      <c r="C158" s="3"/>
      <c r="D158" s="4"/>
      <c r="E158" s="3"/>
      <c r="F158" s="4"/>
      <c r="G158" s="3"/>
      <c r="H158" s="4"/>
      <c r="I158" s="3"/>
      <c r="J158" s="4"/>
      <c r="K158" s="3"/>
      <c r="L158" s="4"/>
      <c r="M158" s="3"/>
      <c r="N158" s="4"/>
      <c r="O158" s="3"/>
      <c r="P158" s="4"/>
      <c r="Q158" s="3"/>
      <c r="R158" s="4"/>
      <c r="S158" s="3"/>
      <c r="T158" s="4"/>
      <c r="U158" s="3"/>
      <c r="V158" s="4"/>
      <c r="W158" s="3"/>
      <c r="X158" s="4"/>
      <c r="Y158" s="3"/>
      <c r="Z158" s="4"/>
      <c r="AA158" s="3"/>
      <c r="AB158" s="4"/>
      <c r="AC158" s="3"/>
      <c r="AD158" s="4"/>
      <c r="AE158" s="3"/>
      <c r="AF158" s="4"/>
      <c r="AG158" s="3"/>
      <c r="AH158" s="4"/>
      <c r="AI158" s="3"/>
      <c r="AJ158" s="4"/>
      <c r="AK158" s="3"/>
      <c r="AL158" s="4"/>
      <c r="AM158" s="3"/>
      <c r="AN158" s="4"/>
      <c r="AO158" s="3"/>
      <c r="AP158" s="4"/>
      <c r="AQ158" s="3"/>
      <c r="AR158" s="4"/>
      <c r="AS158" s="3"/>
      <c r="AT158" s="4"/>
      <c r="AU158" s="3"/>
      <c r="AV158" s="4"/>
      <c r="AW158" s="3"/>
      <c r="AX158" s="4"/>
      <c r="AY158" s="3"/>
      <c r="AZ158" s="4"/>
      <c r="BA158" s="3"/>
      <c r="BB158" s="4"/>
      <c r="BC158" s="3"/>
      <c r="BD158" s="4"/>
      <c r="BE158" s="3"/>
      <c r="BF158" s="4"/>
      <c r="BG158" s="3"/>
      <c r="BH158" s="4"/>
      <c r="BI158" s="3"/>
      <c r="BJ158" s="4"/>
      <c r="BK158" s="3"/>
      <c r="BL158" s="4"/>
      <c r="BM158" s="3"/>
      <c r="BN158" s="4"/>
      <c r="BO158" s="3"/>
      <c r="BP158" s="4"/>
      <c r="BQ158" s="3"/>
      <c r="BR158" s="4"/>
      <c r="BS158" s="3"/>
      <c r="BT158" s="4"/>
      <c r="BU158" s="3"/>
      <c r="BV158" s="4"/>
      <c r="BW158" s="3"/>
      <c r="BX158" s="4"/>
      <c r="BY158" s="3"/>
      <c r="BZ158" s="4"/>
      <c r="CA158" s="3"/>
      <c r="CB158" s="4"/>
      <c r="CC158" s="3"/>
      <c r="CD158" s="4"/>
    </row>
    <row r="159">
      <c r="A159" s="3"/>
      <c r="B159" s="4"/>
      <c r="C159" s="3"/>
      <c r="D159" s="4"/>
      <c r="E159" s="3"/>
      <c r="F159" s="4"/>
      <c r="G159" s="3"/>
      <c r="H159" s="4"/>
      <c r="I159" s="3"/>
      <c r="J159" s="4"/>
      <c r="K159" s="3"/>
      <c r="L159" s="4"/>
      <c r="M159" s="3"/>
      <c r="N159" s="4"/>
      <c r="O159" s="3"/>
      <c r="P159" s="4"/>
      <c r="Q159" s="3"/>
      <c r="R159" s="4"/>
      <c r="S159" s="3"/>
      <c r="T159" s="4"/>
      <c r="U159" s="3"/>
      <c r="V159" s="4"/>
      <c r="W159" s="3"/>
      <c r="X159" s="4"/>
      <c r="Y159" s="3"/>
      <c r="Z159" s="4"/>
      <c r="AA159" s="3"/>
      <c r="AB159" s="4"/>
      <c r="AC159" s="3"/>
      <c r="AD159" s="4"/>
      <c r="AE159" s="3"/>
      <c r="AF159" s="4"/>
      <c r="AG159" s="3"/>
      <c r="AH159" s="4"/>
      <c r="AI159" s="3"/>
      <c r="AJ159" s="4"/>
      <c r="AK159" s="3"/>
      <c r="AL159" s="4"/>
      <c r="AM159" s="3"/>
      <c r="AN159" s="4"/>
      <c r="AO159" s="3"/>
      <c r="AP159" s="4"/>
      <c r="AQ159" s="3"/>
      <c r="AR159" s="4"/>
      <c r="AS159" s="3"/>
      <c r="AT159" s="4"/>
      <c r="AU159" s="3"/>
      <c r="AV159" s="4"/>
      <c r="AW159" s="3"/>
      <c r="AX159" s="4"/>
      <c r="AY159" s="3"/>
      <c r="AZ159" s="4"/>
      <c r="BA159" s="3"/>
      <c r="BB159" s="4"/>
      <c r="BC159" s="3"/>
      <c r="BD159" s="4"/>
      <c r="BE159" s="3"/>
      <c r="BF159" s="4"/>
      <c r="BG159" s="3"/>
      <c r="BH159" s="4"/>
      <c r="BI159" s="3"/>
      <c r="BJ159" s="4"/>
      <c r="BK159" s="3"/>
      <c r="BL159" s="4"/>
      <c r="BM159" s="3"/>
      <c r="BN159" s="4"/>
      <c r="BO159" s="3"/>
      <c r="BP159" s="4"/>
      <c r="BQ159" s="3"/>
      <c r="BR159" s="4"/>
      <c r="BS159" s="3"/>
      <c r="BT159" s="4"/>
      <c r="BU159" s="3"/>
      <c r="BV159" s="4"/>
      <c r="BW159" s="3"/>
      <c r="BX159" s="4"/>
      <c r="BY159" s="3"/>
      <c r="BZ159" s="4"/>
      <c r="CA159" s="3"/>
      <c r="CB159" s="4"/>
      <c r="CC159" s="3"/>
      <c r="CD159" s="4"/>
    </row>
    <row r="160">
      <c r="A160" s="3"/>
      <c r="B160" s="4"/>
      <c r="C160" s="3"/>
      <c r="D160" s="4"/>
      <c r="E160" s="3"/>
      <c r="F160" s="4"/>
      <c r="G160" s="3"/>
      <c r="H160" s="4"/>
      <c r="I160" s="3"/>
      <c r="J160" s="4"/>
      <c r="K160" s="3"/>
      <c r="L160" s="4"/>
      <c r="M160" s="3"/>
      <c r="N160" s="4"/>
      <c r="O160" s="3"/>
      <c r="P160" s="4"/>
      <c r="Q160" s="3"/>
      <c r="R160" s="4"/>
      <c r="S160" s="3"/>
      <c r="T160" s="4"/>
      <c r="U160" s="3"/>
      <c r="V160" s="4"/>
      <c r="W160" s="3"/>
      <c r="X160" s="4"/>
      <c r="Y160" s="3"/>
      <c r="Z160" s="4"/>
      <c r="AA160" s="3"/>
      <c r="AB160" s="4"/>
      <c r="AC160" s="3"/>
      <c r="AD160" s="4"/>
      <c r="AE160" s="3"/>
      <c r="AF160" s="4"/>
      <c r="AG160" s="3"/>
      <c r="AH160" s="4"/>
      <c r="AI160" s="3"/>
      <c r="AJ160" s="4"/>
      <c r="AK160" s="3"/>
      <c r="AL160" s="4"/>
      <c r="AM160" s="3"/>
      <c r="AN160" s="4"/>
      <c r="AO160" s="3"/>
      <c r="AP160" s="4"/>
      <c r="AQ160" s="3"/>
      <c r="AR160" s="4"/>
      <c r="AS160" s="3"/>
      <c r="AT160" s="4"/>
      <c r="AU160" s="3"/>
      <c r="AV160" s="4"/>
      <c r="AW160" s="3"/>
      <c r="AX160" s="4"/>
      <c r="AY160" s="3"/>
      <c r="AZ160" s="4"/>
      <c r="BA160" s="3"/>
      <c r="BB160" s="4"/>
      <c r="BC160" s="3"/>
      <c r="BD160" s="4"/>
      <c r="BE160" s="3"/>
      <c r="BF160" s="4"/>
      <c r="BG160" s="3"/>
      <c r="BH160" s="4"/>
      <c r="BI160" s="3"/>
      <c r="BJ160" s="4"/>
      <c r="BK160" s="3"/>
      <c r="BL160" s="4"/>
      <c r="BM160" s="3"/>
      <c r="BN160" s="4"/>
      <c r="BO160" s="3"/>
      <c r="BP160" s="4"/>
      <c r="BQ160" s="3"/>
      <c r="BR160" s="4"/>
      <c r="BS160" s="3"/>
      <c r="BT160" s="4"/>
      <c r="BU160" s="3"/>
      <c r="BV160" s="4"/>
      <c r="BW160" s="3"/>
      <c r="BX160" s="4"/>
      <c r="BY160" s="3"/>
      <c r="BZ160" s="4"/>
      <c r="CA160" s="3"/>
      <c r="CB160" s="4"/>
      <c r="CC160" s="3"/>
      <c r="CD160" s="4"/>
    </row>
    <row r="161">
      <c r="A161" s="3"/>
      <c r="B161" s="4"/>
      <c r="C161" s="3"/>
      <c r="D161" s="4"/>
      <c r="E161" s="3"/>
      <c r="F161" s="4"/>
      <c r="G161" s="3"/>
      <c r="H161" s="4"/>
      <c r="I161" s="3"/>
      <c r="J161" s="4"/>
      <c r="K161" s="3"/>
      <c r="L161" s="4"/>
      <c r="M161" s="3"/>
      <c r="N161" s="4"/>
      <c r="O161" s="3"/>
      <c r="P161" s="4"/>
      <c r="Q161" s="3"/>
      <c r="R161" s="4"/>
      <c r="S161" s="3"/>
      <c r="T161" s="4"/>
      <c r="U161" s="3"/>
      <c r="V161" s="4"/>
      <c r="W161" s="3"/>
      <c r="X161" s="4"/>
      <c r="Y161" s="3"/>
      <c r="Z161" s="4"/>
      <c r="AA161" s="3"/>
      <c r="AB161" s="4"/>
      <c r="AC161" s="3"/>
      <c r="AD161" s="4"/>
      <c r="AE161" s="3"/>
      <c r="AF161" s="4"/>
      <c r="AG161" s="3"/>
      <c r="AH161" s="4"/>
      <c r="AI161" s="3"/>
      <c r="AJ161" s="4"/>
      <c r="AK161" s="3"/>
      <c r="AL161" s="4"/>
      <c r="AM161" s="3"/>
      <c r="AN161" s="4"/>
      <c r="AO161" s="3"/>
      <c r="AP161" s="4"/>
      <c r="AQ161" s="3"/>
      <c r="AR161" s="4"/>
      <c r="AS161" s="3"/>
      <c r="AT161" s="4"/>
      <c r="AU161" s="3"/>
      <c r="AV161" s="4"/>
      <c r="AW161" s="3"/>
      <c r="AX161" s="4"/>
      <c r="AY161" s="3"/>
      <c r="AZ161" s="4"/>
      <c r="BA161" s="3"/>
      <c r="BB161" s="4"/>
      <c r="BC161" s="3"/>
      <c r="BD161" s="4"/>
      <c r="BE161" s="3"/>
      <c r="BF161" s="4"/>
      <c r="BG161" s="3"/>
      <c r="BH161" s="4"/>
      <c r="BI161" s="3"/>
      <c r="BJ161" s="4"/>
      <c r="BK161" s="3"/>
      <c r="BL161" s="4"/>
      <c r="BM161" s="3"/>
      <c r="BN161" s="4"/>
      <c r="BO161" s="3"/>
      <c r="BP161" s="4"/>
      <c r="BQ161" s="3"/>
      <c r="BR161" s="4"/>
      <c r="BS161" s="3"/>
      <c r="BT161" s="4"/>
      <c r="BU161" s="3"/>
      <c r="BV161" s="4"/>
      <c r="BW161" s="3"/>
      <c r="BX161" s="4"/>
      <c r="BY161" s="3"/>
      <c r="BZ161" s="4"/>
      <c r="CA161" s="3"/>
      <c r="CB161" s="4"/>
      <c r="CC161" s="3"/>
      <c r="CD161" s="4"/>
    </row>
    <row r="162">
      <c r="A162" s="3"/>
      <c r="B162" s="4"/>
      <c r="C162" s="3"/>
      <c r="D162" s="4"/>
      <c r="E162" s="3"/>
      <c r="F162" s="4"/>
      <c r="G162" s="3"/>
      <c r="H162" s="4"/>
      <c r="I162" s="3"/>
      <c r="J162" s="4"/>
      <c r="K162" s="3"/>
      <c r="L162" s="4"/>
      <c r="M162" s="3"/>
      <c r="N162" s="4"/>
      <c r="O162" s="3"/>
      <c r="P162" s="4"/>
      <c r="Q162" s="3"/>
      <c r="R162" s="4"/>
      <c r="S162" s="3"/>
      <c r="T162" s="4"/>
      <c r="U162" s="3"/>
      <c r="V162" s="4"/>
      <c r="W162" s="3"/>
      <c r="X162" s="4"/>
      <c r="Y162" s="3"/>
      <c r="Z162" s="4"/>
      <c r="AA162" s="3"/>
      <c r="AB162" s="4"/>
      <c r="AC162" s="3"/>
      <c r="AD162" s="4"/>
      <c r="AE162" s="3"/>
      <c r="AF162" s="4"/>
      <c r="AG162" s="3"/>
      <c r="AH162" s="4"/>
      <c r="AI162" s="3"/>
      <c r="AJ162" s="4"/>
      <c r="AK162" s="3"/>
      <c r="AL162" s="4"/>
      <c r="AM162" s="3"/>
      <c r="AN162" s="4"/>
      <c r="AO162" s="3"/>
      <c r="AP162" s="4"/>
      <c r="AQ162" s="3"/>
      <c r="AR162" s="4"/>
      <c r="AS162" s="3"/>
      <c r="AT162" s="4"/>
      <c r="AU162" s="3"/>
      <c r="AV162" s="4"/>
      <c r="AW162" s="3"/>
      <c r="AX162" s="4"/>
      <c r="AY162" s="3"/>
      <c r="AZ162" s="4"/>
      <c r="BA162" s="3"/>
      <c r="BB162" s="4"/>
      <c r="BC162" s="3"/>
      <c r="BD162" s="4"/>
      <c r="BE162" s="3"/>
      <c r="BF162" s="4"/>
      <c r="BG162" s="3"/>
      <c r="BH162" s="4"/>
      <c r="BI162" s="3"/>
      <c r="BJ162" s="4"/>
      <c r="BK162" s="3"/>
      <c r="BL162" s="4"/>
      <c r="BM162" s="3"/>
      <c r="BN162" s="4"/>
      <c r="BO162" s="3"/>
      <c r="BP162" s="4"/>
      <c r="BQ162" s="3"/>
      <c r="BR162" s="4"/>
      <c r="BS162" s="3"/>
      <c r="BT162" s="4"/>
      <c r="BU162" s="3"/>
      <c r="BV162" s="4"/>
      <c r="BW162" s="3"/>
      <c r="BX162" s="4"/>
      <c r="BY162" s="3"/>
      <c r="BZ162" s="4"/>
      <c r="CA162" s="3"/>
      <c r="CB162" s="4"/>
      <c r="CC162" s="3"/>
      <c r="CD162" s="4"/>
    </row>
    <row r="163">
      <c r="A163" s="3"/>
      <c r="B163" s="4"/>
      <c r="C163" s="3"/>
      <c r="D163" s="4"/>
      <c r="E163" s="3"/>
      <c r="F163" s="4"/>
      <c r="G163" s="3"/>
      <c r="H163" s="4"/>
      <c r="I163" s="3"/>
      <c r="J163" s="4"/>
      <c r="K163" s="3"/>
      <c r="L163" s="4"/>
      <c r="M163" s="3"/>
      <c r="N163" s="4"/>
      <c r="O163" s="3"/>
      <c r="P163" s="4"/>
      <c r="Q163" s="3"/>
      <c r="R163" s="4"/>
      <c r="S163" s="3"/>
      <c r="T163" s="4"/>
      <c r="U163" s="3"/>
      <c r="V163" s="4"/>
      <c r="W163" s="3"/>
      <c r="X163" s="4"/>
      <c r="Y163" s="3"/>
      <c r="Z163" s="4"/>
      <c r="AA163" s="3"/>
      <c r="AB163" s="4"/>
      <c r="AC163" s="3"/>
      <c r="AD163" s="4"/>
      <c r="AE163" s="3"/>
      <c r="AF163" s="4"/>
      <c r="AG163" s="3"/>
      <c r="AH163" s="4"/>
      <c r="AI163" s="3"/>
      <c r="AJ163" s="4"/>
      <c r="AK163" s="3"/>
      <c r="AL163" s="4"/>
      <c r="AM163" s="3"/>
      <c r="AN163" s="4"/>
      <c r="AO163" s="3"/>
      <c r="AP163" s="4"/>
      <c r="AQ163" s="3"/>
      <c r="AR163" s="4"/>
      <c r="AS163" s="3"/>
      <c r="AT163" s="4"/>
      <c r="AU163" s="3"/>
      <c r="AV163" s="4"/>
      <c r="AW163" s="3"/>
      <c r="AX163" s="4"/>
      <c r="AY163" s="3"/>
      <c r="AZ163" s="4"/>
      <c r="BA163" s="3"/>
      <c r="BB163" s="4"/>
      <c r="BC163" s="3"/>
      <c r="BD163" s="4"/>
      <c r="BE163" s="3"/>
      <c r="BF163" s="4"/>
      <c r="BG163" s="3"/>
      <c r="BH163" s="4"/>
      <c r="BI163" s="3"/>
      <c r="BJ163" s="4"/>
      <c r="BK163" s="3"/>
      <c r="BL163" s="4"/>
      <c r="BM163" s="3"/>
      <c r="BN163" s="4"/>
      <c r="BO163" s="3"/>
      <c r="BP163" s="4"/>
      <c r="BQ163" s="3"/>
      <c r="BR163" s="4"/>
      <c r="BS163" s="3"/>
      <c r="BT163" s="4"/>
      <c r="BU163" s="3"/>
      <c r="BV163" s="4"/>
      <c r="BW163" s="3"/>
      <c r="BX163" s="4"/>
      <c r="BY163" s="3"/>
      <c r="BZ163" s="4"/>
      <c r="CA163" s="3"/>
      <c r="CB163" s="4"/>
      <c r="CC163" s="3"/>
      <c r="CD163" s="4"/>
    </row>
    <row r="164">
      <c r="A164" s="3"/>
      <c r="B164" s="4"/>
      <c r="C164" s="3"/>
      <c r="D164" s="4"/>
      <c r="E164" s="3"/>
      <c r="F164" s="4"/>
      <c r="G164" s="3"/>
      <c r="H164" s="4"/>
      <c r="I164" s="3"/>
      <c r="J164" s="4"/>
      <c r="K164" s="3"/>
      <c r="L164" s="4"/>
      <c r="M164" s="3"/>
      <c r="N164" s="4"/>
      <c r="O164" s="3"/>
      <c r="P164" s="4"/>
      <c r="Q164" s="3"/>
      <c r="R164" s="4"/>
      <c r="S164" s="3"/>
      <c r="T164" s="4"/>
      <c r="U164" s="3"/>
      <c r="V164" s="4"/>
      <c r="W164" s="3"/>
      <c r="X164" s="4"/>
      <c r="Y164" s="3"/>
      <c r="Z164" s="4"/>
      <c r="AA164" s="3"/>
      <c r="AB164" s="4"/>
      <c r="AC164" s="3"/>
      <c r="AD164" s="4"/>
      <c r="AE164" s="3"/>
      <c r="AF164" s="4"/>
      <c r="AG164" s="3"/>
      <c r="AH164" s="4"/>
      <c r="AI164" s="3"/>
      <c r="AJ164" s="4"/>
      <c r="AK164" s="3"/>
      <c r="AL164" s="4"/>
      <c r="AM164" s="3"/>
      <c r="AN164" s="4"/>
      <c r="AO164" s="3"/>
      <c r="AP164" s="4"/>
      <c r="AQ164" s="3"/>
      <c r="AR164" s="4"/>
      <c r="AS164" s="3"/>
      <c r="AT164" s="4"/>
      <c r="AU164" s="3"/>
      <c r="AV164" s="4"/>
      <c r="AW164" s="3"/>
      <c r="AX164" s="4"/>
      <c r="AY164" s="3"/>
      <c r="AZ164" s="4"/>
      <c r="BA164" s="3"/>
      <c r="BB164" s="4"/>
      <c r="BC164" s="3"/>
      <c r="BD164" s="4"/>
      <c r="BE164" s="3"/>
      <c r="BF164" s="4"/>
      <c r="BG164" s="3"/>
      <c r="BH164" s="4"/>
      <c r="BI164" s="3"/>
      <c r="BJ164" s="4"/>
      <c r="BK164" s="3"/>
      <c r="BL164" s="4"/>
      <c r="BM164" s="3"/>
      <c r="BN164" s="4"/>
      <c r="BO164" s="3"/>
      <c r="BP164" s="4"/>
      <c r="BQ164" s="3"/>
      <c r="BR164" s="4"/>
      <c r="BS164" s="3"/>
      <c r="BT164" s="4"/>
      <c r="BU164" s="3"/>
      <c r="BV164" s="4"/>
      <c r="BW164" s="3"/>
      <c r="BX164" s="4"/>
      <c r="BY164" s="3"/>
      <c r="BZ164" s="4"/>
      <c r="CA164" s="3"/>
      <c r="CB164" s="4"/>
      <c r="CC164" s="3"/>
      <c r="CD164" s="4"/>
    </row>
    <row r="165">
      <c r="A165" s="3"/>
      <c r="B165" s="4"/>
      <c r="C165" s="3"/>
      <c r="D165" s="4"/>
      <c r="E165" s="3"/>
      <c r="F165" s="4"/>
      <c r="G165" s="3"/>
      <c r="H165" s="4"/>
      <c r="I165" s="3"/>
      <c r="J165" s="4"/>
      <c r="K165" s="3"/>
      <c r="L165" s="4"/>
      <c r="M165" s="3"/>
      <c r="N165" s="4"/>
      <c r="O165" s="3"/>
      <c r="P165" s="4"/>
      <c r="Q165" s="3"/>
      <c r="R165" s="4"/>
      <c r="S165" s="3"/>
      <c r="T165" s="4"/>
      <c r="U165" s="3"/>
      <c r="V165" s="4"/>
      <c r="W165" s="3"/>
      <c r="X165" s="4"/>
      <c r="Y165" s="3"/>
      <c r="Z165" s="4"/>
      <c r="AA165" s="3"/>
      <c r="AB165" s="4"/>
      <c r="AC165" s="3"/>
      <c r="AD165" s="4"/>
      <c r="AE165" s="3"/>
      <c r="AF165" s="4"/>
      <c r="AG165" s="3"/>
      <c r="AH165" s="4"/>
      <c r="AI165" s="3"/>
      <c r="AJ165" s="4"/>
      <c r="AK165" s="3"/>
      <c r="AL165" s="4"/>
      <c r="AM165" s="3"/>
      <c r="AN165" s="4"/>
      <c r="AO165" s="3"/>
      <c r="AP165" s="4"/>
      <c r="AQ165" s="3"/>
      <c r="AR165" s="4"/>
      <c r="AS165" s="3"/>
      <c r="AT165" s="4"/>
      <c r="AU165" s="3"/>
      <c r="AV165" s="4"/>
      <c r="AW165" s="3"/>
      <c r="AX165" s="4"/>
      <c r="AY165" s="3"/>
      <c r="AZ165" s="4"/>
      <c r="BA165" s="3"/>
      <c r="BB165" s="4"/>
      <c r="BC165" s="3"/>
      <c r="BD165" s="4"/>
      <c r="BE165" s="3"/>
      <c r="BF165" s="4"/>
      <c r="BG165" s="3"/>
      <c r="BH165" s="4"/>
      <c r="BI165" s="3"/>
      <c r="BJ165" s="4"/>
      <c r="BK165" s="3"/>
      <c r="BL165" s="4"/>
      <c r="BM165" s="3"/>
      <c r="BN165" s="4"/>
      <c r="BO165" s="3"/>
      <c r="BP165" s="4"/>
      <c r="BQ165" s="3"/>
      <c r="BR165" s="4"/>
      <c r="BS165" s="3"/>
      <c r="BT165" s="4"/>
      <c r="BU165" s="3"/>
      <c r="BV165" s="4"/>
      <c r="BW165" s="3"/>
      <c r="BX165" s="4"/>
      <c r="BY165" s="3"/>
      <c r="BZ165" s="4"/>
      <c r="CA165" s="3"/>
      <c r="CB165" s="4"/>
      <c r="CC165" s="3"/>
      <c r="CD165" s="4"/>
    </row>
    <row r="166">
      <c r="A166" s="3"/>
      <c r="B166" s="4"/>
      <c r="C166" s="3"/>
      <c r="D166" s="4"/>
      <c r="E166" s="3"/>
      <c r="F166" s="4"/>
      <c r="G166" s="3"/>
      <c r="H166" s="4"/>
      <c r="I166" s="3"/>
      <c r="J166" s="4"/>
      <c r="K166" s="3"/>
      <c r="L166" s="4"/>
      <c r="M166" s="3"/>
      <c r="N166" s="4"/>
      <c r="O166" s="3"/>
      <c r="P166" s="4"/>
      <c r="Q166" s="3"/>
      <c r="R166" s="4"/>
      <c r="S166" s="3"/>
      <c r="T166" s="4"/>
      <c r="U166" s="3"/>
      <c r="V166" s="4"/>
      <c r="W166" s="3"/>
      <c r="X166" s="4"/>
      <c r="Y166" s="3"/>
      <c r="Z166" s="4"/>
      <c r="AA166" s="3"/>
      <c r="AB166" s="4"/>
      <c r="AC166" s="3"/>
      <c r="AD166" s="4"/>
      <c r="AE166" s="3"/>
      <c r="AF166" s="4"/>
      <c r="AG166" s="3"/>
      <c r="AH166" s="4"/>
      <c r="AI166" s="3"/>
      <c r="AJ166" s="4"/>
      <c r="AK166" s="3"/>
      <c r="AL166" s="4"/>
      <c r="AM166" s="3"/>
      <c r="AN166" s="4"/>
      <c r="AO166" s="3"/>
      <c r="AP166" s="4"/>
      <c r="AQ166" s="3"/>
      <c r="AR166" s="4"/>
      <c r="AS166" s="3"/>
      <c r="AT166" s="4"/>
      <c r="AU166" s="3"/>
      <c r="AV166" s="4"/>
      <c r="AW166" s="3"/>
      <c r="AX166" s="4"/>
      <c r="AY166" s="3"/>
      <c r="AZ166" s="4"/>
      <c r="BA166" s="3"/>
      <c r="BB166" s="4"/>
      <c r="BC166" s="3"/>
      <c r="BD166" s="4"/>
      <c r="BE166" s="3"/>
      <c r="BF166" s="4"/>
      <c r="BG166" s="3"/>
      <c r="BH166" s="4"/>
      <c r="BI166" s="3"/>
      <c r="BJ166" s="4"/>
      <c r="BK166" s="3"/>
      <c r="BL166" s="4"/>
      <c r="BM166" s="3"/>
      <c r="BN166" s="4"/>
      <c r="BO166" s="3"/>
      <c r="BP166" s="4"/>
      <c r="BQ166" s="3"/>
      <c r="BR166" s="4"/>
      <c r="BS166" s="3"/>
      <c r="BT166" s="4"/>
      <c r="BU166" s="3"/>
      <c r="BV166" s="4"/>
      <c r="BW166" s="3"/>
      <c r="BX166" s="4"/>
      <c r="BY166" s="3"/>
      <c r="BZ166" s="4"/>
      <c r="CA166" s="3"/>
      <c r="CB166" s="4"/>
      <c r="CC166" s="3"/>
      <c r="CD166" s="4"/>
    </row>
    <row r="167">
      <c r="A167" s="3"/>
      <c r="B167" s="4"/>
      <c r="C167" s="3"/>
      <c r="D167" s="4"/>
      <c r="E167" s="3"/>
      <c r="F167" s="4"/>
      <c r="G167" s="3"/>
      <c r="H167" s="4"/>
      <c r="I167" s="3"/>
      <c r="J167" s="4"/>
      <c r="K167" s="3"/>
      <c r="L167" s="4"/>
      <c r="M167" s="3"/>
      <c r="N167" s="4"/>
      <c r="O167" s="3"/>
      <c r="P167" s="4"/>
      <c r="Q167" s="3"/>
      <c r="R167" s="4"/>
      <c r="S167" s="3"/>
      <c r="T167" s="4"/>
      <c r="U167" s="3"/>
      <c r="V167" s="4"/>
      <c r="W167" s="3"/>
      <c r="X167" s="4"/>
      <c r="Y167" s="3"/>
      <c r="Z167" s="4"/>
      <c r="AA167" s="3"/>
      <c r="AB167" s="4"/>
      <c r="AC167" s="3"/>
      <c r="AD167" s="4"/>
      <c r="AE167" s="3"/>
      <c r="AF167" s="4"/>
      <c r="AG167" s="3"/>
      <c r="AH167" s="4"/>
      <c r="AI167" s="3"/>
      <c r="AJ167" s="4"/>
      <c r="AK167" s="3"/>
      <c r="AL167" s="4"/>
      <c r="AM167" s="3"/>
      <c r="AN167" s="4"/>
      <c r="AO167" s="3"/>
      <c r="AP167" s="4"/>
      <c r="AQ167" s="3"/>
      <c r="AR167" s="4"/>
      <c r="AS167" s="3"/>
      <c r="AT167" s="4"/>
      <c r="AU167" s="3"/>
      <c r="AV167" s="4"/>
      <c r="AW167" s="3"/>
      <c r="AX167" s="4"/>
      <c r="AY167" s="3"/>
      <c r="AZ167" s="4"/>
      <c r="BA167" s="3"/>
      <c r="BB167" s="4"/>
      <c r="BC167" s="3"/>
      <c r="BD167" s="4"/>
      <c r="BE167" s="3"/>
      <c r="BF167" s="4"/>
      <c r="BG167" s="3"/>
      <c r="BH167" s="4"/>
      <c r="BI167" s="3"/>
      <c r="BJ167" s="4"/>
      <c r="BK167" s="3"/>
      <c r="BL167" s="4"/>
      <c r="BM167" s="3"/>
      <c r="BN167" s="4"/>
      <c r="BO167" s="3"/>
      <c r="BP167" s="4"/>
      <c r="BQ167" s="3"/>
      <c r="BR167" s="4"/>
      <c r="BS167" s="3"/>
      <c r="BT167" s="4"/>
      <c r="BU167" s="3"/>
      <c r="BV167" s="4"/>
      <c r="BW167" s="3"/>
      <c r="BX167" s="4"/>
      <c r="BY167" s="3"/>
      <c r="BZ167" s="4"/>
      <c r="CA167" s="3"/>
      <c r="CB167" s="4"/>
      <c r="CC167" s="3"/>
      <c r="CD167" s="4"/>
    </row>
    <row r="168">
      <c r="A168" s="3"/>
      <c r="B168" s="4"/>
      <c r="C168" s="3"/>
      <c r="D168" s="4"/>
      <c r="E168" s="3"/>
      <c r="F168" s="4"/>
      <c r="G168" s="3"/>
      <c r="H168" s="4"/>
      <c r="I168" s="3"/>
      <c r="J168" s="4"/>
      <c r="K168" s="3"/>
      <c r="L168" s="4"/>
      <c r="M168" s="3"/>
      <c r="N168" s="4"/>
      <c r="O168" s="3"/>
      <c r="P168" s="4"/>
      <c r="Q168" s="3"/>
      <c r="R168" s="4"/>
      <c r="S168" s="3"/>
      <c r="T168" s="4"/>
      <c r="U168" s="3"/>
      <c r="V168" s="4"/>
      <c r="W168" s="3"/>
      <c r="X168" s="4"/>
      <c r="Y168" s="3"/>
      <c r="Z168" s="4"/>
      <c r="AA168" s="3"/>
      <c r="AB168" s="4"/>
      <c r="AC168" s="3"/>
      <c r="AD168" s="4"/>
      <c r="AE168" s="3"/>
      <c r="AF168" s="4"/>
      <c r="AG168" s="3"/>
      <c r="AH168" s="4"/>
      <c r="AI168" s="3"/>
      <c r="AJ168" s="4"/>
      <c r="AK168" s="3"/>
      <c r="AL168" s="4"/>
      <c r="AM168" s="3"/>
      <c r="AN168" s="4"/>
      <c r="AO168" s="3"/>
      <c r="AP168" s="4"/>
      <c r="AQ168" s="3"/>
      <c r="AR168" s="4"/>
      <c r="AS168" s="3"/>
      <c r="AT168" s="4"/>
      <c r="AU168" s="3"/>
      <c r="AV168" s="4"/>
      <c r="AW168" s="3"/>
      <c r="AX168" s="4"/>
      <c r="AY168" s="3"/>
      <c r="AZ168" s="4"/>
      <c r="BA168" s="3"/>
      <c r="BB168" s="4"/>
      <c r="BC168" s="3"/>
      <c r="BD168" s="4"/>
      <c r="BE168" s="3"/>
      <c r="BF168" s="4"/>
      <c r="BG168" s="3"/>
      <c r="BH168" s="4"/>
      <c r="BI168" s="3"/>
      <c r="BJ168" s="4"/>
      <c r="BK168" s="3"/>
      <c r="BL168" s="4"/>
      <c r="BM168" s="3"/>
      <c r="BN168" s="4"/>
      <c r="BO168" s="3"/>
      <c r="BP168" s="4"/>
      <c r="BQ168" s="3"/>
      <c r="BR168" s="4"/>
      <c r="BS168" s="3"/>
      <c r="BT168" s="4"/>
      <c r="BU168" s="3"/>
      <c r="BV168" s="4"/>
      <c r="BW168" s="3"/>
      <c r="BX168" s="4"/>
      <c r="BY168" s="3"/>
      <c r="BZ168" s="4"/>
      <c r="CA168" s="3"/>
      <c r="CB168" s="4"/>
      <c r="CC168" s="3"/>
      <c r="CD168" s="4"/>
    </row>
    <row r="169">
      <c r="A169" s="3"/>
      <c r="B169" s="4"/>
      <c r="C169" s="3"/>
      <c r="D169" s="4"/>
      <c r="E169" s="3"/>
      <c r="F169" s="4"/>
      <c r="G169" s="3"/>
      <c r="H169" s="4"/>
      <c r="I169" s="3"/>
      <c r="J169" s="4"/>
      <c r="K169" s="3"/>
      <c r="L169" s="4"/>
      <c r="M169" s="3"/>
      <c r="N169" s="4"/>
      <c r="O169" s="3"/>
      <c r="P169" s="4"/>
      <c r="Q169" s="3"/>
      <c r="R169" s="4"/>
      <c r="S169" s="3"/>
      <c r="T169" s="4"/>
      <c r="U169" s="3"/>
      <c r="V169" s="4"/>
      <c r="W169" s="3"/>
      <c r="X169" s="4"/>
      <c r="Y169" s="3"/>
      <c r="Z169" s="4"/>
      <c r="AA169" s="3"/>
      <c r="AB169" s="4"/>
      <c r="AC169" s="3"/>
      <c r="AD169" s="4"/>
      <c r="AE169" s="3"/>
      <c r="AF169" s="4"/>
      <c r="AG169" s="3"/>
      <c r="AH169" s="4"/>
      <c r="AI169" s="3"/>
      <c r="AJ169" s="4"/>
      <c r="AK169" s="3"/>
      <c r="AL169" s="4"/>
      <c r="AM169" s="3"/>
      <c r="AN169" s="4"/>
      <c r="AO169" s="3"/>
      <c r="AP169" s="4"/>
      <c r="AQ169" s="3"/>
      <c r="AR169" s="4"/>
      <c r="AS169" s="3"/>
      <c r="AT169" s="4"/>
      <c r="AU169" s="3"/>
      <c r="AV169" s="4"/>
      <c r="AW169" s="3"/>
      <c r="AX169" s="4"/>
      <c r="AY169" s="3"/>
      <c r="AZ169" s="4"/>
      <c r="BA169" s="3"/>
      <c r="BB169" s="4"/>
      <c r="BC169" s="3"/>
      <c r="BD169" s="4"/>
      <c r="BE169" s="3"/>
      <c r="BF169" s="4"/>
      <c r="BG169" s="3"/>
      <c r="BH169" s="4"/>
      <c r="BI169" s="3"/>
      <c r="BJ169" s="4"/>
      <c r="BK169" s="3"/>
      <c r="BL169" s="4"/>
      <c r="BM169" s="3"/>
      <c r="BN169" s="4"/>
      <c r="BO169" s="3"/>
      <c r="BP169" s="4"/>
      <c r="BQ169" s="3"/>
      <c r="BR169" s="4"/>
      <c r="BS169" s="3"/>
      <c r="BT169" s="4"/>
      <c r="BU169" s="3"/>
      <c r="BV169" s="4"/>
      <c r="BW169" s="3"/>
      <c r="BX169" s="4"/>
      <c r="BY169" s="3"/>
      <c r="BZ169" s="4"/>
      <c r="CA169" s="3"/>
      <c r="CB169" s="4"/>
      <c r="CC169" s="3"/>
      <c r="CD169" s="4"/>
    </row>
    <row r="170">
      <c r="A170" s="3"/>
      <c r="B170" s="4"/>
      <c r="C170" s="3"/>
      <c r="D170" s="4"/>
      <c r="E170" s="3"/>
      <c r="F170" s="4"/>
      <c r="G170" s="3"/>
      <c r="H170" s="4"/>
      <c r="I170" s="3"/>
      <c r="J170" s="4"/>
      <c r="K170" s="3"/>
      <c r="L170" s="4"/>
      <c r="M170" s="3"/>
      <c r="N170" s="4"/>
      <c r="O170" s="3"/>
      <c r="P170" s="4"/>
      <c r="Q170" s="3"/>
      <c r="R170" s="4"/>
      <c r="S170" s="3"/>
      <c r="T170" s="4"/>
      <c r="U170" s="3"/>
      <c r="V170" s="4"/>
      <c r="W170" s="3"/>
      <c r="X170" s="4"/>
      <c r="Y170" s="3"/>
      <c r="Z170" s="4"/>
      <c r="AA170" s="3"/>
      <c r="AB170" s="4"/>
      <c r="AC170" s="3"/>
      <c r="AD170" s="4"/>
      <c r="AE170" s="3"/>
      <c r="AF170" s="4"/>
      <c r="AG170" s="3"/>
      <c r="AH170" s="4"/>
      <c r="AI170" s="3"/>
      <c r="AJ170" s="4"/>
      <c r="AK170" s="3"/>
      <c r="AL170" s="4"/>
      <c r="AM170" s="3"/>
      <c r="AN170" s="4"/>
      <c r="AO170" s="3"/>
      <c r="AP170" s="4"/>
      <c r="AQ170" s="3"/>
      <c r="AR170" s="4"/>
      <c r="AS170" s="3"/>
      <c r="AT170" s="4"/>
      <c r="AU170" s="3"/>
      <c r="AV170" s="4"/>
      <c r="AW170" s="3"/>
      <c r="AX170" s="4"/>
      <c r="AY170" s="3"/>
      <c r="AZ170" s="4"/>
      <c r="BA170" s="3"/>
      <c r="BB170" s="4"/>
      <c r="BC170" s="3"/>
      <c r="BD170" s="4"/>
      <c r="BE170" s="3"/>
      <c r="BF170" s="4"/>
      <c r="BG170" s="3"/>
      <c r="BH170" s="4"/>
      <c r="BI170" s="3"/>
      <c r="BJ170" s="4"/>
      <c r="BK170" s="3"/>
      <c r="BL170" s="4"/>
      <c r="BM170" s="3"/>
      <c r="BN170" s="4"/>
      <c r="BO170" s="3"/>
      <c r="BP170" s="4"/>
      <c r="BQ170" s="3"/>
      <c r="BR170" s="4"/>
      <c r="BS170" s="3"/>
      <c r="BT170" s="4"/>
      <c r="BU170" s="3"/>
      <c r="BV170" s="4"/>
      <c r="BW170" s="3"/>
      <c r="BX170" s="4"/>
      <c r="BY170" s="3"/>
      <c r="BZ170" s="4"/>
      <c r="CA170" s="3"/>
      <c r="CB170" s="4"/>
      <c r="CC170" s="3"/>
      <c r="CD170" s="4"/>
    </row>
    <row r="171">
      <c r="A171" s="3"/>
      <c r="B171" s="4"/>
      <c r="C171" s="3"/>
      <c r="D171" s="4"/>
      <c r="E171" s="3"/>
      <c r="F171" s="4"/>
      <c r="G171" s="3"/>
      <c r="H171" s="4"/>
      <c r="I171" s="3"/>
      <c r="J171" s="4"/>
      <c r="K171" s="3"/>
      <c r="L171" s="4"/>
      <c r="M171" s="3"/>
      <c r="N171" s="4"/>
      <c r="O171" s="3"/>
      <c r="P171" s="4"/>
      <c r="Q171" s="3"/>
      <c r="R171" s="4"/>
      <c r="S171" s="3"/>
      <c r="T171" s="4"/>
      <c r="U171" s="3"/>
      <c r="V171" s="4"/>
      <c r="W171" s="3"/>
      <c r="X171" s="4"/>
      <c r="Y171" s="3"/>
      <c r="Z171" s="4"/>
      <c r="AA171" s="3"/>
      <c r="AB171" s="4"/>
      <c r="AC171" s="3"/>
      <c r="AD171" s="4"/>
      <c r="AE171" s="3"/>
      <c r="AF171" s="4"/>
      <c r="AG171" s="3"/>
      <c r="AH171" s="4"/>
      <c r="AI171" s="3"/>
      <c r="AJ171" s="4"/>
      <c r="AK171" s="3"/>
      <c r="AL171" s="4"/>
      <c r="AM171" s="3"/>
      <c r="AN171" s="4"/>
      <c r="AO171" s="3"/>
      <c r="AP171" s="4"/>
      <c r="AQ171" s="3"/>
      <c r="AR171" s="4"/>
      <c r="AS171" s="3"/>
      <c r="AT171" s="4"/>
      <c r="AU171" s="3"/>
      <c r="AV171" s="4"/>
      <c r="AW171" s="3"/>
      <c r="AX171" s="4"/>
      <c r="AY171" s="3"/>
      <c r="AZ171" s="4"/>
      <c r="BA171" s="3"/>
      <c r="BB171" s="4"/>
      <c r="BC171" s="3"/>
      <c r="BD171" s="4"/>
      <c r="BE171" s="3"/>
      <c r="BF171" s="4"/>
      <c r="BG171" s="3"/>
      <c r="BH171" s="4"/>
      <c r="BI171" s="3"/>
      <c r="BJ171" s="4"/>
      <c r="BK171" s="3"/>
      <c r="BL171" s="4"/>
      <c r="BM171" s="3"/>
      <c r="BN171" s="4"/>
      <c r="BO171" s="3"/>
      <c r="BP171" s="4"/>
      <c r="BQ171" s="3"/>
      <c r="BR171" s="4"/>
      <c r="BS171" s="3"/>
      <c r="BT171" s="4"/>
      <c r="BU171" s="3"/>
      <c r="BV171" s="4"/>
      <c r="BW171" s="3"/>
      <c r="BX171" s="4"/>
      <c r="BY171" s="3"/>
      <c r="BZ171" s="4"/>
      <c r="CA171" s="3"/>
      <c r="CB171" s="4"/>
      <c r="CC171" s="3"/>
      <c r="CD171" s="4"/>
    </row>
    <row r="172">
      <c r="A172" s="3"/>
      <c r="B172" s="4"/>
      <c r="C172" s="3"/>
      <c r="D172" s="4"/>
      <c r="E172" s="3"/>
      <c r="F172" s="4"/>
      <c r="G172" s="3"/>
      <c r="H172" s="4"/>
      <c r="I172" s="3"/>
      <c r="J172" s="4"/>
      <c r="K172" s="3"/>
      <c r="L172" s="4"/>
      <c r="M172" s="3"/>
      <c r="N172" s="4"/>
      <c r="O172" s="3"/>
      <c r="P172" s="4"/>
      <c r="Q172" s="3"/>
      <c r="R172" s="4"/>
      <c r="S172" s="3"/>
      <c r="T172" s="4"/>
      <c r="U172" s="3"/>
      <c r="V172" s="4"/>
      <c r="W172" s="3"/>
      <c r="X172" s="4"/>
      <c r="Y172" s="3"/>
      <c r="Z172" s="4"/>
      <c r="AA172" s="3"/>
      <c r="AB172" s="4"/>
      <c r="AC172" s="3"/>
      <c r="AD172" s="4"/>
      <c r="AE172" s="3"/>
      <c r="AF172" s="4"/>
      <c r="AG172" s="3"/>
      <c r="AH172" s="4"/>
      <c r="AI172" s="3"/>
      <c r="AJ172" s="4"/>
      <c r="AK172" s="3"/>
      <c r="AL172" s="4"/>
      <c r="AM172" s="3"/>
      <c r="AN172" s="4"/>
      <c r="AO172" s="3"/>
      <c r="AP172" s="4"/>
      <c r="AQ172" s="3"/>
      <c r="AR172" s="4"/>
      <c r="AS172" s="3"/>
      <c r="AT172" s="4"/>
      <c r="AU172" s="3"/>
      <c r="AV172" s="4"/>
      <c r="AW172" s="3"/>
      <c r="AX172" s="4"/>
      <c r="AY172" s="3"/>
      <c r="AZ172" s="4"/>
      <c r="BA172" s="3"/>
      <c r="BB172" s="4"/>
      <c r="BC172" s="3"/>
      <c r="BD172" s="4"/>
      <c r="BE172" s="3"/>
      <c r="BF172" s="4"/>
      <c r="BG172" s="3"/>
      <c r="BH172" s="4"/>
      <c r="BI172" s="3"/>
      <c r="BJ172" s="4"/>
      <c r="BK172" s="3"/>
      <c r="BL172" s="4"/>
      <c r="BM172" s="3"/>
      <c r="BN172" s="4"/>
      <c r="BO172" s="3"/>
      <c r="BP172" s="4"/>
      <c r="BQ172" s="3"/>
      <c r="BR172" s="4"/>
      <c r="BS172" s="3"/>
      <c r="BT172" s="4"/>
      <c r="BU172" s="3"/>
      <c r="BV172" s="4"/>
      <c r="BW172" s="3"/>
      <c r="BX172" s="4"/>
      <c r="BY172" s="3"/>
      <c r="BZ172" s="4"/>
      <c r="CA172" s="3"/>
      <c r="CB172" s="4"/>
      <c r="CC172" s="3"/>
      <c r="CD172" s="4"/>
    </row>
    <row r="173">
      <c r="A173" s="3"/>
      <c r="B173" s="4"/>
      <c r="C173" s="3"/>
      <c r="D173" s="4"/>
      <c r="E173" s="3"/>
      <c r="F173" s="4"/>
      <c r="G173" s="3"/>
      <c r="H173" s="4"/>
      <c r="I173" s="3"/>
      <c r="J173" s="4"/>
      <c r="K173" s="3"/>
      <c r="L173" s="4"/>
      <c r="M173" s="3"/>
      <c r="N173" s="4"/>
      <c r="O173" s="3"/>
      <c r="P173" s="4"/>
      <c r="Q173" s="3"/>
      <c r="R173" s="4"/>
      <c r="S173" s="3"/>
      <c r="T173" s="4"/>
      <c r="U173" s="3"/>
      <c r="V173" s="4"/>
      <c r="W173" s="3"/>
      <c r="X173" s="4"/>
      <c r="Y173" s="3"/>
      <c r="Z173" s="4"/>
      <c r="AA173" s="3"/>
      <c r="AB173" s="4"/>
      <c r="AC173" s="3"/>
      <c r="AD173" s="4"/>
      <c r="AE173" s="3"/>
      <c r="AF173" s="4"/>
      <c r="AG173" s="3"/>
      <c r="AH173" s="4"/>
      <c r="AI173" s="3"/>
      <c r="AJ173" s="4"/>
      <c r="AK173" s="3"/>
      <c r="AL173" s="4"/>
      <c r="AM173" s="3"/>
      <c r="AN173" s="4"/>
      <c r="AO173" s="3"/>
      <c r="AP173" s="4"/>
      <c r="AQ173" s="3"/>
      <c r="AR173" s="4"/>
      <c r="AS173" s="3"/>
      <c r="AT173" s="4"/>
      <c r="AU173" s="3"/>
      <c r="AV173" s="4"/>
      <c r="AW173" s="3"/>
      <c r="AX173" s="4"/>
      <c r="AY173" s="3"/>
      <c r="AZ173" s="4"/>
      <c r="BA173" s="3"/>
      <c r="BB173" s="4"/>
      <c r="BC173" s="3"/>
      <c r="BD173" s="4"/>
      <c r="BE173" s="3"/>
      <c r="BF173" s="4"/>
      <c r="BG173" s="3"/>
      <c r="BH173" s="4"/>
      <c r="BI173" s="3"/>
      <c r="BJ173" s="4"/>
      <c r="BK173" s="3"/>
      <c r="BL173" s="4"/>
      <c r="BM173" s="3"/>
      <c r="BN173" s="4"/>
      <c r="BO173" s="3"/>
      <c r="BP173" s="4"/>
      <c r="BQ173" s="3"/>
      <c r="BR173" s="4"/>
      <c r="BS173" s="3"/>
      <c r="BT173" s="4"/>
      <c r="BU173" s="3"/>
      <c r="BV173" s="4"/>
      <c r="BW173" s="3"/>
      <c r="BX173" s="4"/>
      <c r="BY173" s="3"/>
      <c r="BZ173" s="4"/>
      <c r="CA173" s="3"/>
      <c r="CB173" s="4"/>
      <c r="CC173" s="3"/>
      <c r="CD173" s="4"/>
    </row>
    <row r="174">
      <c r="A174" s="3"/>
      <c r="B174" s="4"/>
      <c r="C174" s="3"/>
      <c r="D174" s="4"/>
      <c r="E174" s="3"/>
      <c r="F174" s="4"/>
      <c r="G174" s="3"/>
      <c r="H174" s="4"/>
      <c r="I174" s="3"/>
      <c r="J174" s="4"/>
      <c r="K174" s="3"/>
      <c r="L174" s="4"/>
      <c r="M174" s="3"/>
      <c r="N174" s="4"/>
      <c r="O174" s="3"/>
      <c r="P174" s="4"/>
      <c r="Q174" s="3"/>
      <c r="R174" s="4"/>
      <c r="S174" s="3"/>
      <c r="T174" s="4"/>
      <c r="U174" s="3"/>
      <c r="V174" s="4"/>
      <c r="W174" s="3"/>
      <c r="X174" s="4"/>
      <c r="Y174" s="3"/>
      <c r="Z174" s="4"/>
      <c r="AA174" s="3"/>
      <c r="AB174" s="4"/>
      <c r="AC174" s="3"/>
      <c r="AD174" s="4"/>
      <c r="AE174" s="3"/>
      <c r="AF174" s="4"/>
      <c r="AG174" s="3"/>
      <c r="AH174" s="4"/>
      <c r="AI174" s="3"/>
      <c r="AJ174" s="4"/>
      <c r="AK174" s="3"/>
      <c r="AL174" s="4"/>
      <c r="AM174" s="3"/>
      <c r="AN174" s="4"/>
      <c r="AO174" s="3"/>
      <c r="AP174" s="4"/>
      <c r="AQ174" s="3"/>
      <c r="AR174" s="4"/>
      <c r="AS174" s="3"/>
      <c r="AT174" s="4"/>
      <c r="AU174" s="3"/>
      <c r="AV174" s="4"/>
      <c r="AW174" s="3"/>
      <c r="AX174" s="4"/>
      <c r="AY174" s="3"/>
      <c r="AZ174" s="4"/>
      <c r="BA174" s="3"/>
      <c r="BB174" s="4"/>
      <c r="BC174" s="3"/>
      <c r="BD174" s="4"/>
      <c r="BE174" s="3"/>
      <c r="BF174" s="4"/>
      <c r="BG174" s="3"/>
      <c r="BH174" s="4"/>
      <c r="BI174" s="3"/>
      <c r="BJ174" s="4"/>
      <c r="BK174" s="3"/>
      <c r="BL174" s="4"/>
      <c r="BM174" s="3"/>
      <c r="BN174" s="4"/>
      <c r="BO174" s="3"/>
      <c r="BP174" s="4"/>
      <c r="BQ174" s="3"/>
      <c r="BR174" s="4"/>
      <c r="BS174" s="3"/>
      <c r="BT174" s="4"/>
      <c r="BU174" s="3"/>
      <c r="BV174" s="4"/>
      <c r="BW174" s="3"/>
      <c r="BX174" s="4"/>
      <c r="BY174" s="3"/>
      <c r="BZ174" s="4"/>
      <c r="CA174" s="3"/>
      <c r="CB174" s="4"/>
      <c r="CC174" s="3"/>
      <c r="CD174" s="4"/>
    </row>
    <row r="175">
      <c r="A175" s="3"/>
      <c r="B175" s="4"/>
      <c r="C175" s="3"/>
      <c r="D175" s="4"/>
      <c r="E175" s="3"/>
      <c r="F175" s="4"/>
      <c r="G175" s="3"/>
      <c r="H175" s="4"/>
      <c r="I175" s="3"/>
      <c r="J175" s="4"/>
      <c r="K175" s="3"/>
      <c r="L175" s="4"/>
      <c r="M175" s="3"/>
      <c r="N175" s="4"/>
      <c r="O175" s="3"/>
      <c r="P175" s="4"/>
      <c r="Q175" s="3"/>
      <c r="R175" s="4"/>
      <c r="S175" s="3"/>
      <c r="T175" s="4"/>
      <c r="U175" s="3"/>
      <c r="V175" s="4"/>
      <c r="W175" s="3"/>
      <c r="X175" s="4"/>
      <c r="Y175" s="3"/>
      <c r="Z175" s="4"/>
      <c r="AA175" s="3"/>
      <c r="AB175" s="4"/>
      <c r="AC175" s="3"/>
      <c r="AD175" s="4"/>
      <c r="AE175" s="3"/>
      <c r="AF175" s="4"/>
      <c r="AG175" s="3"/>
      <c r="AH175" s="4"/>
      <c r="AI175" s="3"/>
      <c r="AJ175" s="4"/>
      <c r="AK175" s="3"/>
      <c r="AL175" s="4"/>
      <c r="AM175" s="3"/>
      <c r="AN175" s="4"/>
      <c r="AO175" s="3"/>
      <c r="AP175" s="4"/>
      <c r="AQ175" s="3"/>
      <c r="AR175" s="4"/>
      <c r="AS175" s="3"/>
      <c r="AT175" s="4"/>
      <c r="AU175" s="3"/>
      <c r="AV175" s="4"/>
      <c r="AW175" s="3"/>
      <c r="AX175" s="4"/>
      <c r="AY175" s="3"/>
      <c r="AZ175" s="4"/>
      <c r="BA175" s="3"/>
      <c r="BB175" s="4"/>
      <c r="BC175" s="3"/>
      <c r="BD175" s="4"/>
      <c r="BE175" s="3"/>
      <c r="BF175" s="4"/>
      <c r="BG175" s="3"/>
      <c r="BH175" s="4"/>
      <c r="BI175" s="3"/>
      <c r="BJ175" s="4"/>
      <c r="BK175" s="3"/>
      <c r="BL175" s="4"/>
      <c r="BM175" s="3"/>
      <c r="BN175" s="4"/>
      <c r="BO175" s="3"/>
      <c r="BP175" s="4"/>
      <c r="BQ175" s="3"/>
      <c r="BR175" s="4"/>
      <c r="BS175" s="3"/>
      <c r="BT175" s="4"/>
      <c r="BU175" s="3"/>
      <c r="BV175" s="4"/>
      <c r="BW175" s="3"/>
      <c r="BX175" s="4"/>
      <c r="BY175" s="3"/>
      <c r="BZ175" s="4"/>
      <c r="CA175" s="3"/>
      <c r="CB175" s="4"/>
      <c r="CC175" s="3"/>
      <c r="CD175" s="4"/>
    </row>
    <row r="176">
      <c r="A176" s="3"/>
      <c r="B176" s="4"/>
      <c r="C176" s="3"/>
      <c r="D176" s="4"/>
      <c r="E176" s="3"/>
      <c r="F176" s="4"/>
      <c r="G176" s="3"/>
      <c r="H176" s="4"/>
      <c r="I176" s="3"/>
      <c r="J176" s="4"/>
      <c r="K176" s="3"/>
      <c r="L176" s="4"/>
      <c r="M176" s="3"/>
      <c r="N176" s="4"/>
      <c r="O176" s="3"/>
      <c r="P176" s="4"/>
      <c r="Q176" s="3"/>
      <c r="R176" s="4"/>
      <c r="S176" s="3"/>
      <c r="T176" s="4"/>
      <c r="U176" s="3"/>
      <c r="V176" s="4"/>
      <c r="W176" s="3"/>
      <c r="X176" s="4"/>
      <c r="Y176" s="3"/>
      <c r="Z176" s="4"/>
      <c r="AA176" s="3"/>
      <c r="AB176" s="4"/>
      <c r="AC176" s="3"/>
      <c r="AD176" s="4"/>
      <c r="AE176" s="3"/>
      <c r="AF176" s="4"/>
      <c r="AG176" s="3"/>
      <c r="AH176" s="4"/>
      <c r="AI176" s="3"/>
      <c r="AJ176" s="4"/>
      <c r="AK176" s="3"/>
      <c r="AL176" s="4"/>
      <c r="AM176" s="3"/>
      <c r="AN176" s="4"/>
      <c r="AO176" s="3"/>
      <c r="AP176" s="4"/>
      <c r="AQ176" s="3"/>
      <c r="AR176" s="4"/>
      <c r="AS176" s="3"/>
      <c r="AT176" s="4"/>
      <c r="AU176" s="3"/>
      <c r="AV176" s="4"/>
      <c r="AW176" s="3"/>
      <c r="AX176" s="4"/>
      <c r="AY176" s="3"/>
      <c r="AZ176" s="4"/>
      <c r="BA176" s="3"/>
      <c r="BB176" s="4"/>
      <c r="BC176" s="3"/>
      <c r="BD176" s="4"/>
      <c r="BE176" s="3"/>
      <c r="BF176" s="4"/>
      <c r="BG176" s="3"/>
      <c r="BH176" s="4"/>
      <c r="BI176" s="3"/>
      <c r="BJ176" s="4"/>
      <c r="BK176" s="3"/>
      <c r="BL176" s="4"/>
      <c r="BM176" s="3"/>
      <c r="BN176" s="4"/>
      <c r="BO176" s="3"/>
      <c r="BP176" s="4"/>
      <c r="BQ176" s="3"/>
      <c r="BR176" s="4"/>
      <c r="BS176" s="3"/>
      <c r="BT176" s="4"/>
      <c r="BU176" s="3"/>
      <c r="BV176" s="4"/>
      <c r="BW176" s="3"/>
      <c r="BX176" s="4"/>
      <c r="BY176" s="3"/>
      <c r="BZ176" s="4"/>
      <c r="CA176" s="3"/>
      <c r="CB176" s="4"/>
      <c r="CC176" s="3"/>
      <c r="CD176" s="4"/>
    </row>
    <row r="177">
      <c r="A177" s="3"/>
      <c r="B177" s="4"/>
      <c r="C177" s="3"/>
      <c r="D177" s="4"/>
      <c r="E177" s="3"/>
      <c r="F177" s="4"/>
      <c r="G177" s="3"/>
      <c r="H177" s="4"/>
      <c r="I177" s="3"/>
      <c r="J177" s="4"/>
      <c r="K177" s="3"/>
      <c r="L177" s="4"/>
      <c r="M177" s="3"/>
      <c r="N177" s="4"/>
      <c r="O177" s="3"/>
      <c r="P177" s="4"/>
      <c r="Q177" s="3"/>
      <c r="R177" s="4"/>
      <c r="S177" s="3"/>
      <c r="T177" s="4"/>
      <c r="U177" s="3"/>
      <c r="V177" s="4"/>
      <c r="W177" s="3"/>
      <c r="X177" s="4"/>
      <c r="Y177" s="3"/>
      <c r="Z177" s="4"/>
      <c r="AA177" s="3"/>
      <c r="AB177" s="4"/>
      <c r="AC177" s="3"/>
      <c r="AD177" s="4"/>
      <c r="AE177" s="3"/>
      <c r="AF177" s="4"/>
      <c r="AG177" s="3"/>
      <c r="AH177" s="4"/>
      <c r="AI177" s="3"/>
      <c r="AJ177" s="4"/>
      <c r="AK177" s="3"/>
      <c r="AL177" s="4"/>
      <c r="AM177" s="3"/>
      <c r="AN177" s="4"/>
      <c r="AO177" s="3"/>
      <c r="AP177" s="4"/>
      <c r="AQ177" s="3"/>
      <c r="AR177" s="4"/>
      <c r="AS177" s="3"/>
      <c r="AT177" s="4"/>
      <c r="AU177" s="3"/>
      <c r="AV177" s="4"/>
      <c r="AW177" s="3"/>
      <c r="AX177" s="4"/>
      <c r="AY177" s="3"/>
      <c r="AZ177" s="4"/>
      <c r="BA177" s="3"/>
      <c r="BB177" s="4"/>
      <c r="BC177" s="3"/>
      <c r="BD177" s="4"/>
      <c r="BE177" s="3"/>
      <c r="BF177" s="4"/>
      <c r="BG177" s="3"/>
      <c r="BH177" s="4"/>
      <c r="BI177" s="3"/>
      <c r="BJ177" s="4"/>
      <c r="BK177" s="3"/>
      <c r="BL177" s="4"/>
      <c r="BM177" s="3"/>
      <c r="BN177" s="4"/>
      <c r="BO177" s="3"/>
      <c r="BP177" s="4"/>
      <c r="BQ177" s="3"/>
      <c r="BR177" s="4"/>
      <c r="BS177" s="3"/>
      <c r="BT177" s="4"/>
      <c r="BU177" s="3"/>
      <c r="BV177" s="4"/>
      <c r="BW177" s="3"/>
      <c r="BX177" s="4"/>
      <c r="BY177" s="3"/>
      <c r="BZ177" s="4"/>
      <c r="CA177" s="3"/>
      <c r="CB177" s="4"/>
      <c r="CC177" s="3"/>
      <c r="CD177" s="4"/>
    </row>
    <row r="178">
      <c r="A178" s="3"/>
      <c r="B178" s="4"/>
      <c r="C178" s="3"/>
      <c r="D178" s="4"/>
      <c r="E178" s="3"/>
      <c r="F178" s="4"/>
      <c r="G178" s="3"/>
      <c r="H178" s="4"/>
      <c r="I178" s="3"/>
      <c r="J178" s="4"/>
      <c r="K178" s="3"/>
      <c r="L178" s="4"/>
      <c r="M178" s="3"/>
      <c r="N178" s="4"/>
      <c r="O178" s="3"/>
      <c r="P178" s="4"/>
      <c r="Q178" s="3"/>
      <c r="R178" s="4"/>
      <c r="S178" s="3"/>
      <c r="T178" s="4"/>
      <c r="U178" s="3"/>
      <c r="V178" s="4"/>
      <c r="W178" s="3"/>
      <c r="X178" s="4"/>
      <c r="Y178" s="3"/>
      <c r="Z178" s="4"/>
      <c r="AA178" s="3"/>
      <c r="AB178" s="4"/>
      <c r="AC178" s="3"/>
      <c r="AD178" s="4"/>
      <c r="AE178" s="3"/>
      <c r="AF178" s="4"/>
      <c r="AG178" s="3"/>
      <c r="AH178" s="4"/>
      <c r="AI178" s="3"/>
      <c r="AJ178" s="4"/>
      <c r="AK178" s="3"/>
      <c r="AL178" s="4"/>
      <c r="AM178" s="3"/>
      <c r="AN178" s="4"/>
      <c r="AO178" s="3"/>
      <c r="AP178" s="4"/>
      <c r="AQ178" s="3"/>
      <c r="AR178" s="4"/>
      <c r="AS178" s="3"/>
      <c r="AT178" s="4"/>
      <c r="AU178" s="3"/>
      <c r="AV178" s="4"/>
      <c r="AW178" s="3"/>
      <c r="AX178" s="4"/>
      <c r="AY178" s="3"/>
      <c r="AZ178" s="4"/>
      <c r="BA178" s="3"/>
      <c r="BB178" s="4"/>
      <c r="BC178" s="3"/>
      <c r="BD178" s="4"/>
      <c r="BE178" s="3"/>
      <c r="BF178" s="4"/>
      <c r="BG178" s="3"/>
      <c r="BH178" s="4"/>
      <c r="BI178" s="3"/>
      <c r="BJ178" s="4"/>
      <c r="BK178" s="3"/>
      <c r="BL178" s="4"/>
      <c r="BM178" s="3"/>
      <c r="BN178" s="4"/>
      <c r="BO178" s="3"/>
      <c r="BP178" s="4"/>
      <c r="BQ178" s="3"/>
      <c r="BR178" s="4"/>
      <c r="BS178" s="3"/>
      <c r="BT178" s="4"/>
      <c r="BU178" s="3"/>
      <c r="BV178" s="4"/>
      <c r="BW178" s="3"/>
      <c r="BX178" s="4"/>
      <c r="BY178" s="3"/>
      <c r="BZ178" s="4"/>
      <c r="CA178" s="3"/>
      <c r="CB178" s="4"/>
      <c r="CC178" s="3"/>
      <c r="CD178" s="4"/>
    </row>
    <row r="179">
      <c r="A179" s="3"/>
      <c r="B179" s="4"/>
      <c r="C179" s="3"/>
      <c r="D179" s="4"/>
      <c r="E179" s="3"/>
      <c r="F179" s="4"/>
      <c r="G179" s="3"/>
      <c r="H179" s="4"/>
      <c r="I179" s="3"/>
      <c r="J179" s="4"/>
      <c r="K179" s="3"/>
      <c r="L179" s="4"/>
      <c r="M179" s="3"/>
      <c r="N179" s="4"/>
      <c r="O179" s="3"/>
      <c r="P179" s="4"/>
      <c r="Q179" s="3"/>
      <c r="R179" s="4"/>
      <c r="S179" s="3"/>
      <c r="T179" s="4"/>
      <c r="U179" s="3"/>
      <c r="V179" s="4"/>
      <c r="W179" s="3"/>
      <c r="X179" s="4"/>
      <c r="Y179" s="3"/>
      <c r="Z179" s="4"/>
      <c r="AA179" s="3"/>
      <c r="AB179" s="4"/>
      <c r="AC179" s="3"/>
      <c r="AD179" s="4"/>
      <c r="AE179" s="3"/>
      <c r="AF179" s="4"/>
      <c r="AG179" s="3"/>
      <c r="AH179" s="4"/>
      <c r="AI179" s="3"/>
      <c r="AJ179" s="4"/>
      <c r="AK179" s="3"/>
      <c r="AL179" s="4"/>
      <c r="AM179" s="3"/>
      <c r="AN179" s="4"/>
      <c r="AO179" s="3"/>
      <c r="AP179" s="4"/>
      <c r="AQ179" s="3"/>
      <c r="AR179" s="4"/>
      <c r="AS179" s="3"/>
      <c r="AT179" s="4"/>
      <c r="AU179" s="3"/>
      <c r="AV179" s="4"/>
      <c r="AW179" s="3"/>
      <c r="AX179" s="4"/>
      <c r="AY179" s="3"/>
      <c r="AZ179" s="4"/>
      <c r="BA179" s="3"/>
      <c r="BB179" s="4"/>
      <c r="BC179" s="3"/>
      <c r="BD179" s="4"/>
      <c r="BE179" s="3"/>
      <c r="BF179" s="4"/>
      <c r="BG179" s="3"/>
      <c r="BH179" s="4"/>
      <c r="BI179" s="3"/>
      <c r="BJ179" s="4"/>
      <c r="BK179" s="3"/>
      <c r="BL179" s="4"/>
      <c r="BM179" s="3"/>
      <c r="BN179" s="4"/>
      <c r="BO179" s="3"/>
      <c r="BP179" s="4"/>
      <c r="BQ179" s="3"/>
      <c r="BR179" s="4"/>
      <c r="BS179" s="3"/>
      <c r="BT179" s="4"/>
      <c r="BU179" s="3"/>
      <c r="BV179" s="4"/>
      <c r="BW179" s="3"/>
      <c r="BX179" s="4"/>
      <c r="BY179" s="3"/>
      <c r="BZ179" s="4"/>
      <c r="CA179" s="3"/>
      <c r="CB179" s="4"/>
      <c r="CC179" s="3"/>
      <c r="CD179" s="4"/>
    </row>
    <row r="180">
      <c r="A180" s="3"/>
      <c r="B180" s="4"/>
      <c r="C180" s="3"/>
      <c r="D180" s="4"/>
      <c r="E180" s="3"/>
      <c r="F180" s="4"/>
      <c r="G180" s="3"/>
      <c r="H180" s="4"/>
      <c r="I180" s="3"/>
      <c r="J180" s="4"/>
      <c r="K180" s="3"/>
      <c r="L180" s="4"/>
      <c r="M180" s="3"/>
      <c r="N180" s="4"/>
      <c r="O180" s="3"/>
      <c r="P180" s="4"/>
      <c r="Q180" s="3"/>
      <c r="R180" s="4"/>
      <c r="S180" s="3"/>
      <c r="T180" s="4"/>
      <c r="U180" s="3"/>
      <c r="V180" s="4"/>
      <c r="W180" s="3"/>
      <c r="X180" s="4"/>
      <c r="Y180" s="3"/>
      <c r="Z180" s="4"/>
      <c r="AA180" s="3"/>
      <c r="AB180" s="4"/>
      <c r="AC180" s="3"/>
      <c r="AD180" s="4"/>
      <c r="AE180" s="3"/>
      <c r="AF180" s="4"/>
      <c r="AG180" s="3"/>
      <c r="AH180" s="4"/>
      <c r="AI180" s="3"/>
      <c r="AJ180" s="4"/>
      <c r="AK180" s="3"/>
      <c r="AL180" s="4"/>
      <c r="AM180" s="3"/>
      <c r="AN180" s="4"/>
      <c r="AO180" s="3"/>
      <c r="AP180" s="4"/>
      <c r="AQ180" s="3"/>
      <c r="AR180" s="4"/>
      <c r="AS180" s="3"/>
      <c r="AT180" s="4"/>
      <c r="AU180" s="3"/>
      <c r="AV180" s="4"/>
      <c r="AW180" s="3"/>
      <c r="AX180" s="4"/>
      <c r="AY180" s="3"/>
      <c r="AZ180" s="4"/>
      <c r="BA180" s="3"/>
      <c r="BB180" s="4"/>
      <c r="BC180" s="3"/>
      <c r="BD180" s="4"/>
      <c r="BE180" s="3"/>
      <c r="BF180" s="4"/>
      <c r="BG180" s="3"/>
      <c r="BH180" s="4"/>
      <c r="BI180" s="3"/>
      <c r="BJ180" s="4"/>
      <c r="BK180" s="3"/>
      <c r="BL180" s="4"/>
      <c r="BM180" s="3"/>
      <c r="BN180" s="4"/>
      <c r="BO180" s="3"/>
      <c r="BP180" s="4"/>
      <c r="BQ180" s="3"/>
      <c r="BR180" s="4"/>
      <c r="BS180" s="3"/>
      <c r="BT180" s="4"/>
      <c r="BU180" s="3"/>
      <c r="BV180" s="4"/>
      <c r="BW180" s="3"/>
      <c r="BX180" s="4"/>
      <c r="BY180" s="3"/>
      <c r="BZ180" s="4"/>
      <c r="CA180" s="3"/>
      <c r="CB180" s="4"/>
      <c r="CC180" s="3"/>
      <c r="CD180" s="4"/>
    </row>
    <row r="181">
      <c r="A181" s="3"/>
      <c r="B181" s="4"/>
      <c r="C181" s="3"/>
      <c r="D181" s="4"/>
      <c r="E181" s="3"/>
      <c r="F181" s="4"/>
      <c r="G181" s="3"/>
      <c r="H181" s="4"/>
      <c r="I181" s="3"/>
      <c r="J181" s="4"/>
      <c r="K181" s="3"/>
      <c r="L181" s="4"/>
      <c r="M181" s="3"/>
      <c r="N181" s="4"/>
      <c r="O181" s="3"/>
      <c r="P181" s="4"/>
      <c r="Q181" s="3"/>
      <c r="R181" s="4"/>
      <c r="S181" s="3"/>
      <c r="T181" s="4"/>
      <c r="U181" s="3"/>
      <c r="V181" s="4"/>
      <c r="W181" s="3"/>
      <c r="X181" s="4"/>
      <c r="Y181" s="3"/>
      <c r="Z181" s="4"/>
      <c r="AA181" s="3"/>
      <c r="AB181" s="4"/>
      <c r="AC181" s="3"/>
      <c r="AD181" s="4"/>
      <c r="AE181" s="3"/>
      <c r="AF181" s="4"/>
      <c r="AG181" s="3"/>
      <c r="AH181" s="4"/>
      <c r="AI181" s="3"/>
      <c r="AJ181" s="4"/>
      <c r="AK181" s="3"/>
      <c r="AL181" s="4"/>
      <c r="AM181" s="3"/>
      <c r="AN181" s="4"/>
      <c r="AO181" s="3"/>
      <c r="AP181" s="4"/>
      <c r="AQ181" s="3"/>
      <c r="AR181" s="4"/>
      <c r="AS181" s="3"/>
      <c r="AT181" s="4"/>
      <c r="AU181" s="3"/>
      <c r="AV181" s="4"/>
      <c r="AW181" s="3"/>
      <c r="AX181" s="4"/>
      <c r="AY181" s="3"/>
      <c r="AZ181" s="4"/>
      <c r="BA181" s="3"/>
      <c r="BB181" s="4"/>
      <c r="BC181" s="3"/>
      <c r="BD181" s="4"/>
      <c r="BE181" s="3"/>
      <c r="BF181" s="4"/>
      <c r="BG181" s="3"/>
      <c r="BH181" s="4"/>
      <c r="BI181" s="3"/>
      <c r="BJ181" s="4"/>
      <c r="BK181" s="3"/>
      <c r="BL181" s="4"/>
      <c r="BM181" s="3"/>
      <c r="BN181" s="4"/>
      <c r="BO181" s="3"/>
      <c r="BP181" s="4"/>
      <c r="BQ181" s="3"/>
      <c r="BR181" s="4"/>
      <c r="BS181" s="3"/>
      <c r="BT181" s="4"/>
      <c r="BU181" s="3"/>
      <c r="BV181" s="4"/>
      <c r="BW181" s="3"/>
      <c r="BX181" s="4"/>
      <c r="BY181" s="3"/>
      <c r="BZ181" s="4"/>
      <c r="CA181" s="3"/>
      <c r="CB181" s="4"/>
      <c r="CC181" s="3"/>
      <c r="CD181" s="4"/>
    </row>
    <row r="182">
      <c r="A182" s="3"/>
      <c r="B182" s="4"/>
      <c r="C182" s="3"/>
      <c r="D182" s="4"/>
      <c r="E182" s="3"/>
      <c r="F182" s="4"/>
      <c r="G182" s="3"/>
      <c r="H182" s="4"/>
      <c r="I182" s="3"/>
      <c r="J182" s="4"/>
      <c r="K182" s="3"/>
      <c r="L182" s="4"/>
      <c r="M182" s="3"/>
      <c r="N182" s="4"/>
      <c r="O182" s="3"/>
      <c r="P182" s="4"/>
      <c r="Q182" s="3"/>
      <c r="R182" s="4"/>
      <c r="S182" s="3"/>
      <c r="T182" s="4"/>
      <c r="U182" s="3"/>
      <c r="V182" s="4"/>
      <c r="W182" s="3"/>
      <c r="X182" s="4"/>
      <c r="Y182" s="3"/>
      <c r="Z182" s="4"/>
      <c r="AA182" s="3"/>
      <c r="AB182" s="4"/>
      <c r="AC182" s="3"/>
      <c r="AD182" s="4"/>
      <c r="AE182" s="3"/>
      <c r="AF182" s="4"/>
      <c r="AG182" s="3"/>
      <c r="AH182" s="4"/>
      <c r="AI182" s="3"/>
      <c r="AJ182" s="4"/>
      <c r="AK182" s="3"/>
      <c r="AL182" s="4"/>
      <c r="AM182" s="3"/>
      <c r="AN182" s="4"/>
      <c r="AO182" s="3"/>
      <c r="AP182" s="4"/>
      <c r="AQ182" s="3"/>
      <c r="AR182" s="4"/>
      <c r="AS182" s="3"/>
      <c r="AT182" s="4"/>
      <c r="AU182" s="3"/>
      <c r="AV182" s="4"/>
      <c r="AW182" s="3"/>
      <c r="AX182" s="4"/>
      <c r="AY182" s="3"/>
      <c r="AZ182" s="4"/>
      <c r="BA182" s="3"/>
      <c r="BB182" s="4"/>
      <c r="BC182" s="3"/>
      <c r="BD182" s="4"/>
      <c r="BE182" s="3"/>
      <c r="BF182" s="4"/>
      <c r="BG182" s="3"/>
      <c r="BH182" s="4"/>
      <c r="BI182" s="3"/>
      <c r="BJ182" s="4"/>
      <c r="BK182" s="3"/>
      <c r="BL182" s="4"/>
      <c r="BM182" s="3"/>
      <c r="BN182" s="4"/>
      <c r="BO182" s="3"/>
      <c r="BP182" s="4"/>
      <c r="BQ182" s="3"/>
      <c r="BR182" s="4"/>
      <c r="BS182" s="3"/>
      <c r="BT182" s="4"/>
      <c r="BU182" s="3"/>
      <c r="BV182" s="4"/>
      <c r="BW182" s="3"/>
      <c r="BX182" s="4"/>
      <c r="BY182" s="3"/>
      <c r="BZ182" s="4"/>
      <c r="CA182" s="3"/>
      <c r="CB182" s="4"/>
      <c r="CC182" s="3"/>
      <c r="CD182" s="4"/>
    </row>
    <row r="183">
      <c r="A183" s="3"/>
      <c r="B183" s="4"/>
      <c r="C183" s="3"/>
      <c r="D183" s="4"/>
      <c r="E183" s="3"/>
      <c r="F183" s="4"/>
      <c r="G183" s="3"/>
      <c r="H183" s="4"/>
      <c r="I183" s="3"/>
      <c r="J183" s="4"/>
      <c r="K183" s="3"/>
      <c r="L183" s="4"/>
      <c r="M183" s="3"/>
      <c r="N183" s="4"/>
      <c r="O183" s="3"/>
      <c r="P183" s="4"/>
      <c r="Q183" s="3"/>
      <c r="R183" s="4"/>
      <c r="S183" s="3"/>
      <c r="T183" s="4"/>
      <c r="U183" s="3"/>
      <c r="V183" s="4"/>
      <c r="W183" s="3"/>
      <c r="X183" s="4"/>
      <c r="Y183" s="3"/>
      <c r="Z183" s="4"/>
      <c r="AA183" s="3"/>
      <c r="AB183" s="4"/>
      <c r="AC183" s="3"/>
      <c r="AD183" s="4"/>
      <c r="AE183" s="3"/>
      <c r="AF183" s="4"/>
      <c r="AG183" s="3"/>
      <c r="AH183" s="4"/>
      <c r="AI183" s="3"/>
      <c r="AJ183" s="4"/>
      <c r="AK183" s="3"/>
      <c r="AL183" s="4"/>
      <c r="AM183" s="3"/>
      <c r="AN183" s="4"/>
      <c r="AO183" s="3"/>
      <c r="AP183" s="4"/>
      <c r="AQ183" s="3"/>
      <c r="AR183" s="4"/>
      <c r="AS183" s="3"/>
      <c r="AT183" s="4"/>
      <c r="AU183" s="3"/>
      <c r="AV183" s="4"/>
      <c r="AW183" s="3"/>
      <c r="AX183" s="4"/>
      <c r="AY183" s="3"/>
      <c r="AZ183" s="4"/>
      <c r="BA183" s="3"/>
      <c r="BB183" s="4"/>
      <c r="BC183" s="3"/>
      <c r="BD183" s="4"/>
      <c r="BE183" s="3"/>
      <c r="BF183" s="4"/>
      <c r="BG183" s="3"/>
      <c r="BH183" s="4"/>
      <c r="BI183" s="3"/>
      <c r="BJ183" s="4"/>
      <c r="BK183" s="3"/>
      <c r="BL183" s="4"/>
      <c r="BM183" s="3"/>
      <c r="BN183" s="4"/>
      <c r="BO183" s="3"/>
      <c r="BP183" s="4"/>
      <c r="BQ183" s="3"/>
      <c r="BR183" s="4"/>
      <c r="BS183" s="3"/>
      <c r="BT183" s="4"/>
      <c r="BU183" s="3"/>
      <c r="BV183" s="4"/>
      <c r="BW183" s="3"/>
      <c r="BX183" s="4"/>
      <c r="BY183" s="3"/>
      <c r="BZ183" s="4"/>
      <c r="CA183" s="3"/>
      <c r="CB183" s="4"/>
      <c r="CC183" s="3"/>
      <c r="CD183" s="4"/>
    </row>
    <row r="184">
      <c r="A184" s="3"/>
      <c r="B184" s="4"/>
      <c r="C184" s="3"/>
      <c r="D184" s="4"/>
      <c r="E184" s="3"/>
      <c r="F184" s="4"/>
      <c r="G184" s="3"/>
      <c r="H184" s="4"/>
      <c r="I184" s="3"/>
      <c r="J184" s="4"/>
      <c r="K184" s="3"/>
      <c r="L184" s="4"/>
      <c r="M184" s="3"/>
      <c r="N184" s="4"/>
      <c r="O184" s="3"/>
      <c r="P184" s="4"/>
      <c r="Q184" s="3"/>
      <c r="R184" s="4"/>
      <c r="S184" s="3"/>
      <c r="T184" s="4"/>
      <c r="U184" s="3"/>
      <c r="V184" s="4"/>
      <c r="W184" s="3"/>
      <c r="X184" s="4"/>
      <c r="Y184" s="3"/>
      <c r="Z184" s="4"/>
      <c r="AA184" s="3"/>
      <c r="AB184" s="4"/>
      <c r="AC184" s="3"/>
      <c r="AD184" s="4"/>
      <c r="AE184" s="3"/>
      <c r="AF184" s="4"/>
      <c r="AG184" s="3"/>
      <c r="AH184" s="4"/>
      <c r="AI184" s="3"/>
      <c r="AJ184" s="4"/>
      <c r="AK184" s="3"/>
      <c r="AL184" s="4"/>
      <c r="AM184" s="3"/>
      <c r="AN184" s="4"/>
      <c r="AO184" s="3"/>
      <c r="AP184" s="4"/>
      <c r="AQ184" s="3"/>
      <c r="AR184" s="4"/>
      <c r="AS184" s="3"/>
      <c r="AT184" s="4"/>
      <c r="AU184" s="3"/>
      <c r="AV184" s="4"/>
      <c r="AW184" s="3"/>
      <c r="AX184" s="4"/>
      <c r="AY184" s="3"/>
      <c r="AZ184" s="4"/>
      <c r="BA184" s="3"/>
      <c r="BB184" s="4"/>
      <c r="BC184" s="3"/>
      <c r="BD184" s="4"/>
      <c r="BE184" s="3"/>
      <c r="BF184" s="4"/>
      <c r="BG184" s="3"/>
      <c r="BH184" s="4"/>
      <c r="BI184" s="3"/>
      <c r="BJ184" s="4"/>
      <c r="BK184" s="3"/>
      <c r="BL184" s="4"/>
      <c r="BM184" s="3"/>
      <c r="BN184" s="4"/>
      <c r="BO184" s="3"/>
      <c r="BP184" s="4"/>
      <c r="BQ184" s="3"/>
      <c r="BR184" s="4"/>
      <c r="BS184" s="3"/>
      <c r="BT184" s="4"/>
      <c r="BU184" s="3"/>
      <c r="BV184" s="4"/>
      <c r="BW184" s="3"/>
      <c r="BX184" s="4"/>
      <c r="BY184" s="3"/>
      <c r="BZ184" s="4"/>
      <c r="CA184" s="3"/>
      <c r="CB184" s="4"/>
      <c r="CC184" s="3"/>
      <c r="CD184" s="4"/>
    </row>
    <row r="185">
      <c r="A185" s="3"/>
      <c r="B185" s="4"/>
      <c r="C185" s="3"/>
      <c r="D185" s="4"/>
      <c r="E185" s="3"/>
      <c r="F185" s="4"/>
      <c r="G185" s="3"/>
      <c r="H185" s="4"/>
      <c r="I185" s="3"/>
      <c r="J185" s="4"/>
      <c r="K185" s="3"/>
      <c r="L185" s="4"/>
      <c r="M185" s="3"/>
      <c r="N185" s="4"/>
      <c r="O185" s="3"/>
      <c r="P185" s="4"/>
      <c r="Q185" s="3"/>
      <c r="R185" s="4"/>
      <c r="S185" s="3"/>
      <c r="T185" s="4"/>
      <c r="U185" s="3"/>
      <c r="V185" s="4"/>
      <c r="W185" s="3"/>
      <c r="X185" s="4"/>
      <c r="Y185" s="3"/>
      <c r="Z185" s="4"/>
      <c r="AA185" s="3"/>
      <c r="AB185" s="4"/>
      <c r="AC185" s="3"/>
      <c r="AD185" s="4"/>
      <c r="AE185" s="3"/>
      <c r="AF185" s="4"/>
      <c r="AG185" s="3"/>
      <c r="AH185" s="4"/>
      <c r="AI185" s="3"/>
      <c r="AJ185" s="4"/>
      <c r="AK185" s="3"/>
      <c r="AL185" s="4"/>
      <c r="AM185" s="3"/>
      <c r="AN185" s="4"/>
      <c r="AO185" s="3"/>
      <c r="AP185" s="4"/>
      <c r="AQ185" s="3"/>
      <c r="AR185" s="4"/>
      <c r="AS185" s="3"/>
      <c r="AT185" s="4"/>
      <c r="AU185" s="3"/>
      <c r="AV185" s="4"/>
      <c r="AW185" s="3"/>
      <c r="AX185" s="4"/>
      <c r="AY185" s="3"/>
      <c r="AZ185" s="4"/>
      <c r="BA185" s="3"/>
      <c r="BB185" s="4"/>
      <c r="BC185" s="3"/>
      <c r="BD185" s="4"/>
      <c r="BE185" s="3"/>
      <c r="BF185" s="4"/>
      <c r="BG185" s="3"/>
      <c r="BH185" s="4"/>
      <c r="BI185" s="3"/>
      <c r="BJ185" s="4"/>
      <c r="BK185" s="3"/>
      <c r="BL185" s="4"/>
      <c r="BM185" s="3"/>
      <c r="BN185" s="4"/>
      <c r="BO185" s="3"/>
      <c r="BP185" s="4"/>
      <c r="BQ185" s="3"/>
      <c r="BR185" s="4"/>
      <c r="BS185" s="3"/>
      <c r="BT185" s="4"/>
      <c r="BU185" s="3"/>
      <c r="BV185" s="4"/>
      <c r="BW185" s="3"/>
      <c r="BX185" s="4"/>
      <c r="BY185" s="3"/>
      <c r="BZ185" s="4"/>
      <c r="CA185" s="3"/>
      <c r="CB185" s="4"/>
      <c r="CC185" s="3"/>
      <c r="CD185" s="4"/>
    </row>
    <row r="186">
      <c r="A186" s="3"/>
      <c r="B186" s="4"/>
      <c r="C186" s="3"/>
      <c r="D186" s="4"/>
      <c r="E186" s="3"/>
      <c r="F186" s="4"/>
      <c r="G186" s="3"/>
      <c r="H186" s="4"/>
      <c r="I186" s="3"/>
      <c r="J186" s="4"/>
      <c r="K186" s="3"/>
      <c r="L186" s="4"/>
      <c r="M186" s="3"/>
      <c r="N186" s="4"/>
      <c r="O186" s="3"/>
      <c r="P186" s="4"/>
      <c r="Q186" s="3"/>
      <c r="R186" s="4"/>
      <c r="S186" s="3"/>
      <c r="T186" s="4"/>
      <c r="U186" s="3"/>
      <c r="V186" s="4"/>
      <c r="W186" s="3"/>
      <c r="X186" s="4"/>
      <c r="Y186" s="3"/>
      <c r="Z186" s="4"/>
      <c r="AA186" s="3"/>
      <c r="AB186" s="4"/>
      <c r="AC186" s="3"/>
      <c r="AD186" s="4"/>
      <c r="AE186" s="3"/>
      <c r="AF186" s="4"/>
      <c r="AG186" s="3"/>
      <c r="AH186" s="4"/>
      <c r="AI186" s="3"/>
      <c r="AJ186" s="4"/>
      <c r="AK186" s="3"/>
      <c r="AL186" s="4"/>
      <c r="AM186" s="3"/>
      <c r="AN186" s="4"/>
      <c r="AO186" s="3"/>
      <c r="AP186" s="4"/>
      <c r="AQ186" s="3"/>
      <c r="AR186" s="4"/>
      <c r="AS186" s="3"/>
      <c r="AT186" s="4"/>
      <c r="AU186" s="3"/>
      <c r="AV186" s="4"/>
      <c r="AW186" s="3"/>
      <c r="AX186" s="4"/>
      <c r="AY186" s="3"/>
      <c r="AZ186" s="4"/>
      <c r="BA186" s="3"/>
      <c r="BB186" s="4"/>
      <c r="BC186" s="3"/>
      <c r="BD186" s="4"/>
      <c r="BE186" s="3"/>
      <c r="BF186" s="4"/>
      <c r="BG186" s="3"/>
      <c r="BH186" s="4"/>
      <c r="BI186" s="3"/>
      <c r="BJ186" s="4"/>
      <c r="BK186" s="3"/>
      <c r="BL186" s="4"/>
      <c r="BM186" s="3"/>
      <c r="BN186" s="4"/>
      <c r="BO186" s="3"/>
      <c r="BP186" s="4"/>
      <c r="BQ186" s="3"/>
      <c r="BR186" s="4"/>
      <c r="BS186" s="3"/>
      <c r="BT186" s="4"/>
      <c r="BU186" s="3"/>
      <c r="BV186" s="4"/>
      <c r="BW186" s="3"/>
      <c r="BX186" s="4"/>
      <c r="BY186" s="3"/>
      <c r="BZ186" s="4"/>
      <c r="CA186" s="3"/>
      <c r="CB186" s="4"/>
      <c r="CC186" s="3"/>
      <c r="CD186" s="4"/>
    </row>
    <row r="187">
      <c r="A187" s="3"/>
      <c r="B187" s="4"/>
      <c r="C187" s="3"/>
      <c r="D187" s="4"/>
      <c r="E187" s="3"/>
      <c r="F187" s="4"/>
      <c r="G187" s="3"/>
      <c r="H187" s="4"/>
      <c r="I187" s="3"/>
      <c r="J187" s="4"/>
      <c r="K187" s="3"/>
      <c r="L187" s="4"/>
      <c r="M187" s="3"/>
      <c r="N187" s="4"/>
      <c r="O187" s="3"/>
      <c r="P187" s="4"/>
      <c r="Q187" s="3"/>
      <c r="R187" s="4"/>
      <c r="S187" s="3"/>
      <c r="T187" s="4"/>
      <c r="U187" s="3"/>
      <c r="V187" s="4"/>
      <c r="W187" s="3"/>
      <c r="X187" s="4"/>
      <c r="Y187" s="3"/>
      <c r="Z187" s="4"/>
      <c r="AA187" s="3"/>
      <c r="AB187" s="4"/>
      <c r="AC187" s="3"/>
      <c r="AD187" s="4"/>
      <c r="AE187" s="3"/>
      <c r="AF187" s="4"/>
      <c r="AG187" s="3"/>
      <c r="AH187" s="4"/>
      <c r="AI187" s="3"/>
      <c r="AJ187" s="4"/>
      <c r="AK187" s="3"/>
      <c r="AL187" s="4"/>
      <c r="AM187" s="3"/>
      <c r="AN187" s="4"/>
      <c r="AO187" s="3"/>
      <c r="AP187" s="4"/>
      <c r="AQ187" s="3"/>
      <c r="AR187" s="4"/>
      <c r="AS187" s="3"/>
      <c r="AT187" s="4"/>
      <c r="AU187" s="3"/>
      <c r="AV187" s="4"/>
      <c r="AW187" s="3"/>
      <c r="AX187" s="4"/>
      <c r="AY187" s="3"/>
      <c r="AZ187" s="4"/>
      <c r="BA187" s="3"/>
      <c r="BB187" s="4"/>
      <c r="BC187" s="3"/>
      <c r="BD187" s="4"/>
      <c r="BE187" s="3"/>
      <c r="BF187" s="4"/>
      <c r="BG187" s="3"/>
      <c r="BH187" s="4"/>
      <c r="BI187" s="3"/>
      <c r="BJ187" s="4"/>
      <c r="BK187" s="3"/>
      <c r="BL187" s="4"/>
      <c r="BM187" s="3"/>
      <c r="BN187" s="4"/>
      <c r="BO187" s="3"/>
      <c r="BP187" s="4"/>
      <c r="BQ187" s="3"/>
      <c r="BR187" s="4"/>
      <c r="BS187" s="3"/>
      <c r="BT187" s="4"/>
      <c r="BU187" s="3"/>
      <c r="BV187" s="4"/>
      <c r="BW187" s="3"/>
      <c r="BX187" s="4"/>
      <c r="BY187" s="3"/>
      <c r="BZ187" s="4"/>
      <c r="CA187" s="3"/>
      <c r="CB187" s="4"/>
      <c r="CC187" s="3"/>
      <c r="CD187" s="4"/>
    </row>
    <row r="188">
      <c r="A188" s="3"/>
      <c r="B188" s="4"/>
      <c r="C188" s="3"/>
      <c r="D188" s="4"/>
      <c r="E188" s="3"/>
      <c r="F188" s="4"/>
      <c r="G188" s="3"/>
      <c r="H188" s="4"/>
      <c r="I188" s="3"/>
      <c r="J188" s="4"/>
      <c r="K188" s="3"/>
      <c r="L188" s="4"/>
      <c r="M188" s="3"/>
      <c r="N188" s="4"/>
      <c r="O188" s="3"/>
      <c r="P188" s="4"/>
      <c r="Q188" s="3"/>
      <c r="R188" s="4"/>
      <c r="S188" s="3"/>
      <c r="T188" s="4"/>
      <c r="U188" s="3"/>
      <c r="V188" s="4"/>
      <c r="W188" s="3"/>
      <c r="X188" s="4"/>
      <c r="Y188" s="3"/>
      <c r="Z188" s="4"/>
      <c r="AA188" s="3"/>
      <c r="AB188" s="4"/>
      <c r="AC188" s="3"/>
      <c r="AD188" s="4"/>
      <c r="AE188" s="3"/>
      <c r="AF188" s="4"/>
      <c r="AG188" s="3"/>
      <c r="AH188" s="4"/>
      <c r="AI188" s="3"/>
      <c r="AJ188" s="4"/>
      <c r="AK188" s="3"/>
      <c r="AL188" s="4"/>
      <c r="AM188" s="3"/>
      <c r="AN188" s="4"/>
      <c r="AO188" s="3"/>
      <c r="AP188" s="4"/>
      <c r="AQ188" s="3"/>
      <c r="AR188" s="4"/>
      <c r="AS188" s="3"/>
      <c r="AT188" s="4"/>
      <c r="AU188" s="3"/>
      <c r="AV188" s="4"/>
      <c r="AW188" s="3"/>
      <c r="AX188" s="4"/>
      <c r="AY188" s="3"/>
      <c r="AZ188" s="4"/>
      <c r="BA188" s="3"/>
      <c r="BB188" s="4"/>
      <c r="BC188" s="3"/>
      <c r="BD188" s="4"/>
      <c r="BE188" s="3"/>
      <c r="BF188" s="4"/>
      <c r="BG188" s="3"/>
      <c r="BH188" s="4"/>
      <c r="BI188" s="3"/>
      <c r="BJ188" s="4"/>
      <c r="BK188" s="3"/>
      <c r="BL188" s="4"/>
      <c r="BM188" s="3"/>
      <c r="BN188" s="4"/>
      <c r="BO188" s="3"/>
      <c r="BP188" s="4"/>
      <c r="BQ188" s="3"/>
      <c r="BR188" s="4"/>
      <c r="BS188" s="3"/>
      <c r="BT188" s="4"/>
      <c r="BU188" s="3"/>
      <c r="BV188" s="4"/>
      <c r="BW188" s="3"/>
      <c r="BX188" s="4"/>
      <c r="BY188" s="3"/>
      <c r="BZ188" s="4"/>
      <c r="CA188" s="3"/>
      <c r="CB188" s="4"/>
      <c r="CC188" s="3"/>
      <c r="CD188" s="4"/>
    </row>
    <row r="189">
      <c r="A189" s="3"/>
      <c r="B189" s="4"/>
      <c r="C189" s="3"/>
      <c r="D189" s="4"/>
      <c r="E189" s="3"/>
      <c r="F189" s="4"/>
      <c r="G189" s="3"/>
      <c r="H189" s="4"/>
      <c r="I189" s="3"/>
      <c r="J189" s="4"/>
      <c r="K189" s="3"/>
      <c r="L189" s="4"/>
      <c r="M189" s="3"/>
      <c r="N189" s="4"/>
      <c r="O189" s="3"/>
      <c r="P189" s="4"/>
      <c r="Q189" s="3"/>
      <c r="R189" s="4"/>
      <c r="S189" s="3"/>
      <c r="T189" s="4"/>
      <c r="U189" s="3"/>
      <c r="V189" s="4"/>
      <c r="W189" s="3"/>
      <c r="X189" s="4"/>
      <c r="Y189" s="3"/>
      <c r="Z189" s="4"/>
      <c r="AA189" s="3"/>
      <c r="AB189" s="4"/>
      <c r="AC189" s="3"/>
      <c r="AD189" s="4"/>
      <c r="AE189" s="3"/>
      <c r="AF189" s="4"/>
      <c r="AG189" s="3"/>
      <c r="AH189" s="4"/>
      <c r="AI189" s="3"/>
      <c r="AJ189" s="4"/>
      <c r="AK189" s="3"/>
      <c r="AL189" s="4"/>
      <c r="AM189" s="3"/>
      <c r="AN189" s="4"/>
      <c r="AO189" s="3"/>
      <c r="AP189" s="4"/>
      <c r="AQ189" s="3"/>
      <c r="AR189" s="4"/>
      <c r="AS189" s="3"/>
      <c r="AT189" s="4"/>
      <c r="AU189" s="3"/>
      <c r="AV189" s="4"/>
      <c r="AW189" s="3"/>
      <c r="AX189" s="4"/>
      <c r="AY189" s="3"/>
      <c r="AZ189" s="4"/>
      <c r="BA189" s="3"/>
      <c r="BB189" s="4"/>
      <c r="BC189" s="3"/>
      <c r="BD189" s="4"/>
      <c r="BE189" s="3"/>
      <c r="BF189" s="4"/>
      <c r="BG189" s="3"/>
      <c r="BH189" s="4"/>
      <c r="BI189" s="3"/>
      <c r="BJ189" s="4"/>
      <c r="BK189" s="3"/>
      <c r="BL189" s="4"/>
      <c r="BM189" s="3"/>
      <c r="BN189" s="4"/>
      <c r="BO189" s="3"/>
      <c r="BP189" s="4"/>
      <c r="BQ189" s="3"/>
      <c r="BR189" s="4"/>
      <c r="BS189" s="3"/>
      <c r="BT189" s="4"/>
      <c r="BU189" s="3"/>
      <c r="BV189" s="4"/>
      <c r="BW189" s="3"/>
      <c r="BX189" s="4"/>
      <c r="BY189" s="3"/>
      <c r="BZ189" s="4"/>
      <c r="CA189" s="3"/>
      <c r="CB189" s="4"/>
      <c r="CC189" s="3"/>
      <c r="CD189" s="4"/>
    </row>
    <row r="190">
      <c r="A190" s="3"/>
      <c r="B190" s="4"/>
      <c r="C190" s="3"/>
      <c r="D190" s="4"/>
      <c r="E190" s="3"/>
      <c r="F190" s="4"/>
      <c r="G190" s="3"/>
      <c r="H190" s="4"/>
      <c r="I190" s="3"/>
      <c r="J190" s="4"/>
      <c r="K190" s="3"/>
      <c r="L190" s="4"/>
      <c r="M190" s="3"/>
      <c r="N190" s="4"/>
      <c r="O190" s="3"/>
      <c r="P190" s="4"/>
      <c r="Q190" s="3"/>
      <c r="R190" s="4"/>
      <c r="S190" s="3"/>
      <c r="T190" s="4"/>
      <c r="U190" s="3"/>
      <c r="V190" s="4"/>
      <c r="W190" s="3"/>
      <c r="X190" s="4"/>
      <c r="Y190" s="3"/>
      <c r="Z190" s="4"/>
      <c r="AA190" s="3"/>
      <c r="AB190" s="4"/>
      <c r="AC190" s="3"/>
      <c r="AD190" s="4"/>
      <c r="AE190" s="3"/>
      <c r="AF190" s="4"/>
      <c r="AG190" s="3"/>
      <c r="AH190" s="4"/>
      <c r="AI190" s="3"/>
      <c r="AJ190" s="4"/>
      <c r="AK190" s="3"/>
      <c r="AL190" s="4"/>
      <c r="AM190" s="3"/>
      <c r="AN190" s="4"/>
      <c r="AO190" s="3"/>
      <c r="AP190" s="4"/>
      <c r="AQ190" s="3"/>
      <c r="AR190" s="4"/>
      <c r="AS190" s="3"/>
      <c r="AT190" s="4"/>
      <c r="AU190" s="3"/>
      <c r="AV190" s="4"/>
      <c r="AW190" s="3"/>
      <c r="AX190" s="4"/>
      <c r="AY190" s="3"/>
      <c r="AZ190" s="4"/>
      <c r="BA190" s="3"/>
      <c r="BB190" s="4"/>
      <c r="BC190" s="3"/>
      <c r="BD190" s="4"/>
      <c r="BE190" s="3"/>
      <c r="BF190" s="4"/>
      <c r="BG190" s="3"/>
      <c r="BH190" s="4"/>
      <c r="BI190" s="3"/>
      <c r="BJ190" s="4"/>
      <c r="BK190" s="3"/>
      <c r="BL190" s="4"/>
      <c r="BM190" s="3"/>
      <c r="BN190" s="4"/>
      <c r="BO190" s="3"/>
      <c r="BP190" s="4"/>
      <c r="BQ190" s="3"/>
      <c r="BR190" s="4"/>
      <c r="BS190" s="3"/>
      <c r="BT190" s="4"/>
      <c r="BU190" s="3"/>
      <c r="BV190" s="4"/>
      <c r="BW190" s="3"/>
      <c r="BX190" s="4"/>
      <c r="BY190" s="3"/>
      <c r="BZ190" s="4"/>
      <c r="CA190" s="3"/>
      <c r="CB190" s="4"/>
      <c r="CC190" s="3"/>
      <c r="CD190" s="4"/>
    </row>
    <row r="191">
      <c r="A191" s="3"/>
      <c r="B191" s="4"/>
      <c r="C191" s="3"/>
      <c r="D191" s="4"/>
      <c r="E191" s="3"/>
      <c r="F191" s="4"/>
      <c r="G191" s="3"/>
      <c r="H191" s="4"/>
      <c r="I191" s="3"/>
      <c r="J191" s="4"/>
      <c r="K191" s="3"/>
      <c r="L191" s="4"/>
      <c r="M191" s="3"/>
      <c r="N191" s="4"/>
      <c r="O191" s="3"/>
      <c r="P191" s="4"/>
      <c r="Q191" s="3"/>
      <c r="R191" s="4"/>
      <c r="S191" s="3"/>
      <c r="T191" s="4"/>
      <c r="U191" s="3"/>
      <c r="V191" s="4"/>
      <c r="W191" s="3"/>
      <c r="X191" s="4"/>
      <c r="Y191" s="3"/>
      <c r="Z191" s="4"/>
      <c r="AA191" s="3"/>
      <c r="AB191" s="4"/>
      <c r="AC191" s="3"/>
      <c r="AD191" s="4"/>
      <c r="AE191" s="3"/>
      <c r="AF191" s="4"/>
      <c r="AG191" s="3"/>
      <c r="AH191" s="4"/>
      <c r="AI191" s="3"/>
      <c r="AJ191" s="4"/>
      <c r="AK191" s="3"/>
      <c r="AL191" s="4"/>
      <c r="AM191" s="3"/>
      <c r="AN191" s="4"/>
      <c r="AO191" s="3"/>
      <c r="AP191" s="4"/>
      <c r="AQ191" s="3"/>
      <c r="AR191" s="4"/>
      <c r="AS191" s="3"/>
      <c r="AT191" s="4"/>
      <c r="AU191" s="3"/>
      <c r="AV191" s="4"/>
      <c r="AW191" s="3"/>
      <c r="AX191" s="4"/>
      <c r="AY191" s="3"/>
      <c r="AZ191" s="4"/>
      <c r="BA191" s="3"/>
      <c r="BB191" s="4"/>
      <c r="BC191" s="3"/>
      <c r="BD191" s="4"/>
      <c r="BE191" s="3"/>
      <c r="BF191" s="4"/>
      <c r="BG191" s="3"/>
      <c r="BH191" s="4"/>
      <c r="BI191" s="3"/>
      <c r="BJ191" s="4"/>
      <c r="BK191" s="3"/>
      <c r="BL191" s="4"/>
      <c r="BM191" s="3"/>
      <c r="BN191" s="4"/>
      <c r="BO191" s="3"/>
      <c r="BP191" s="4"/>
      <c r="BQ191" s="3"/>
      <c r="BR191" s="4"/>
      <c r="BS191" s="3"/>
      <c r="BT191" s="4"/>
      <c r="BU191" s="3"/>
      <c r="BV191" s="4"/>
      <c r="BW191" s="3"/>
      <c r="BX191" s="4"/>
      <c r="BY191" s="3"/>
      <c r="BZ191" s="4"/>
      <c r="CA191" s="3"/>
      <c r="CB191" s="4"/>
      <c r="CC191" s="3"/>
      <c r="CD191" s="4"/>
    </row>
    <row r="192">
      <c r="A192" s="3"/>
      <c r="B192" s="4"/>
      <c r="C192" s="3"/>
      <c r="D192" s="4"/>
      <c r="E192" s="3"/>
      <c r="F192" s="4"/>
      <c r="G192" s="3"/>
      <c r="H192" s="4"/>
      <c r="I192" s="3"/>
      <c r="J192" s="4"/>
      <c r="K192" s="3"/>
      <c r="L192" s="4"/>
      <c r="M192" s="3"/>
      <c r="N192" s="4"/>
      <c r="O192" s="3"/>
      <c r="P192" s="4"/>
      <c r="Q192" s="3"/>
      <c r="R192" s="4"/>
      <c r="S192" s="3"/>
      <c r="T192" s="4"/>
      <c r="U192" s="3"/>
      <c r="V192" s="4"/>
      <c r="W192" s="3"/>
      <c r="X192" s="4"/>
      <c r="Y192" s="3"/>
      <c r="Z192" s="4"/>
      <c r="AA192" s="3"/>
      <c r="AB192" s="4"/>
      <c r="AC192" s="3"/>
      <c r="AD192" s="4"/>
      <c r="AE192" s="3"/>
      <c r="AF192" s="4"/>
      <c r="AG192" s="3"/>
      <c r="AH192" s="4"/>
      <c r="AI192" s="3"/>
      <c r="AJ192" s="4"/>
      <c r="AK192" s="3"/>
      <c r="AL192" s="4"/>
      <c r="AM192" s="3"/>
      <c r="AN192" s="4"/>
      <c r="AO192" s="3"/>
      <c r="AP192" s="4"/>
      <c r="AQ192" s="3"/>
      <c r="AR192" s="4"/>
      <c r="AS192" s="3"/>
      <c r="AT192" s="4"/>
      <c r="AU192" s="3"/>
      <c r="AV192" s="4"/>
      <c r="AW192" s="3"/>
      <c r="AX192" s="4"/>
      <c r="AY192" s="3"/>
      <c r="AZ192" s="4"/>
      <c r="BA192" s="3"/>
      <c r="BB192" s="4"/>
      <c r="BC192" s="3"/>
      <c r="BD192" s="4"/>
      <c r="BE192" s="3"/>
      <c r="BF192" s="4"/>
      <c r="BG192" s="3"/>
      <c r="BH192" s="4"/>
      <c r="BI192" s="3"/>
      <c r="BJ192" s="4"/>
      <c r="BK192" s="3"/>
      <c r="BL192" s="4"/>
      <c r="BM192" s="3"/>
      <c r="BN192" s="4"/>
      <c r="BO192" s="3"/>
      <c r="BP192" s="4"/>
      <c r="BQ192" s="3"/>
      <c r="BR192" s="4"/>
      <c r="BS192" s="3"/>
      <c r="BT192" s="4"/>
      <c r="BU192" s="3"/>
      <c r="BV192" s="4"/>
      <c r="BW192" s="3"/>
      <c r="BX192" s="4"/>
      <c r="BY192" s="3"/>
      <c r="BZ192" s="4"/>
      <c r="CA192" s="3"/>
      <c r="CB192" s="4"/>
      <c r="CC192" s="3"/>
      <c r="CD192" s="4"/>
    </row>
    <row r="193">
      <c r="A193" s="3"/>
      <c r="B193" s="4"/>
      <c r="C193" s="3"/>
      <c r="D193" s="4"/>
      <c r="E193" s="3"/>
      <c r="F193" s="4"/>
      <c r="G193" s="3"/>
      <c r="H193" s="4"/>
      <c r="I193" s="3"/>
      <c r="J193" s="4"/>
      <c r="K193" s="3"/>
      <c r="L193" s="4"/>
      <c r="M193" s="3"/>
      <c r="N193" s="4"/>
      <c r="O193" s="3"/>
      <c r="P193" s="4"/>
      <c r="Q193" s="3"/>
      <c r="R193" s="4"/>
      <c r="S193" s="3"/>
      <c r="T193" s="4"/>
      <c r="U193" s="3"/>
      <c r="V193" s="4"/>
      <c r="W193" s="3"/>
      <c r="X193" s="4"/>
      <c r="Y193" s="3"/>
      <c r="Z193" s="4"/>
      <c r="AA193" s="3"/>
      <c r="AB193" s="4"/>
      <c r="AC193" s="3"/>
      <c r="AD193" s="4"/>
      <c r="AE193" s="3"/>
      <c r="AF193" s="4"/>
      <c r="AG193" s="3"/>
      <c r="AH193" s="4"/>
      <c r="AI193" s="3"/>
      <c r="AJ193" s="4"/>
      <c r="AK193" s="3"/>
      <c r="AL193" s="4"/>
      <c r="AM193" s="3"/>
      <c r="AN193" s="4"/>
      <c r="AO193" s="3"/>
      <c r="AP193" s="4"/>
      <c r="AQ193" s="3"/>
      <c r="AR193" s="4"/>
      <c r="AS193" s="3"/>
      <c r="AT193" s="4"/>
      <c r="AU193" s="3"/>
      <c r="AV193" s="4"/>
      <c r="AW193" s="3"/>
      <c r="AX193" s="4"/>
      <c r="AY193" s="3"/>
      <c r="AZ193" s="4"/>
      <c r="BA193" s="3"/>
      <c r="BB193" s="4"/>
      <c r="BC193" s="3"/>
      <c r="BD193" s="4"/>
      <c r="BE193" s="3"/>
      <c r="BF193" s="4"/>
      <c r="BG193" s="3"/>
      <c r="BH193" s="4"/>
      <c r="BI193" s="3"/>
      <c r="BJ193" s="4"/>
      <c r="BK193" s="3"/>
      <c r="BL193" s="4"/>
      <c r="BM193" s="3"/>
      <c r="BN193" s="4"/>
      <c r="BO193" s="3"/>
      <c r="BP193" s="4"/>
      <c r="BQ193" s="3"/>
      <c r="BR193" s="4"/>
      <c r="BS193" s="3"/>
      <c r="BT193" s="4"/>
      <c r="BU193" s="3"/>
      <c r="BV193" s="4"/>
      <c r="BW193" s="3"/>
      <c r="BX193" s="4"/>
      <c r="BY193" s="3"/>
      <c r="BZ193" s="4"/>
      <c r="CA193" s="3"/>
      <c r="CB193" s="4"/>
      <c r="CC193" s="3"/>
      <c r="CD193" s="4"/>
    </row>
    <row r="194">
      <c r="A194" s="3"/>
      <c r="B194" s="4"/>
      <c r="C194" s="3"/>
      <c r="D194" s="4"/>
      <c r="E194" s="3"/>
      <c r="F194" s="4"/>
      <c r="G194" s="3"/>
      <c r="H194" s="4"/>
      <c r="I194" s="3"/>
      <c r="J194" s="4"/>
      <c r="K194" s="3"/>
      <c r="L194" s="4"/>
      <c r="M194" s="3"/>
      <c r="N194" s="4"/>
      <c r="O194" s="3"/>
      <c r="P194" s="4"/>
      <c r="Q194" s="3"/>
      <c r="R194" s="4"/>
      <c r="S194" s="3"/>
      <c r="T194" s="4"/>
      <c r="U194" s="3"/>
      <c r="V194" s="4"/>
      <c r="W194" s="3"/>
      <c r="X194" s="4"/>
      <c r="Y194" s="3"/>
      <c r="Z194" s="4"/>
      <c r="AA194" s="3"/>
      <c r="AB194" s="4"/>
      <c r="AC194" s="3"/>
      <c r="AD194" s="4"/>
      <c r="AE194" s="3"/>
      <c r="AF194" s="4"/>
      <c r="AG194" s="3"/>
      <c r="AH194" s="4"/>
      <c r="AI194" s="3"/>
      <c r="AJ194" s="4"/>
      <c r="AK194" s="3"/>
      <c r="AL194" s="4"/>
      <c r="AM194" s="3"/>
      <c r="AN194" s="4"/>
      <c r="AO194" s="3"/>
      <c r="AP194" s="4"/>
      <c r="AQ194" s="3"/>
      <c r="AR194" s="4"/>
      <c r="AS194" s="3"/>
      <c r="AT194" s="4"/>
      <c r="AU194" s="3"/>
      <c r="AV194" s="4"/>
      <c r="AW194" s="3"/>
      <c r="AX194" s="4"/>
      <c r="AY194" s="3"/>
      <c r="AZ194" s="4"/>
      <c r="BA194" s="3"/>
      <c r="BB194" s="4"/>
      <c r="BC194" s="3"/>
      <c r="BD194" s="4"/>
      <c r="BE194" s="3"/>
      <c r="BF194" s="4"/>
      <c r="BG194" s="3"/>
      <c r="BH194" s="4"/>
      <c r="BI194" s="3"/>
      <c r="BJ194" s="4"/>
      <c r="BK194" s="3"/>
      <c r="BL194" s="4"/>
      <c r="BM194" s="3"/>
      <c r="BN194" s="4"/>
      <c r="BO194" s="3"/>
      <c r="BP194" s="4"/>
      <c r="BQ194" s="3"/>
      <c r="BR194" s="4"/>
      <c r="BS194" s="3"/>
      <c r="BT194" s="4"/>
      <c r="BU194" s="3"/>
      <c r="BV194" s="4"/>
      <c r="BW194" s="3"/>
      <c r="BX194" s="4"/>
      <c r="BY194" s="3"/>
      <c r="BZ194" s="4"/>
      <c r="CA194" s="3"/>
      <c r="CB194" s="4"/>
      <c r="CC194" s="3"/>
      <c r="CD194" s="4"/>
    </row>
    <row r="195">
      <c r="A195" s="3"/>
      <c r="B195" s="4"/>
      <c r="C195" s="3"/>
      <c r="D195" s="4"/>
      <c r="E195" s="3"/>
      <c r="F195" s="4"/>
      <c r="G195" s="3"/>
      <c r="H195" s="4"/>
      <c r="I195" s="3"/>
      <c r="J195" s="4"/>
      <c r="K195" s="3"/>
      <c r="L195" s="4"/>
      <c r="M195" s="3"/>
      <c r="N195" s="4"/>
      <c r="O195" s="3"/>
      <c r="P195" s="4"/>
      <c r="Q195" s="3"/>
      <c r="R195" s="4"/>
      <c r="S195" s="3"/>
      <c r="T195" s="4"/>
      <c r="U195" s="3"/>
      <c r="V195" s="4"/>
      <c r="W195" s="3"/>
      <c r="X195" s="4"/>
      <c r="Y195" s="3"/>
      <c r="Z195" s="4"/>
      <c r="AA195" s="3"/>
      <c r="AB195" s="4"/>
      <c r="AC195" s="3"/>
      <c r="AD195" s="4"/>
      <c r="AE195" s="3"/>
      <c r="AF195" s="4"/>
      <c r="AG195" s="3"/>
      <c r="AH195" s="4"/>
      <c r="AI195" s="3"/>
      <c r="AJ195" s="4"/>
      <c r="AK195" s="3"/>
      <c r="AL195" s="4"/>
      <c r="AM195" s="3"/>
      <c r="AN195" s="4"/>
      <c r="AO195" s="3"/>
      <c r="AP195" s="4"/>
      <c r="AQ195" s="3"/>
      <c r="AR195" s="4"/>
      <c r="AS195" s="3"/>
      <c r="AT195" s="4"/>
      <c r="AU195" s="3"/>
      <c r="AV195" s="4"/>
      <c r="AW195" s="3"/>
      <c r="AX195" s="4"/>
      <c r="AY195" s="3"/>
      <c r="AZ195" s="4"/>
      <c r="BA195" s="3"/>
      <c r="BB195" s="4"/>
      <c r="BC195" s="3"/>
      <c r="BD195" s="4"/>
      <c r="BE195" s="3"/>
      <c r="BF195" s="4"/>
      <c r="BG195" s="3"/>
      <c r="BH195" s="4"/>
      <c r="BI195" s="3"/>
      <c r="BJ195" s="4"/>
      <c r="BK195" s="3"/>
      <c r="BL195" s="4"/>
      <c r="BM195" s="3"/>
      <c r="BN195" s="4"/>
      <c r="BO195" s="3"/>
      <c r="BP195" s="4"/>
      <c r="BQ195" s="3"/>
      <c r="BR195" s="4"/>
      <c r="BS195" s="3"/>
      <c r="BT195" s="4"/>
      <c r="BU195" s="3"/>
      <c r="BV195" s="4"/>
      <c r="BW195" s="3"/>
      <c r="BX195" s="4"/>
      <c r="BY195" s="3"/>
      <c r="BZ195" s="4"/>
      <c r="CA195" s="3"/>
      <c r="CB195" s="4"/>
      <c r="CC195" s="3"/>
      <c r="CD195" s="4"/>
    </row>
    <row r="196">
      <c r="A196" s="3"/>
      <c r="B196" s="4"/>
      <c r="C196" s="3"/>
      <c r="D196" s="4"/>
      <c r="E196" s="3"/>
      <c r="F196" s="4"/>
      <c r="G196" s="3"/>
      <c r="H196" s="4"/>
      <c r="I196" s="3"/>
      <c r="J196" s="4"/>
      <c r="K196" s="3"/>
      <c r="L196" s="4"/>
      <c r="M196" s="3"/>
      <c r="N196" s="4"/>
      <c r="O196" s="3"/>
      <c r="P196" s="4"/>
      <c r="Q196" s="3"/>
      <c r="R196" s="4"/>
      <c r="S196" s="3"/>
      <c r="T196" s="4"/>
      <c r="U196" s="3"/>
      <c r="V196" s="4"/>
      <c r="W196" s="3"/>
      <c r="X196" s="4"/>
      <c r="Y196" s="3"/>
      <c r="Z196" s="4"/>
      <c r="AA196" s="3"/>
      <c r="AB196" s="4"/>
      <c r="AC196" s="3"/>
      <c r="AD196" s="4"/>
      <c r="AE196" s="3"/>
      <c r="AF196" s="4"/>
      <c r="AG196" s="3"/>
      <c r="AH196" s="4"/>
      <c r="AI196" s="3"/>
      <c r="AJ196" s="4"/>
      <c r="AK196" s="3"/>
      <c r="AL196" s="4"/>
      <c r="AM196" s="3"/>
      <c r="AN196" s="4"/>
      <c r="AO196" s="3"/>
      <c r="AP196" s="4"/>
      <c r="AQ196" s="3"/>
      <c r="AR196" s="4"/>
      <c r="AS196" s="3"/>
      <c r="AT196" s="4"/>
      <c r="AU196" s="3"/>
      <c r="AV196" s="4"/>
      <c r="AW196" s="3"/>
      <c r="AX196" s="4"/>
      <c r="AY196" s="3"/>
      <c r="AZ196" s="4"/>
      <c r="BA196" s="3"/>
      <c r="BB196" s="4"/>
      <c r="BC196" s="3"/>
      <c r="BD196" s="4"/>
      <c r="BE196" s="3"/>
      <c r="BF196" s="4"/>
      <c r="BG196" s="3"/>
      <c r="BH196" s="4"/>
      <c r="BI196" s="3"/>
      <c r="BJ196" s="4"/>
      <c r="BK196" s="3"/>
      <c r="BL196" s="4"/>
      <c r="BM196" s="3"/>
      <c r="BN196" s="4"/>
      <c r="BO196" s="3"/>
      <c r="BP196" s="4"/>
      <c r="BQ196" s="3"/>
      <c r="BR196" s="4"/>
      <c r="BS196" s="3"/>
      <c r="BT196" s="4"/>
      <c r="BU196" s="3"/>
      <c r="BV196" s="4"/>
      <c r="BW196" s="3"/>
      <c r="BX196" s="4"/>
      <c r="BY196" s="3"/>
      <c r="BZ196" s="4"/>
      <c r="CA196" s="3"/>
      <c r="CB196" s="4"/>
      <c r="CC196" s="3"/>
      <c r="CD196" s="4"/>
    </row>
    <row r="197">
      <c r="A197" s="3"/>
      <c r="B197" s="4"/>
      <c r="C197" s="3"/>
      <c r="D197" s="4"/>
      <c r="E197" s="3"/>
      <c r="F197" s="4"/>
      <c r="G197" s="3"/>
      <c r="H197" s="4"/>
      <c r="I197" s="3"/>
      <c r="J197" s="4"/>
      <c r="K197" s="3"/>
      <c r="L197" s="4"/>
      <c r="M197" s="3"/>
      <c r="N197" s="4"/>
      <c r="O197" s="3"/>
      <c r="P197" s="4"/>
      <c r="Q197" s="3"/>
      <c r="R197" s="4"/>
      <c r="S197" s="3"/>
      <c r="T197" s="4"/>
      <c r="U197" s="3"/>
      <c r="V197" s="4"/>
      <c r="W197" s="3"/>
      <c r="X197" s="4"/>
      <c r="Y197" s="3"/>
      <c r="Z197" s="4"/>
      <c r="AA197" s="3"/>
      <c r="AB197" s="4"/>
      <c r="AC197" s="3"/>
      <c r="AD197" s="4"/>
      <c r="AE197" s="3"/>
      <c r="AF197" s="4"/>
      <c r="AG197" s="3"/>
      <c r="AH197" s="4"/>
      <c r="AI197" s="3"/>
      <c r="AJ197" s="4"/>
      <c r="AK197" s="3"/>
      <c r="AL197" s="4"/>
      <c r="AM197" s="3"/>
      <c r="AN197" s="4"/>
      <c r="AO197" s="3"/>
      <c r="AP197" s="4"/>
      <c r="AQ197" s="3"/>
      <c r="AR197" s="4"/>
      <c r="AS197" s="3"/>
      <c r="AT197" s="4"/>
      <c r="AU197" s="3"/>
      <c r="AV197" s="4"/>
      <c r="AW197" s="3"/>
      <c r="AX197" s="4"/>
      <c r="AY197" s="3"/>
      <c r="AZ197" s="4"/>
      <c r="BA197" s="3"/>
      <c r="BB197" s="4"/>
      <c r="BC197" s="3"/>
      <c r="BD197" s="4"/>
      <c r="BE197" s="3"/>
      <c r="BF197" s="4"/>
      <c r="BG197" s="3"/>
      <c r="BH197" s="4"/>
      <c r="BI197" s="3"/>
      <c r="BJ197" s="4"/>
      <c r="BK197" s="3"/>
      <c r="BL197" s="4"/>
      <c r="BM197" s="3"/>
      <c r="BN197" s="4"/>
      <c r="BO197" s="3"/>
      <c r="BP197" s="4"/>
      <c r="BQ197" s="3"/>
      <c r="BR197" s="4"/>
      <c r="BS197" s="3"/>
      <c r="BT197" s="4"/>
      <c r="BU197" s="3"/>
      <c r="BV197" s="4"/>
      <c r="BW197" s="3"/>
      <c r="BX197" s="4"/>
      <c r="BY197" s="3"/>
      <c r="BZ197" s="4"/>
      <c r="CA197" s="3"/>
      <c r="CB197" s="4"/>
      <c r="CC197" s="3"/>
      <c r="CD197" s="4"/>
    </row>
    <row r="198">
      <c r="A198" s="3"/>
      <c r="B198" s="4"/>
      <c r="C198" s="3"/>
      <c r="D198" s="4"/>
      <c r="E198" s="3"/>
      <c r="F198" s="4"/>
      <c r="G198" s="3"/>
      <c r="H198" s="4"/>
      <c r="I198" s="3"/>
      <c r="J198" s="4"/>
      <c r="K198" s="3"/>
      <c r="L198" s="4"/>
      <c r="M198" s="3"/>
      <c r="N198" s="4"/>
      <c r="O198" s="3"/>
      <c r="P198" s="4"/>
      <c r="Q198" s="3"/>
      <c r="R198" s="4"/>
      <c r="S198" s="3"/>
      <c r="T198" s="4"/>
      <c r="U198" s="3"/>
      <c r="V198" s="4"/>
      <c r="W198" s="3"/>
      <c r="X198" s="4"/>
      <c r="Y198" s="3"/>
      <c r="Z198" s="4"/>
      <c r="AA198" s="3"/>
      <c r="AB198" s="4"/>
      <c r="AC198" s="3"/>
      <c r="AD198" s="4"/>
      <c r="AE198" s="3"/>
      <c r="AF198" s="4"/>
      <c r="AG198" s="3"/>
      <c r="AH198" s="4"/>
      <c r="AI198" s="3"/>
      <c r="AJ198" s="4"/>
      <c r="AK198" s="3"/>
      <c r="AL198" s="4"/>
      <c r="AM198" s="3"/>
      <c r="AN198" s="4"/>
      <c r="AO198" s="3"/>
      <c r="AP198" s="4"/>
      <c r="AQ198" s="3"/>
      <c r="AR198" s="4"/>
      <c r="AS198" s="3"/>
      <c r="AT198" s="4"/>
      <c r="AU198" s="3"/>
      <c r="AV198" s="4"/>
      <c r="AW198" s="3"/>
      <c r="AX198" s="4"/>
      <c r="AY198" s="3"/>
      <c r="AZ198" s="4"/>
      <c r="BA198" s="3"/>
      <c r="BB198" s="4"/>
      <c r="BC198" s="3"/>
      <c r="BD198" s="4"/>
      <c r="BE198" s="3"/>
      <c r="BF198" s="4"/>
      <c r="BG198" s="3"/>
      <c r="BH198" s="4"/>
      <c r="BI198" s="3"/>
      <c r="BJ198" s="4"/>
      <c r="BK198" s="3"/>
      <c r="BL198" s="4"/>
      <c r="BM198" s="3"/>
      <c r="BN198" s="4"/>
      <c r="BO198" s="3"/>
      <c r="BP198" s="4"/>
      <c r="BQ198" s="3"/>
      <c r="BR198" s="4"/>
      <c r="BS198" s="3"/>
      <c r="BT198" s="4"/>
      <c r="BU198" s="3"/>
      <c r="BV198" s="4"/>
      <c r="BW198" s="3"/>
      <c r="BX198" s="4"/>
      <c r="BY198" s="3"/>
      <c r="BZ198" s="4"/>
      <c r="CA198" s="3"/>
      <c r="CB198" s="4"/>
      <c r="CC198" s="3"/>
      <c r="CD198" s="4"/>
    </row>
    <row r="199">
      <c r="A199" s="3"/>
      <c r="B199" s="4"/>
      <c r="C199" s="3"/>
      <c r="D199" s="4"/>
      <c r="E199" s="3"/>
      <c r="F199" s="4"/>
      <c r="G199" s="3"/>
      <c r="H199" s="4"/>
      <c r="I199" s="3"/>
      <c r="J199" s="4"/>
      <c r="K199" s="3"/>
      <c r="L199" s="4"/>
      <c r="M199" s="3"/>
      <c r="N199" s="4"/>
      <c r="O199" s="3"/>
      <c r="P199" s="4"/>
      <c r="Q199" s="3"/>
      <c r="R199" s="4"/>
      <c r="S199" s="3"/>
      <c r="T199" s="4"/>
      <c r="U199" s="3"/>
      <c r="V199" s="4"/>
      <c r="W199" s="3"/>
      <c r="X199" s="4"/>
      <c r="Y199" s="3"/>
      <c r="Z199" s="4"/>
      <c r="AA199" s="3"/>
      <c r="AB199" s="4"/>
      <c r="AC199" s="3"/>
      <c r="AD199" s="4"/>
      <c r="AE199" s="3"/>
      <c r="AF199" s="4"/>
      <c r="AG199" s="3"/>
      <c r="AH199" s="4"/>
      <c r="AI199" s="3"/>
      <c r="AJ199" s="4"/>
      <c r="AK199" s="3"/>
      <c r="AL199" s="4"/>
      <c r="AM199" s="3"/>
      <c r="AN199" s="4"/>
      <c r="AO199" s="3"/>
      <c r="AP199" s="4"/>
      <c r="AQ199" s="3"/>
      <c r="AR199" s="4"/>
      <c r="AS199" s="3"/>
      <c r="AT199" s="4"/>
      <c r="AU199" s="3"/>
      <c r="AV199" s="4"/>
      <c r="AW199" s="3"/>
      <c r="AX199" s="4"/>
      <c r="AY199" s="3"/>
      <c r="AZ199" s="4"/>
      <c r="BA199" s="3"/>
      <c r="BB199" s="4"/>
      <c r="BC199" s="3"/>
      <c r="BD199" s="4"/>
      <c r="BE199" s="3"/>
      <c r="BF199" s="4"/>
      <c r="BG199" s="3"/>
      <c r="BH199" s="4"/>
      <c r="BI199" s="3"/>
      <c r="BJ199" s="4"/>
      <c r="BK199" s="3"/>
      <c r="BL199" s="4"/>
      <c r="BM199" s="3"/>
      <c r="BN199" s="4"/>
      <c r="BO199" s="3"/>
      <c r="BP199" s="4"/>
      <c r="BQ199" s="3"/>
      <c r="BR199" s="4"/>
      <c r="BS199" s="3"/>
      <c r="BT199" s="4"/>
      <c r="BU199" s="3"/>
      <c r="BV199" s="4"/>
      <c r="BW199" s="3"/>
      <c r="BX199" s="4"/>
      <c r="BY199" s="3"/>
      <c r="BZ199" s="4"/>
      <c r="CA199" s="3"/>
      <c r="CB199" s="4"/>
      <c r="CC199" s="3"/>
      <c r="CD199" s="4"/>
    </row>
    <row r="200">
      <c r="A200" s="3"/>
      <c r="B200" s="4"/>
      <c r="C200" s="3"/>
      <c r="D200" s="4"/>
      <c r="E200" s="3"/>
      <c r="F200" s="4"/>
      <c r="G200" s="3"/>
      <c r="H200" s="4"/>
      <c r="I200" s="3"/>
      <c r="J200" s="4"/>
      <c r="K200" s="3"/>
      <c r="L200" s="4"/>
      <c r="M200" s="3"/>
      <c r="N200" s="4"/>
      <c r="O200" s="3"/>
      <c r="P200" s="4"/>
      <c r="Q200" s="3"/>
      <c r="R200" s="4"/>
      <c r="S200" s="3"/>
      <c r="T200" s="4"/>
      <c r="U200" s="3"/>
      <c r="V200" s="4"/>
      <c r="W200" s="3"/>
      <c r="X200" s="4"/>
      <c r="Y200" s="3"/>
      <c r="Z200" s="4"/>
      <c r="AA200" s="3"/>
      <c r="AB200" s="4"/>
      <c r="AC200" s="3"/>
      <c r="AD200" s="4"/>
      <c r="AE200" s="3"/>
      <c r="AF200" s="4"/>
      <c r="AG200" s="3"/>
      <c r="AH200" s="4"/>
      <c r="AI200" s="3"/>
      <c r="AJ200" s="4"/>
      <c r="AK200" s="3"/>
      <c r="AL200" s="4"/>
      <c r="AM200" s="3"/>
      <c r="AN200" s="4"/>
      <c r="AO200" s="3"/>
      <c r="AP200" s="4"/>
      <c r="AQ200" s="3"/>
      <c r="AR200" s="4"/>
      <c r="AS200" s="3"/>
      <c r="AT200" s="4"/>
      <c r="AU200" s="3"/>
      <c r="AV200" s="4"/>
      <c r="AW200" s="3"/>
      <c r="AX200" s="4"/>
      <c r="AY200" s="3"/>
      <c r="AZ200" s="4"/>
      <c r="BA200" s="3"/>
      <c r="BB200" s="4"/>
      <c r="BC200" s="3"/>
      <c r="BD200" s="4"/>
      <c r="BE200" s="3"/>
      <c r="BF200" s="4"/>
      <c r="BG200" s="3"/>
      <c r="BH200" s="4"/>
      <c r="BI200" s="3"/>
      <c r="BJ200" s="4"/>
      <c r="BK200" s="3"/>
      <c r="BL200" s="4"/>
      <c r="BM200" s="3"/>
      <c r="BN200" s="4"/>
      <c r="BO200" s="3"/>
      <c r="BP200" s="4"/>
      <c r="BQ200" s="3"/>
      <c r="BR200" s="4"/>
      <c r="BS200" s="3"/>
      <c r="BT200" s="4"/>
      <c r="BU200" s="3"/>
      <c r="BV200" s="4"/>
      <c r="BW200" s="3"/>
      <c r="BX200" s="4"/>
      <c r="BY200" s="3"/>
      <c r="BZ200" s="4"/>
      <c r="CA200" s="3"/>
      <c r="CB200" s="4"/>
      <c r="CC200" s="3"/>
      <c r="CD200" s="4"/>
    </row>
    <row r="201">
      <c r="A201" s="3"/>
      <c r="B201" s="4"/>
      <c r="C201" s="3"/>
      <c r="D201" s="4"/>
      <c r="E201" s="3"/>
      <c r="F201" s="4"/>
      <c r="G201" s="3"/>
      <c r="H201" s="4"/>
      <c r="I201" s="3"/>
      <c r="J201" s="4"/>
      <c r="K201" s="3"/>
      <c r="L201" s="4"/>
      <c r="M201" s="3"/>
      <c r="N201" s="4"/>
      <c r="O201" s="3"/>
      <c r="P201" s="4"/>
      <c r="Q201" s="3"/>
      <c r="R201" s="4"/>
      <c r="S201" s="3"/>
      <c r="T201" s="4"/>
      <c r="U201" s="3"/>
      <c r="V201" s="4"/>
      <c r="W201" s="3"/>
      <c r="X201" s="4"/>
      <c r="Y201" s="3"/>
      <c r="Z201" s="4"/>
      <c r="AA201" s="3"/>
      <c r="AB201" s="4"/>
      <c r="AC201" s="3"/>
      <c r="AD201" s="4"/>
      <c r="AE201" s="3"/>
      <c r="AF201" s="4"/>
      <c r="AG201" s="3"/>
      <c r="AH201" s="4"/>
      <c r="AI201" s="3"/>
      <c r="AJ201" s="4"/>
      <c r="AK201" s="3"/>
      <c r="AL201" s="4"/>
      <c r="AM201" s="3"/>
      <c r="AN201" s="4"/>
      <c r="AO201" s="3"/>
      <c r="AP201" s="4"/>
      <c r="AQ201" s="3"/>
      <c r="AR201" s="4"/>
      <c r="AS201" s="3"/>
      <c r="AT201" s="4"/>
      <c r="AU201" s="3"/>
      <c r="AV201" s="4"/>
      <c r="AW201" s="3"/>
      <c r="AX201" s="4"/>
      <c r="AY201" s="3"/>
      <c r="AZ201" s="4"/>
      <c r="BA201" s="3"/>
      <c r="BB201" s="4"/>
      <c r="BC201" s="3"/>
      <c r="BD201" s="4"/>
      <c r="BE201" s="3"/>
      <c r="BF201" s="4"/>
      <c r="BG201" s="3"/>
      <c r="BH201" s="4"/>
      <c r="BI201" s="3"/>
      <c r="BJ201" s="4"/>
      <c r="BK201" s="3"/>
      <c r="BL201" s="4"/>
      <c r="BM201" s="3"/>
      <c r="BN201" s="4"/>
      <c r="BO201" s="3"/>
      <c r="BP201" s="4"/>
      <c r="BQ201" s="3"/>
      <c r="BR201" s="4"/>
      <c r="BS201" s="3"/>
      <c r="BT201" s="4"/>
      <c r="BU201" s="3"/>
      <c r="BV201" s="4"/>
      <c r="BW201" s="3"/>
      <c r="BX201" s="4"/>
      <c r="BY201" s="3"/>
      <c r="BZ201" s="4"/>
      <c r="CA201" s="3"/>
      <c r="CB201" s="4"/>
      <c r="CC201" s="3"/>
      <c r="CD201" s="4"/>
    </row>
    <row r="202">
      <c r="A202" s="3"/>
      <c r="B202" s="4"/>
      <c r="C202" s="3"/>
      <c r="D202" s="4"/>
      <c r="E202" s="3"/>
      <c r="F202" s="4"/>
      <c r="G202" s="3"/>
      <c r="H202" s="4"/>
      <c r="I202" s="3"/>
      <c r="J202" s="4"/>
      <c r="K202" s="3"/>
      <c r="L202" s="4"/>
      <c r="M202" s="3"/>
      <c r="N202" s="4"/>
      <c r="O202" s="3"/>
      <c r="P202" s="4"/>
      <c r="Q202" s="3"/>
      <c r="R202" s="4"/>
      <c r="S202" s="3"/>
      <c r="T202" s="4"/>
      <c r="U202" s="3"/>
      <c r="V202" s="4"/>
      <c r="W202" s="3"/>
      <c r="X202" s="4"/>
      <c r="Y202" s="3"/>
      <c r="Z202" s="4"/>
      <c r="AA202" s="3"/>
      <c r="AB202" s="4"/>
      <c r="AC202" s="3"/>
      <c r="AD202" s="4"/>
      <c r="AE202" s="3"/>
      <c r="AF202" s="4"/>
      <c r="AG202" s="3"/>
      <c r="AH202" s="4"/>
      <c r="AI202" s="3"/>
      <c r="AJ202" s="4"/>
      <c r="AK202" s="3"/>
      <c r="AL202" s="4"/>
      <c r="AM202" s="3"/>
      <c r="AN202" s="4"/>
      <c r="AO202" s="3"/>
      <c r="AP202" s="4"/>
      <c r="AQ202" s="3"/>
      <c r="AR202" s="4"/>
      <c r="AS202" s="3"/>
      <c r="AT202" s="4"/>
      <c r="AU202" s="3"/>
      <c r="AV202" s="4"/>
      <c r="AW202" s="3"/>
      <c r="AX202" s="4"/>
      <c r="AY202" s="3"/>
      <c r="AZ202" s="4"/>
      <c r="BA202" s="3"/>
      <c r="BB202" s="4"/>
      <c r="BC202" s="3"/>
      <c r="BD202" s="4"/>
      <c r="BE202" s="3"/>
      <c r="BF202" s="4"/>
      <c r="BG202" s="3"/>
      <c r="BH202" s="4"/>
      <c r="BI202" s="3"/>
      <c r="BJ202" s="4"/>
      <c r="BK202" s="3"/>
      <c r="BL202" s="4"/>
      <c r="BM202" s="3"/>
      <c r="BN202" s="4"/>
      <c r="BO202" s="3"/>
      <c r="BP202" s="4"/>
      <c r="BQ202" s="3"/>
      <c r="BR202" s="4"/>
      <c r="BS202" s="3"/>
      <c r="BT202" s="4"/>
      <c r="BU202" s="3"/>
      <c r="BV202" s="4"/>
      <c r="BW202" s="3"/>
      <c r="BX202" s="4"/>
      <c r="BY202" s="3"/>
      <c r="BZ202" s="4"/>
      <c r="CA202" s="3"/>
      <c r="CB202" s="4"/>
      <c r="CC202" s="3"/>
      <c r="CD202" s="4"/>
    </row>
    <row r="203">
      <c r="A203" s="3"/>
      <c r="B203" s="4"/>
      <c r="C203" s="3"/>
      <c r="D203" s="4"/>
      <c r="E203" s="3"/>
      <c r="F203" s="4"/>
      <c r="G203" s="3"/>
      <c r="H203" s="4"/>
      <c r="I203" s="3"/>
      <c r="J203" s="4"/>
      <c r="K203" s="3"/>
      <c r="L203" s="4"/>
      <c r="M203" s="3"/>
      <c r="N203" s="4"/>
      <c r="O203" s="3"/>
      <c r="P203" s="4"/>
      <c r="Q203" s="3"/>
      <c r="R203" s="4"/>
      <c r="S203" s="3"/>
      <c r="T203" s="4"/>
      <c r="U203" s="3"/>
      <c r="V203" s="4"/>
      <c r="W203" s="3"/>
      <c r="X203" s="4"/>
      <c r="Y203" s="3"/>
      <c r="Z203" s="4"/>
      <c r="AA203" s="3"/>
      <c r="AB203" s="4"/>
      <c r="AC203" s="3"/>
      <c r="AD203" s="4"/>
      <c r="AE203" s="3"/>
      <c r="AF203" s="4"/>
      <c r="AG203" s="3"/>
      <c r="AH203" s="4"/>
      <c r="AI203" s="3"/>
      <c r="AJ203" s="4"/>
      <c r="AK203" s="3"/>
      <c r="AL203" s="4"/>
      <c r="AM203" s="3"/>
      <c r="AN203" s="4"/>
      <c r="AO203" s="3"/>
      <c r="AP203" s="4"/>
      <c r="AQ203" s="3"/>
      <c r="AR203" s="4"/>
      <c r="AS203" s="3"/>
      <c r="AT203" s="4"/>
      <c r="AU203" s="3"/>
      <c r="AV203" s="4"/>
      <c r="AW203" s="3"/>
      <c r="AX203" s="4"/>
      <c r="AY203" s="3"/>
      <c r="AZ203" s="4"/>
      <c r="BA203" s="3"/>
      <c r="BB203" s="4"/>
      <c r="BC203" s="3"/>
      <c r="BD203" s="4"/>
      <c r="BE203" s="3"/>
      <c r="BF203" s="4"/>
      <c r="BG203" s="3"/>
      <c r="BH203" s="4"/>
      <c r="BI203" s="3"/>
      <c r="BJ203" s="4"/>
      <c r="BK203" s="3"/>
      <c r="BL203" s="4"/>
      <c r="BM203" s="3"/>
      <c r="BN203" s="4"/>
      <c r="BO203" s="3"/>
      <c r="BP203" s="4"/>
      <c r="BQ203" s="3"/>
      <c r="BR203" s="4"/>
      <c r="BS203" s="3"/>
      <c r="BT203" s="4"/>
      <c r="BU203" s="3"/>
      <c r="BV203" s="4"/>
      <c r="BW203" s="3"/>
      <c r="BX203" s="4"/>
      <c r="BY203" s="3"/>
      <c r="BZ203" s="4"/>
      <c r="CA203" s="3"/>
      <c r="CB203" s="4"/>
      <c r="CC203" s="3"/>
      <c r="CD203" s="4"/>
    </row>
    <row r="204">
      <c r="A204" s="3"/>
      <c r="B204" s="4"/>
      <c r="C204" s="3"/>
      <c r="D204" s="4"/>
      <c r="E204" s="3"/>
      <c r="F204" s="4"/>
      <c r="G204" s="3"/>
      <c r="H204" s="4"/>
      <c r="I204" s="3"/>
      <c r="J204" s="4"/>
      <c r="K204" s="3"/>
      <c r="L204" s="4"/>
      <c r="M204" s="3"/>
      <c r="N204" s="4"/>
      <c r="O204" s="3"/>
      <c r="P204" s="4"/>
      <c r="Q204" s="3"/>
      <c r="R204" s="4"/>
      <c r="S204" s="3"/>
      <c r="T204" s="4"/>
      <c r="U204" s="3"/>
      <c r="V204" s="4"/>
      <c r="W204" s="3"/>
      <c r="X204" s="4"/>
      <c r="Y204" s="3"/>
      <c r="Z204" s="4"/>
      <c r="AA204" s="3"/>
      <c r="AB204" s="4"/>
      <c r="AC204" s="3"/>
      <c r="AD204" s="4"/>
      <c r="AE204" s="3"/>
      <c r="AF204" s="4"/>
      <c r="AG204" s="3"/>
      <c r="AH204" s="4"/>
      <c r="AI204" s="3"/>
      <c r="AJ204" s="4"/>
      <c r="AK204" s="3"/>
      <c r="AL204" s="4"/>
      <c r="AM204" s="3"/>
      <c r="AN204" s="4"/>
      <c r="AO204" s="3"/>
      <c r="AP204" s="4"/>
      <c r="AQ204" s="3"/>
      <c r="AR204" s="4"/>
      <c r="AS204" s="3"/>
      <c r="AT204" s="4"/>
      <c r="AU204" s="3"/>
      <c r="AV204" s="4"/>
      <c r="AW204" s="3"/>
      <c r="AX204" s="4"/>
      <c r="AY204" s="3"/>
      <c r="AZ204" s="4"/>
      <c r="BA204" s="3"/>
      <c r="BB204" s="4"/>
      <c r="BC204" s="3"/>
      <c r="BD204" s="4"/>
      <c r="BE204" s="3"/>
      <c r="BF204" s="4"/>
      <c r="BG204" s="3"/>
      <c r="BH204" s="4"/>
      <c r="BI204" s="3"/>
      <c r="BJ204" s="4"/>
      <c r="BK204" s="3"/>
      <c r="BL204" s="4"/>
      <c r="BM204" s="3"/>
      <c r="BN204" s="4"/>
      <c r="BO204" s="3"/>
      <c r="BP204" s="4"/>
      <c r="BQ204" s="3"/>
      <c r="BR204" s="4"/>
      <c r="BS204" s="3"/>
      <c r="BT204" s="4"/>
      <c r="BU204" s="3"/>
      <c r="BV204" s="4"/>
      <c r="BW204" s="3"/>
      <c r="BX204" s="4"/>
      <c r="BY204" s="3"/>
      <c r="BZ204" s="4"/>
      <c r="CA204" s="3"/>
      <c r="CB204" s="4"/>
      <c r="CC204" s="3"/>
      <c r="CD204" s="4"/>
    </row>
    <row r="205">
      <c r="A205" s="3"/>
      <c r="B205" s="4"/>
      <c r="C205" s="3"/>
      <c r="D205" s="4"/>
      <c r="E205" s="3"/>
      <c r="F205" s="4"/>
      <c r="G205" s="3"/>
      <c r="H205" s="4"/>
      <c r="I205" s="3"/>
      <c r="J205" s="4"/>
      <c r="K205" s="3"/>
      <c r="L205" s="4"/>
      <c r="M205" s="3"/>
      <c r="N205" s="4"/>
      <c r="O205" s="3"/>
      <c r="P205" s="4"/>
      <c r="Q205" s="3"/>
      <c r="R205" s="4"/>
      <c r="S205" s="3"/>
      <c r="T205" s="4"/>
      <c r="U205" s="3"/>
      <c r="V205" s="4"/>
      <c r="W205" s="3"/>
      <c r="X205" s="4"/>
      <c r="Y205" s="3"/>
      <c r="Z205" s="4"/>
      <c r="AA205" s="3"/>
      <c r="AB205" s="4"/>
      <c r="AC205" s="3"/>
      <c r="AD205" s="4"/>
      <c r="AE205" s="3"/>
      <c r="AF205" s="4"/>
      <c r="AG205" s="3"/>
      <c r="AH205" s="4"/>
      <c r="AI205" s="3"/>
      <c r="AJ205" s="4"/>
      <c r="AK205" s="3"/>
      <c r="AL205" s="4"/>
      <c r="AM205" s="3"/>
      <c r="AN205" s="4"/>
      <c r="AO205" s="3"/>
      <c r="AP205" s="4"/>
      <c r="AQ205" s="3"/>
      <c r="AR205" s="4"/>
      <c r="AS205" s="3"/>
      <c r="AT205" s="4"/>
      <c r="AU205" s="3"/>
      <c r="AV205" s="4"/>
      <c r="AW205" s="3"/>
      <c r="AX205" s="4"/>
      <c r="AY205" s="3"/>
      <c r="AZ205" s="4"/>
      <c r="BA205" s="3"/>
      <c r="BB205" s="4"/>
      <c r="BC205" s="3"/>
      <c r="BD205" s="4"/>
      <c r="BE205" s="3"/>
      <c r="BF205" s="4"/>
      <c r="BG205" s="3"/>
      <c r="BH205" s="4"/>
      <c r="BI205" s="3"/>
      <c r="BJ205" s="4"/>
      <c r="BK205" s="3"/>
      <c r="BL205" s="4"/>
      <c r="BM205" s="3"/>
      <c r="BN205" s="4"/>
      <c r="BO205" s="3"/>
      <c r="BP205" s="4"/>
      <c r="BQ205" s="3"/>
      <c r="BR205" s="4"/>
      <c r="BS205" s="3"/>
      <c r="BT205" s="4"/>
      <c r="BU205" s="3"/>
      <c r="BV205" s="4"/>
      <c r="BW205" s="3"/>
      <c r="BX205" s="4"/>
      <c r="BY205" s="3"/>
      <c r="BZ205" s="4"/>
      <c r="CA205" s="3"/>
      <c r="CB205" s="4"/>
      <c r="CC205" s="3"/>
      <c r="CD205" s="4"/>
    </row>
    <row r="206">
      <c r="A206" s="3"/>
      <c r="B206" s="4"/>
      <c r="C206" s="3"/>
      <c r="D206" s="4"/>
      <c r="E206" s="3"/>
      <c r="F206" s="4"/>
      <c r="G206" s="3"/>
      <c r="H206" s="4"/>
      <c r="I206" s="3"/>
      <c r="J206" s="4"/>
      <c r="K206" s="3"/>
      <c r="L206" s="4"/>
      <c r="M206" s="3"/>
      <c r="N206" s="4"/>
      <c r="O206" s="3"/>
      <c r="P206" s="4"/>
      <c r="Q206" s="3"/>
      <c r="R206" s="4"/>
      <c r="S206" s="3"/>
      <c r="T206" s="4"/>
      <c r="U206" s="3"/>
      <c r="V206" s="4"/>
      <c r="W206" s="3"/>
      <c r="X206" s="4"/>
      <c r="Y206" s="3"/>
      <c r="Z206" s="4"/>
      <c r="AA206" s="3"/>
      <c r="AB206" s="4"/>
      <c r="AC206" s="3"/>
      <c r="AD206" s="4"/>
      <c r="AE206" s="3"/>
      <c r="AF206" s="4"/>
      <c r="AG206" s="3"/>
      <c r="AH206" s="4"/>
      <c r="AI206" s="3"/>
      <c r="AJ206" s="4"/>
      <c r="AK206" s="3"/>
      <c r="AL206" s="4"/>
      <c r="AM206" s="3"/>
      <c r="AN206" s="4"/>
      <c r="AO206" s="3"/>
      <c r="AP206" s="4"/>
      <c r="AQ206" s="3"/>
      <c r="AR206" s="4"/>
      <c r="AS206" s="3"/>
      <c r="AT206" s="4"/>
      <c r="AU206" s="3"/>
      <c r="AV206" s="4"/>
      <c r="AW206" s="3"/>
      <c r="AX206" s="4"/>
      <c r="AY206" s="3"/>
      <c r="AZ206" s="4"/>
      <c r="BA206" s="3"/>
      <c r="BB206" s="4"/>
      <c r="BC206" s="3"/>
      <c r="BD206" s="4"/>
      <c r="BE206" s="3"/>
      <c r="BF206" s="4"/>
      <c r="BG206" s="3"/>
      <c r="BH206" s="4"/>
      <c r="BI206" s="3"/>
      <c r="BJ206" s="4"/>
      <c r="BK206" s="3"/>
      <c r="BL206" s="4"/>
      <c r="BM206" s="3"/>
      <c r="BN206" s="4"/>
      <c r="BO206" s="3"/>
      <c r="BP206" s="4"/>
      <c r="BQ206" s="3"/>
      <c r="BR206" s="4"/>
      <c r="BS206" s="3"/>
      <c r="BT206" s="4"/>
      <c r="BU206" s="3"/>
      <c r="BV206" s="4"/>
      <c r="BW206" s="3"/>
      <c r="BX206" s="4"/>
      <c r="BY206" s="3"/>
      <c r="BZ206" s="4"/>
      <c r="CA206" s="3"/>
      <c r="CB206" s="4"/>
      <c r="CC206" s="3"/>
      <c r="CD206" s="4"/>
    </row>
    <row r="207">
      <c r="A207" s="3"/>
      <c r="B207" s="4"/>
      <c r="C207" s="3"/>
      <c r="D207" s="4"/>
      <c r="E207" s="3"/>
      <c r="F207" s="4"/>
      <c r="G207" s="3"/>
      <c r="H207" s="4"/>
      <c r="I207" s="3"/>
      <c r="J207" s="4"/>
      <c r="K207" s="3"/>
      <c r="L207" s="4"/>
      <c r="M207" s="3"/>
      <c r="N207" s="4"/>
      <c r="O207" s="3"/>
      <c r="P207" s="4"/>
      <c r="Q207" s="3"/>
      <c r="R207" s="4"/>
      <c r="S207" s="3"/>
      <c r="T207" s="4"/>
      <c r="U207" s="3"/>
      <c r="V207" s="4"/>
      <c r="W207" s="3"/>
      <c r="X207" s="4"/>
      <c r="Y207" s="3"/>
      <c r="Z207" s="4"/>
      <c r="AA207" s="3"/>
      <c r="AB207" s="4"/>
      <c r="AC207" s="3"/>
      <c r="AD207" s="4"/>
      <c r="AE207" s="3"/>
      <c r="AF207" s="4"/>
      <c r="AG207" s="3"/>
      <c r="AH207" s="4"/>
      <c r="AI207" s="3"/>
      <c r="AJ207" s="4"/>
      <c r="AK207" s="3"/>
      <c r="AL207" s="4"/>
      <c r="AM207" s="3"/>
      <c r="AN207" s="4"/>
      <c r="AO207" s="3"/>
      <c r="AP207" s="4"/>
      <c r="AQ207" s="3"/>
      <c r="AR207" s="4"/>
      <c r="AS207" s="3"/>
      <c r="AT207" s="4"/>
      <c r="AU207" s="3"/>
      <c r="AV207" s="4"/>
      <c r="AW207" s="3"/>
      <c r="AX207" s="4"/>
      <c r="AY207" s="3"/>
      <c r="AZ207" s="4"/>
      <c r="BA207" s="3"/>
      <c r="BB207" s="4"/>
      <c r="BC207" s="3"/>
      <c r="BD207" s="4"/>
      <c r="BE207" s="3"/>
      <c r="BF207" s="4"/>
      <c r="BG207" s="3"/>
      <c r="BH207" s="4"/>
      <c r="BI207" s="3"/>
      <c r="BJ207" s="4"/>
      <c r="BK207" s="3"/>
      <c r="BL207" s="4"/>
      <c r="BM207" s="3"/>
      <c r="BN207" s="4"/>
      <c r="BO207" s="3"/>
      <c r="BP207" s="4"/>
      <c r="BQ207" s="3"/>
      <c r="BR207" s="4"/>
      <c r="BS207" s="3"/>
      <c r="BT207" s="4"/>
      <c r="BU207" s="3"/>
      <c r="BV207" s="4"/>
      <c r="BW207" s="3"/>
      <c r="BX207" s="4"/>
      <c r="BY207" s="3"/>
      <c r="BZ207" s="4"/>
      <c r="CA207" s="3"/>
      <c r="CB207" s="4"/>
      <c r="CC207" s="3"/>
      <c r="CD207" s="4"/>
    </row>
    <row r="208">
      <c r="A208" s="3"/>
      <c r="B208" s="4"/>
      <c r="C208" s="3"/>
      <c r="D208" s="4"/>
      <c r="E208" s="3"/>
      <c r="F208" s="4"/>
      <c r="G208" s="3"/>
      <c r="H208" s="4"/>
      <c r="I208" s="3"/>
      <c r="J208" s="4"/>
      <c r="K208" s="3"/>
      <c r="L208" s="4"/>
      <c r="M208" s="3"/>
      <c r="N208" s="4"/>
      <c r="O208" s="3"/>
      <c r="P208" s="4"/>
      <c r="Q208" s="3"/>
      <c r="R208" s="4"/>
      <c r="S208" s="3"/>
      <c r="T208" s="4"/>
      <c r="U208" s="3"/>
      <c r="V208" s="4"/>
      <c r="W208" s="3"/>
      <c r="X208" s="4"/>
      <c r="Y208" s="3"/>
      <c r="Z208" s="4"/>
      <c r="AA208" s="3"/>
      <c r="AB208" s="4"/>
      <c r="AC208" s="3"/>
      <c r="AD208" s="4"/>
      <c r="AE208" s="3"/>
      <c r="AF208" s="4"/>
      <c r="AG208" s="3"/>
      <c r="AH208" s="4"/>
      <c r="AI208" s="3"/>
      <c r="AJ208" s="4"/>
      <c r="AK208" s="3"/>
      <c r="AL208" s="4"/>
      <c r="AM208" s="3"/>
      <c r="AN208" s="4"/>
      <c r="AO208" s="3"/>
      <c r="AP208" s="4"/>
      <c r="AQ208" s="3"/>
      <c r="AR208" s="4"/>
      <c r="AS208" s="3"/>
      <c r="AT208" s="4"/>
      <c r="AU208" s="3"/>
      <c r="AV208" s="4"/>
      <c r="AW208" s="3"/>
      <c r="AX208" s="4"/>
      <c r="AY208" s="3"/>
      <c r="AZ208" s="4"/>
      <c r="BA208" s="3"/>
      <c r="BB208" s="4"/>
      <c r="BC208" s="3"/>
      <c r="BD208" s="4"/>
      <c r="BE208" s="3"/>
      <c r="BF208" s="4"/>
      <c r="BG208" s="3"/>
      <c r="BH208" s="4"/>
      <c r="BI208" s="3"/>
      <c r="BJ208" s="4"/>
      <c r="BK208" s="3"/>
      <c r="BL208" s="4"/>
      <c r="BM208" s="3"/>
      <c r="BN208" s="4"/>
      <c r="BO208" s="3"/>
      <c r="BP208" s="4"/>
      <c r="BQ208" s="3"/>
      <c r="BR208" s="4"/>
      <c r="BS208" s="3"/>
      <c r="BT208" s="4"/>
      <c r="BU208" s="3"/>
      <c r="BV208" s="4"/>
      <c r="BW208" s="3"/>
      <c r="BX208" s="4"/>
      <c r="BY208" s="3"/>
      <c r="BZ208" s="4"/>
      <c r="CA208" s="3"/>
      <c r="CB208" s="4"/>
      <c r="CC208" s="3"/>
      <c r="CD208" s="4"/>
    </row>
    <row r="209">
      <c r="A209" s="3"/>
      <c r="B209" s="4"/>
      <c r="C209" s="3"/>
      <c r="D209" s="4"/>
      <c r="E209" s="3"/>
      <c r="F209" s="4"/>
      <c r="G209" s="3"/>
      <c r="H209" s="4"/>
      <c r="I209" s="3"/>
      <c r="J209" s="4"/>
      <c r="K209" s="3"/>
      <c r="L209" s="4"/>
      <c r="M209" s="3"/>
      <c r="N209" s="4"/>
      <c r="O209" s="3"/>
      <c r="P209" s="4"/>
      <c r="Q209" s="3"/>
      <c r="R209" s="4"/>
      <c r="S209" s="3"/>
      <c r="T209" s="4"/>
      <c r="U209" s="3"/>
      <c r="V209" s="4"/>
      <c r="W209" s="3"/>
      <c r="X209" s="4"/>
      <c r="Y209" s="3"/>
      <c r="Z209" s="4"/>
      <c r="AA209" s="3"/>
      <c r="AB209" s="4"/>
      <c r="AC209" s="3"/>
      <c r="AD209" s="4"/>
      <c r="AE209" s="3"/>
      <c r="AF209" s="4"/>
      <c r="AG209" s="3"/>
      <c r="AH209" s="4"/>
      <c r="AI209" s="3"/>
      <c r="AJ209" s="4"/>
      <c r="AK209" s="3"/>
      <c r="AL209" s="4"/>
      <c r="AM209" s="3"/>
      <c r="AN209" s="4"/>
      <c r="AO209" s="3"/>
      <c r="AP209" s="4"/>
      <c r="AQ209" s="3"/>
      <c r="AR209" s="4"/>
      <c r="AS209" s="3"/>
      <c r="AT209" s="4"/>
      <c r="AU209" s="3"/>
      <c r="AV209" s="4"/>
      <c r="AW209" s="3"/>
      <c r="AX209" s="4"/>
      <c r="AY209" s="3"/>
      <c r="AZ209" s="4"/>
      <c r="BA209" s="3"/>
      <c r="BB209" s="4"/>
      <c r="BC209" s="3"/>
      <c r="BD209" s="4"/>
      <c r="BE209" s="3"/>
      <c r="BF209" s="4"/>
      <c r="BG209" s="3"/>
      <c r="BH209" s="4"/>
      <c r="BI209" s="3"/>
      <c r="BJ209" s="4"/>
      <c r="BK209" s="3"/>
      <c r="BL209" s="4"/>
      <c r="BM209" s="3"/>
      <c r="BN209" s="4"/>
      <c r="BO209" s="3"/>
      <c r="BP209" s="4"/>
      <c r="BQ209" s="3"/>
      <c r="BR209" s="4"/>
      <c r="BS209" s="3"/>
      <c r="BT209" s="4"/>
      <c r="BU209" s="3"/>
      <c r="BV209" s="4"/>
      <c r="BW209" s="3"/>
      <c r="BX209" s="4"/>
      <c r="BY209" s="3"/>
      <c r="BZ209" s="4"/>
      <c r="CA209" s="3"/>
      <c r="CB209" s="4"/>
      <c r="CC209" s="3"/>
      <c r="CD209" s="4"/>
    </row>
    <row r="210">
      <c r="A210" s="3"/>
      <c r="B210" s="4"/>
      <c r="C210" s="3"/>
      <c r="D210" s="4"/>
      <c r="E210" s="3"/>
      <c r="F210" s="4"/>
      <c r="G210" s="3"/>
      <c r="H210" s="4"/>
      <c r="I210" s="3"/>
      <c r="J210" s="4"/>
      <c r="K210" s="3"/>
      <c r="L210" s="4"/>
      <c r="M210" s="3"/>
      <c r="N210" s="4"/>
      <c r="O210" s="3"/>
      <c r="P210" s="4"/>
      <c r="Q210" s="3"/>
      <c r="R210" s="4"/>
      <c r="S210" s="3"/>
      <c r="T210" s="4"/>
      <c r="U210" s="3"/>
      <c r="V210" s="4"/>
      <c r="W210" s="3"/>
      <c r="X210" s="4"/>
      <c r="Y210" s="3"/>
      <c r="Z210" s="4"/>
      <c r="AA210" s="3"/>
      <c r="AB210" s="4"/>
      <c r="AC210" s="3"/>
      <c r="AD210" s="4"/>
      <c r="AE210" s="3"/>
      <c r="AF210" s="4"/>
      <c r="AG210" s="3"/>
      <c r="AH210" s="4"/>
      <c r="AI210" s="3"/>
      <c r="AJ210" s="4"/>
      <c r="AK210" s="3"/>
      <c r="AL210" s="4"/>
      <c r="AM210" s="3"/>
      <c r="AN210" s="4"/>
      <c r="AO210" s="3"/>
      <c r="AP210" s="4"/>
      <c r="AQ210" s="3"/>
      <c r="AR210" s="4"/>
      <c r="AS210" s="3"/>
      <c r="AT210" s="4"/>
      <c r="AU210" s="3"/>
      <c r="AV210" s="4"/>
      <c r="AW210" s="3"/>
      <c r="AX210" s="4"/>
      <c r="AY210" s="3"/>
      <c r="AZ210" s="4"/>
      <c r="BA210" s="3"/>
      <c r="BB210" s="4"/>
      <c r="BC210" s="3"/>
      <c r="BD210" s="4"/>
      <c r="BE210" s="3"/>
      <c r="BF210" s="4"/>
      <c r="BG210" s="3"/>
      <c r="BH210" s="4"/>
      <c r="BI210" s="3"/>
      <c r="BJ210" s="4"/>
      <c r="BK210" s="3"/>
      <c r="BL210" s="4"/>
      <c r="BM210" s="3"/>
      <c r="BN210" s="4"/>
      <c r="BO210" s="3"/>
      <c r="BP210" s="4"/>
      <c r="BQ210" s="3"/>
      <c r="BR210" s="4"/>
      <c r="BS210" s="3"/>
      <c r="BT210" s="4"/>
      <c r="BU210" s="3"/>
      <c r="BV210" s="4"/>
      <c r="BW210" s="3"/>
      <c r="BX210" s="4"/>
      <c r="BY210" s="3"/>
      <c r="BZ210" s="4"/>
      <c r="CA210" s="3"/>
      <c r="CB210" s="4"/>
      <c r="CC210" s="3"/>
      <c r="CD210" s="4"/>
    </row>
    <row r="211">
      <c r="A211" s="3"/>
      <c r="B211" s="4"/>
      <c r="C211" s="3"/>
      <c r="D211" s="4"/>
      <c r="E211" s="3"/>
      <c r="F211" s="4"/>
      <c r="G211" s="3"/>
      <c r="H211" s="4"/>
      <c r="I211" s="3"/>
      <c r="J211" s="4"/>
      <c r="K211" s="3"/>
      <c r="L211" s="4"/>
      <c r="M211" s="3"/>
      <c r="N211" s="4"/>
      <c r="O211" s="3"/>
      <c r="P211" s="4"/>
      <c r="Q211" s="3"/>
      <c r="R211" s="4"/>
      <c r="S211" s="3"/>
      <c r="T211" s="4"/>
      <c r="U211" s="3"/>
      <c r="V211" s="4"/>
      <c r="W211" s="3"/>
      <c r="X211" s="4"/>
      <c r="Y211" s="3"/>
      <c r="Z211" s="4"/>
      <c r="AA211" s="3"/>
      <c r="AB211" s="4"/>
      <c r="AC211" s="3"/>
      <c r="AD211" s="4"/>
      <c r="AE211" s="3"/>
      <c r="AF211" s="4"/>
      <c r="AG211" s="3"/>
      <c r="AH211" s="4"/>
      <c r="AI211" s="3"/>
      <c r="AJ211" s="4"/>
      <c r="AK211" s="3"/>
      <c r="AL211" s="4"/>
      <c r="AM211" s="3"/>
      <c r="AN211" s="4"/>
      <c r="AO211" s="3"/>
      <c r="AP211" s="4"/>
      <c r="AQ211" s="3"/>
      <c r="AR211" s="4"/>
      <c r="AS211" s="3"/>
      <c r="AT211" s="4"/>
      <c r="AU211" s="3"/>
      <c r="AV211" s="4"/>
      <c r="AW211" s="3"/>
      <c r="AX211" s="4"/>
      <c r="AY211" s="3"/>
      <c r="AZ211" s="4"/>
      <c r="BA211" s="3"/>
      <c r="BB211" s="4"/>
      <c r="BC211" s="3"/>
      <c r="BD211" s="4"/>
      <c r="BE211" s="3"/>
      <c r="BF211" s="4"/>
      <c r="BG211" s="3"/>
      <c r="BH211" s="4"/>
      <c r="BI211" s="3"/>
      <c r="BJ211" s="4"/>
      <c r="BK211" s="3"/>
      <c r="BL211" s="4"/>
      <c r="BM211" s="3"/>
      <c r="BN211" s="4"/>
      <c r="BO211" s="3"/>
      <c r="BP211" s="4"/>
      <c r="BQ211" s="3"/>
      <c r="BR211" s="4"/>
      <c r="BS211" s="3"/>
      <c r="BT211" s="4"/>
      <c r="BU211" s="3"/>
      <c r="BV211" s="4"/>
      <c r="BW211" s="3"/>
      <c r="BX211" s="4"/>
      <c r="BY211" s="3"/>
      <c r="BZ211" s="4"/>
      <c r="CA211" s="3"/>
      <c r="CB211" s="4"/>
      <c r="CC211" s="3"/>
      <c r="CD211" s="4"/>
    </row>
    <row r="212">
      <c r="A212" s="3"/>
      <c r="B212" s="4"/>
      <c r="C212" s="3"/>
      <c r="D212" s="4"/>
      <c r="E212" s="3"/>
      <c r="F212" s="4"/>
      <c r="G212" s="3"/>
      <c r="H212" s="4"/>
      <c r="I212" s="3"/>
      <c r="J212" s="4"/>
      <c r="K212" s="3"/>
      <c r="L212" s="4"/>
      <c r="M212" s="3"/>
      <c r="N212" s="4"/>
      <c r="O212" s="3"/>
      <c r="P212" s="4"/>
      <c r="Q212" s="3"/>
      <c r="R212" s="4"/>
      <c r="S212" s="3"/>
      <c r="T212" s="4"/>
      <c r="U212" s="3"/>
      <c r="V212" s="4"/>
      <c r="W212" s="3"/>
      <c r="X212" s="4"/>
      <c r="Y212" s="3"/>
      <c r="Z212" s="4"/>
      <c r="AA212" s="3"/>
      <c r="AB212" s="4"/>
      <c r="AC212" s="3"/>
      <c r="AD212" s="4"/>
      <c r="AE212" s="3"/>
      <c r="AF212" s="4"/>
      <c r="AG212" s="3"/>
      <c r="AH212" s="4"/>
      <c r="AI212" s="3"/>
      <c r="AJ212" s="4"/>
      <c r="AK212" s="3"/>
      <c r="AL212" s="4"/>
      <c r="AM212" s="3"/>
      <c r="AN212" s="4"/>
      <c r="AO212" s="3"/>
      <c r="AP212" s="4"/>
      <c r="AQ212" s="3"/>
      <c r="AR212" s="4"/>
      <c r="AS212" s="3"/>
      <c r="AT212" s="4"/>
      <c r="AU212" s="3"/>
      <c r="AV212" s="4"/>
      <c r="AW212" s="3"/>
      <c r="AX212" s="4"/>
      <c r="AY212" s="3"/>
      <c r="AZ212" s="4"/>
      <c r="BA212" s="3"/>
      <c r="BB212" s="4"/>
      <c r="BC212" s="3"/>
      <c r="BD212" s="4"/>
      <c r="BE212" s="3"/>
      <c r="BF212" s="4"/>
      <c r="BG212" s="3"/>
      <c r="BH212" s="4"/>
      <c r="BI212" s="3"/>
      <c r="BJ212" s="4"/>
      <c r="BK212" s="3"/>
      <c r="BL212" s="4"/>
      <c r="BM212" s="3"/>
      <c r="BN212" s="4"/>
      <c r="BO212" s="3"/>
      <c r="BP212" s="4"/>
      <c r="BQ212" s="3"/>
      <c r="BR212" s="4"/>
      <c r="BS212" s="3"/>
      <c r="BT212" s="4"/>
      <c r="BU212" s="3"/>
      <c r="BV212" s="4"/>
      <c r="BW212" s="3"/>
      <c r="BX212" s="4"/>
      <c r="BY212" s="3"/>
      <c r="BZ212" s="4"/>
      <c r="CA212" s="3"/>
      <c r="CB212" s="4"/>
      <c r="CC212" s="3"/>
      <c r="CD212" s="4"/>
    </row>
    <row r="213">
      <c r="A213" s="3"/>
      <c r="B213" s="4"/>
      <c r="C213" s="3"/>
      <c r="D213" s="4"/>
      <c r="E213" s="3"/>
      <c r="F213" s="4"/>
      <c r="G213" s="3"/>
      <c r="H213" s="4"/>
      <c r="I213" s="3"/>
      <c r="J213" s="4"/>
      <c r="K213" s="3"/>
      <c r="L213" s="4"/>
      <c r="M213" s="3"/>
      <c r="N213" s="4"/>
      <c r="O213" s="3"/>
      <c r="P213" s="4"/>
      <c r="Q213" s="3"/>
      <c r="R213" s="4"/>
      <c r="S213" s="3"/>
      <c r="T213" s="4"/>
      <c r="U213" s="3"/>
      <c r="V213" s="4"/>
      <c r="W213" s="3"/>
      <c r="X213" s="4"/>
      <c r="Y213" s="3"/>
      <c r="Z213" s="4"/>
      <c r="AA213" s="3"/>
      <c r="AB213" s="4"/>
      <c r="AC213" s="3"/>
      <c r="AD213" s="4"/>
      <c r="AE213" s="3"/>
      <c r="AF213" s="4"/>
      <c r="AG213" s="3"/>
      <c r="AH213" s="4"/>
      <c r="AI213" s="3"/>
      <c r="AJ213" s="4"/>
      <c r="AK213" s="3"/>
      <c r="AL213" s="4"/>
      <c r="AM213" s="3"/>
      <c r="AN213" s="4"/>
      <c r="AO213" s="3"/>
      <c r="AP213" s="4"/>
      <c r="AQ213" s="3"/>
      <c r="AR213" s="4"/>
      <c r="AS213" s="3"/>
      <c r="AT213" s="4"/>
      <c r="AU213" s="3"/>
      <c r="AV213" s="4"/>
      <c r="AW213" s="3"/>
      <c r="AX213" s="4"/>
      <c r="AY213" s="3"/>
      <c r="AZ213" s="4"/>
      <c r="BA213" s="3"/>
      <c r="BB213" s="4"/>
      <c r="BC213" s="3"/>
      <c r="BD213" s="4"/>
      <c r="BE213" s="3"/>
      <c r="BF213" s="4"/>
      <c r="BG213" s="3"/>
      <c r="BH213" s="4"/>
      <c r="BI213" s="3"/>
      <c r="BJ213" s="4"/>
      <c r="BK213" s="3"/>
      <c r="BL213" s="4"/>
      <c r="BM213" s="3"/>
      <c r="BN213" s="4"/>
      <c r="BO213" s="3"/>
      <c r="BP213" s="4"/>
      <c r="BQ213" s="3"/>
      <c r="BR213" s="4"/>
      <c r="BS213" s="3"/>
      <c r="BT213" s="4"/>
      <c r="BU213" s="3"/>
      <c r="BV213" s="4"/>
      <c r="BW213" s="3"/>
      <c r="BX213" s="4"/>
      <c r="BY213" s="3"/>
      <c r="BZ213" s="4"/>
      <c r="CA213" s="3"/>
      <c r="CB213" s="4"/>
      <c r="CC213" s="3"/>
      <c r="CD213" s="4"/>
    </row>
    <row r="214">
      <c r="A214" s="3"/>
      <c r="B214" s="4"/>
      <c r="C214" s="3"/>
      <c r="D214" s="4"/>
      <c r="E214" s="3"/>
      <c r="F214" s="4"/>
      <c r="G214" s="3"/>
      <c r="H214" s="4"/>
      <c r="I214" s="3"/>
      <c r="J214" s="4"/>
      <c r="K214" s="3"/>
      <c r="L214" s="4"/>
      <c r="M214" s="3"/>
      <c r="N214" s="4"/>
      <c r="O214" s="3"/>
      <c r="P214" s="4"/>
      <c r="Q214" s="3"/>
      <c r="R214" s="4"/>
      <c r="S214" s="3"/>
      <c r="T214" s="4"/>
      <c r="U214" s="3"/>
      <c r="V214" s="4"/>
      <c r="W214" s="3"/>
      <c r="X214" s="4"/>
      <c r="Y214" s="3"/>
      <c r="Z214" s="4"/>
      <c r="AA214" s="3"/>
      <c r="AB214" s="4"/>
      <c r="AC214" s="3"/>
      <c r="AD214" s="4"/>
      <c r="AE214" s="3"/>
      <c r="AF214" s="4"/>
      <c r="AG214" s="3"/>
      <c r="AH214" s="4"/>
      <c r="AI214" s="3"/>
      <c r="AJ214" s="4"/>
      <c r="AK214" s="3"/>
      <c r="AL214" s="4"/>
      <c r="AM214" s="3"/>
      <c r="AN214" s="4"/>
      <c r="AO214" s="3"/>
      <c r="AP214" s="4"/>
      <c r="AQ214" s="3"/>
      <c r="AR214" s="4"/>
      <c r="AS214" s="3"/>
      <c r="AT214" s="4"/>
      <c r="AU214" s="3"/>
      <c r="AV214" s="4"/>
      <c r="AW214" s="3"/>
      <c r="AX214" s="4"/>
      <c r="AY214" s="3"/>
      <c r="AZ214" s="4"/>
      <c r="BA214" s="3"/>
      <c r="BB214" s="4"/>
      <c r="BC214" s="3"/>
      <c r="BD214" s="4"/>
      <c r="BE214" s="3"/>
      <c r="BF214" s="4"/>
      <c r="BG214" s="3"/>
      <c r="BH214" s="4"/>
      <c r="BI214" s="3"/>
      <c r="BJ214" s="4"/>
      <c r="BK214" s="3"/>
      <c r="BL214" s="4"/>
      <c r="BM214" s="3"/>
      <c r="BN214" s="4"/>
      <c r="BO214" s="3"/>
      <c r="BP214" s="4"/>
      <c r="BQ214" s="3"/>
      <c r="BR214" s="4"/>
      <c r="BS214" s="3"/>
      <c r="BT214" s="4"/>
      <c r="BU214" s="3"/>
      <c r="BV214" s="4"/>
      <c r="BW214" s="3"/>
      <c r="BX214" s="4"/>
      <c r="BY214" s="3"/>
      <c r="BZ214" s="4"/>
      <c r="CA214" s="3"/>
      <c r="CB214" s="4"/>
      <c r="CC214" s="3"/>
      <c r="CD214" s="4"/>
    </row>
    <row r="215">
      <c r="A215" s="3"/>
      <c r="B215" s="4"/>
      <c r="C215" s="3"/>
      <c r="D215" s="4"/>
      <c r="E215" s="3"/>
      <c r="F215" s="4"/>
      <c r="G215" s="3"/>
      <c r="H215" s="4"/>
      <c r="I215" s="3"/>
      <c r="J215" s="4"/>
      <c r="K215" s="3"/>
      <c r="L215" s="4"/>
      <c r="M215" s="3"/>
      <c r="N215" s="4"/>
      <c r="O215" s="3"/>
      <c r="P215" s="4"/>
      <c r="Q215" s="3"/>
      <c r="R215" s="4"/>
      <c r="S215" s="3"/>
      <c r="T215" s="4"/>
      <c r="U215" s="3"/>
      <c r="V215" s="4"/>
      <c r="W215" s="3"/>
      <c r="X215" s="4"/>
      <c r="Y215" s="3"/>
      <c r="Z215" s="4"/>
      <c r="AA215" s="3"/>
      <c r="AB215" s="4"/>
      <c r="AC215" s="3"/>
      <c r="AD215" s="4"/>
      <c r="AE215" s="3"/>
      <c r="AF215" s="4"/>
      <c r="AG215" s="3"/>
      <c r="AH215" s="4"/>
      <c r="AI215" s="3"/>
      <c r="AJ215" s="4"/>
      <c r="AK215" s="3"/>
      <c r="AL215" s="4"/>
      <c r="AM215" s="3"/>
      <c r="AN215" s="4"/>
      <c r="AO215" s="3"/>
      <c r="AP215" s="4"/>
      <c r="AQ215" s="3"/>
      <c r="AR215" s="4"/>
      <c r="AS215" s="3"/>
      <c r="AT215" s="4"/>
      <c r="AU215" s="3"/>
      <c r="AV215" s="4"/>
      <c r="AW215" s="3"/>
      <c r="AX215" s="4"/>
      <c r="AY215" s="3"/>
      <c r="AZ215" s="4"/>
      <c r="BA215" s="3"/>
      <c r="BB215" s="4"/>
      <c r="BC215" s="3"/>
      <c r="BD215" s="4"/>
      <c r="BE215" s="3"/>
      <c r="BF215" s="4"/>
      <c r="BG215" s="3"/>
      <c r="BH215" s="4"/>
      <c r="BI215" s="3"/>
      <c r="BJ215" s="4"/>
      <c r="BK215" s="3"/>
      <c r="BL215" s="4"/>
      <c r="BM215" s="3"/>
      <c r="BN215" s="4"/>
      <c r="BO215" s="3"/>
      <c r="BP215" s="4"/>
      <c r="BQ215" s="3"/>
      <c r="BR215" s="4"/>
      <c r="BS215" s="3"/>
      <c r="BT215" s="4"/>
      <c r="BU215" s="3"/>
      <c r="BV215" s="4"/>
      <c r="BW215" s="3"/>
      <c r="BX215" s="4"/>
      <c r="BY215" s="3"/>
      <c r="BZ215" s="4"/>
      <c r="CA215" s="3"/>
      <c r="CB215" s="4"/>
      <c r="CC215" s="3"/>
      <c r="CD215" s="4"/>
    </row>
    <row r="216">
      <c r="A216" s="3"/>
      <c r="B216" s="4"/>
      <c r="C216" s="3"/>
      <c r="D216" s="4"/>
      <c r="E216" s="3"/>
      <c r="F216" s="4"/>
      <c r="G216" s="3"/>
      <c r="H216" s="4"/>
      <c r="I216" s="3"/>
      <c r="J216" s="4"/>
      <c r="K216" s="3"/>
      <c r="L216" s="4"/>
      <c r="M216" s="3"/>
      <c r="N216" s="4"/>
      <c r="O216" s="3"/>
      <c r="P216" s="4"/>
      <c r="Q216" s="3"/>
      <c r="R216" s="4"/>
      <c r="S216" s="3"/>
      <c r="T216" s="4"/>
      <c r="U216" s="3"/>
      <c r="V216" s="4"/>
      <c r="W216" s="3"/>
      <c r="X216" s="4"/>
      <c r="Y216" s="3"/>
      <c r="Z216" s="4"/>
      <c r="AA216" s="3"/>
      <c r="AB216" s="4"/>
      <c r="AC216" s="3"/>
      <c r="AD216" s="4"/>
      <c r="AE216" s="3"/>
      <c r="AF216" s="4"/>
      <c r="AG216" s="3"/>
      <c r="AH216" s="4"/>
      <c r="AI216" s="3"/>
      <c r="AJ216" s="4"/>
      <c r="AK216" s="3"/>
      <c r="AL216" s="4"/>
      <c r="AM216" s="3"/>
      <c r="AN216" s="4"/>
      <c r="AO216" s="3"/>
      <c r="AP216" s="4"/>
      <c r="AQ216" s="3"/>
      <c r="AR216" s="4"/>
      <c r="AS216" s="3"/>
      <c r="AT216" s="4"/>
      <c r="AU216" s="3"/>
      <c r="AV216" s="4"/>
      <c r="AW216" s="3"/>
      <c r="AX216" s="4"/>
      <c r="AY216" s="3"/>
      <c r="AZ216" s="4"/>
      <c r="BA216" s="3"/>
      <c r="BB216" s="4"/>
      <c r="BC216" s="3"/>
      <c r="BD216" s="4"/>
      <c r="BE216" s="3"/>
      <c r="BF216" s="4"/>
      <c r="BG216" s="3"/>
      <c r="BH216" s="4"/>
      <c r="BI216" s="3"/>
      <c r="BJ216" s="4"/>
      <c r="BK216" s="3"/>
      <c r="BL216" s="4"/>
      <c r="BM216" s="3"/>
      <c r="BN216" s="4"/>
      <c r="BO216" s="3"/>
      <c r="BP216" s="4"/>
      <c r="BQ216" s="3"/>
      <c r="BR216" s="4"/>
      <c r="BS216" s="3"/>
      <c r="BT216" s="4"/>
      <c r="BU216" s="3"/>
      <c r="BV216" s="4"/>
      <c r="BW216" s="3"/>
      <c r="BX216" s="4"/>
      <c r="BY216" s="3"/>
      <c r="BZ216" s="4"/>
      <c r="CA216" s="3"/>
      <c r="CB216" s="4"/>
      <c r="CC216" s="3"/>
      <c r="CD216" s="4"/>
    </row>
    <row r="217">
      <c r="A217" s="3"/>
      <c r="B217" s="4"/>
      <c r="C217" s="3"/>
      <c r="D217" s="4"/>
      <c r="E217" s="3"/>
      <c r="F217" s="4"/>
      <c r="G217" s="3"/>
      <c r="H217" s="4"/>
      <c r="I217" s="3"/>
      <c r="J217" s="4"/>
      <c r="K217" s="3"/>
      <c r="L217" s="4"/>
      <c r="M217" s="3"/>
      <c r="N217" s="4"/>
      <c r="O217" s="3"/>
      <c r="P217" s="4"/>
      <c r="Q217" s="3"/>
      <c r="R217" s="4"/>
      <c r="S217" s="3"/>
      <c r="T217" s="4"/>
      <c r="U217" s="3"/>
      <c r="V217" s="4"/>
      <c r="W217" s="3"/>
      <c r="X217" s="4"/>
      <c r="Y217" s="3"/>
      <c r="Z217" s="4"/>
      <c r="AA217" s="3"/>
      <c r="AB217" s="4"/>
      <c r="AC217" s="3"/>
      <c r="AD217" s="4"/>
      <c r="AE217" s="3"/>
      <c r="AF217" s="4"/>
      <c r="AG217" s="3"/>
      <c r="AH217" s="4"/>
      <c r="AI217" s="3"/>
      <c r="AJ217" s="4"/>
      <c r="AK217" s="3"/>
      <c r="AL217" s="4"/>
      <c r="AM217" s="3"/>
      <c r="AN217" s="4"/>
      <c r="AO217" s="3"/>
      <c r="AP217" s="4"/>
      <c r="AQ217" s="3"/>
      <c r="AR217" s="4"/>
      <c r="AS217" s="3"/>
      <c r="AT217" s="4"/>
      <c r="AU217" s="3"/>
      <c r="AV217" s="4"/>
      <c r="AW217" s="3"/>
      <c r="AX217" s="4"/>
      <c r="AY217" s="3"/>
      <c r="AZ217" s="4"/>
      <c r="BA217" s="3"/>
      <c r="BB217" s="4"/>
      <c r="BC217" s="3"/>
      <c r="BD217" s="4"/>
      <c r="BE217" s="3"/>
      <c r="BF217" s="4"/>
      <c r="BG217" s="3"/>
      <c r="BH217" s="4"/>
      <c r="BI217" s="3"/>
      <c r="BJ217" s="4"/>
      <c r="BK217" s="3"/>
      <c r="BL217" s="4"/>
      <c r="BM217" s="3"/>
      <c r="BN217" s="4"/>
      <c r="BO217" s="3"/>
      <c r="BP217" s="4"/>
      <c r="BQ217" s="3"/>
      <c r="BR217" s="4"/>
      <c r="BS217" s="3"/>
      <c r="BT217" s="4"/>
      <c r="BU217" s="3"/>
      <c r="BV217" s="4"/>
      <c r="BW217" s="3"/>
      <c r="BX217" s="4"/>
      <c r="BY217" s="3"/>
      <c r="BZ217" s="4"/>
      <c r="CA217" s="3"/>
      <c r="CB217" s="4"/>
      <c r="CC217" s="3"/>
      <c r="CD217" s="4"/>
    </row>
    <row r="218">
      <c r="A218" s="3"/>
      <c r="B218" s="4"/>
      <c r="C218" s="3"/>
      <c r="D218" s="4"/>
      <c r="E218" s="3"/>
      <c r="F218" s="4"/>
      <c r="G218" s="3"/>
      <c r="H218" s="4"/>
      <c r="I218" s="3"/>
      <c r="J218" s="4"/>
      <c r="K218" s="3"/>
      <c r="L218" s="4"/>
      <c r="M218" s="3"/>
      <c r="N218" s="4"/>
      <c r="O218" s="3"/>
      <c r="P218" s="4"/>
      <c r="Q218" s="3"/>
      <c r="R218" s="4"/>
      <c r="S218" s="3"/>
      <c r="T218" s="4"/>
      <c r="U218" s="3"/>
      <c r="V218" s="4"/>
      <c r="W218" s="3"/>
      <c r="X218" s="4"/>
      <c r="Y218" s="3"/>
      <c r="Z218" s="4"/>
      <c r="AA218" s="3"/>
      <c r="AB218" s="4"/>
      <c r="AC218" s="3"/>
      <c r="AD218" s="4"/>
      <c r="AE218" s="3"/>
      <c r="AF218" s="4"/>
      <c r="AG218" s="3"/>
      <c r="AH218" s="4"/>
      <c r="AI218" s="3"/>
      <c r="AJ218" s="4"/>
      <c r="AK218" s="3"/>
      <c r="AL218" s="4"/>
      <c r="AM218" s="3"/>
      <c r="AN218" s="4"/>
      <c r="AO218" s="3"/>
      <c r="AP218" s="4"/>
      <c r="AQ218" s="3"/>
      <c r="AR218" s="4"/>
      <c r="AS218" s="3"/>
      <c r="AT218" s="4"/>
      <c r="AU218" s="3"/>
      <c r="AV218" s="4"/>
      <c r="AW218" s="3"/>
      <c r="AX218" s="4"/>
      <c r="AY218" s="3"/>
      <c r="AZ218" s="4"/>
      <c r="BA218" s="3"/>
      <c r="BB218" s="4"/>
      <c r="BC218" s="3"/>
      <c r="BD218" s="4"/>
      <c r="BE218" s="3"/>
      <c r="BF218" s="4"/>
      <c r="BG218" s="3"/>
      <c r="BH218" s="4"/>
      <c r="BI218" s="3"/>
      <c r="BJ218" s="4"/>
      <c r="BK218" s="3"/>
      <c r="BL218" s="4"/>
      <c r="BM218" s="3"/>
      <c r="BN218" s="4"/>
      <c r="BO218" s="3"/>
      <c r="BP218" s="4"/>
      <c r="BQ218" s="3"/>
      <c r="BR218" s="4"/>
      <c r="BS218" s="3"/>
      <c r="BT218" s="4"/>
      <c r="BU218" s="3"/>
      <c r="BV218" s="4"/>
      <c r="BW218" s="3"/>
      <c r="BX218" s="4"/>
      <c r="BY218" s="3"/>
      <c r="BZ218" s="4"/>
      <c r="CA218" s="3"/>
      <c r="CB218" s="4"/>
      <c r="CC218" s="3"/>
      <c r="CD218" s="4"/>
    </row>
    <row r="219">
      <c r="A219" s="3"/>
      <c r="B219" s="4"/>
      <c r="C219" s="3"/>
      <c r="D219" s="4"/>
      <c r="E219" s="3"/>
      <c r="F219" s="4"/>
      <c r="G219" s="3"/>
      <c r="H219" s="4"/>
      <c r="I219" s="3"/>
      <c r="J219" s="4"/>
      <c r="K219" s="3"/>
      <c r="L219" s="4"/>
      <c r="M219" s="3"/>
      <c r="N219" s="4"/>
      <c r="O219" s="3"/>
      <c r="P219" s="4"/>
      <c r="Q219" s="3"/>
      <c r="R219" s="4"/>
      <c r="S219" s="3"/>
      <c r="T219" s="4"/>
      <c r="U219" s="3"/>
      <c r="V219" s="4"/>
      <c r="W219" s="3"/>
      <c r="X219" s="4"/>
      <c r="Y219" s="3"/>
      <c r="Z219" s="4"/>
      <c r="AA219" s="3"/>
      <c r="AB219" s="4"/>
      <c r="AC219" s="3"/>
      <c r="AD219" s="4"/>
      <c r="AE219" s="3"/>
      <c r="AF219" s="4"/>
      <c r="AG219" s="3"/>
      <c r="AH219" s="4"/>
      <c r="AI219" s="3"/>
      <c r="AJ219" s="4"/>
      <c r="AK219" s="3"/>
      <c r="AL219" s="4"/>
      <c r="AM219" s="3"/>
      <c r="AN219" s="4"/>
      <c r="AO219" s="3"/>
      <c r="AP219" s="4"/>
      <c r="AQ219" s="3"/>
      <c r="AR219" s="4"/>
      <c r="AS219" s="3"/>
      <c r="AT219" s="4"/>
      <c r="AU219" s="3"/>
      <c r="AV219" s="4"/>
      <c r="AW219" s="3"/>
      <c r="AX219" s="4"/>
      <c r="AY219" s="3"/>
      <c r="AZ219" s="4"/>
      <c r="BA219" s="3"/>
      <c r="BB219" s="4"/>
      <c r="BC219" s="3"/>
      <c r="BD219" s="4"/>
      <c r="BE219" s="3"/>
      <c r="BF219" s="4"/>
      <c r="BG219" s="3"/>
      <c r="BH219" s="4"/>
      <c r="BI219" s="3"/>
      <c r="BJ219" s="4"/>
      <c r="BK219" s="3"/>
      <c r="BL219" s="4"/>
      <c r="BM219" s="3"/>
      <c r="BN219" s="4"/>
      <c r="BO219" s="3"/>
      <c r="BP219" s="4"/>
      <c r="BQ219" s="3"/>
      <c r="BR219" s="4"/>
      <c r="BS219" s="3"/>
      <c r="BT219" s="4"/>
      <c r="BU219" s="3"/>
      <c r="BV219" s="4"/>
      <c r="BW219" s="3"/>
      <c r="BX219" s="4"/>
      <c r="BY219" s="3"/>
      <c r="BZ219" s="4"/>
      <c r="CA219" s="3"/>
      <c r="CB219" s="4"/>
      <c r="CC219" s="3"/>
      <c r="CD219" s="4"/>
    </row>
    <row r="220">
      <c r="A220" s="3"/>
      <c r="B220" s="4"/>
      <c r="C220" s="3"/>
      <c r="D220" s="4"/>
      <c r="E220" s="3"/>
      <c r="F220" s="4"/>
      <c r="G220" s="3"/>
      <c r="H220" s="4"/>
      <c r="I220" s="3"/>
      <c r="J220" s="4"/>
      <c r="K220" s="3"/>
      <c r="L220" s="4"/>
      <c r="M220" s="3"/>
      <c r="N220" s="4"/>
      <c r="O220" s="3"/>
      <c r="P220" s="4"/>
      <c r="Q220" s="3"/>
      <c r="R220" s="4"/>
      <c r="S220" s="3"/>
      <c r="T220" s="4"/>
      <c r="U220" s="3"/>
      <c r="V220" s="4"/>
      <c r="W220" s="3"/>
      <c r="X220" s="4"/>
      <c r="Y220" s="3"/>
      <c r="Z220" s="4"/>
      <c r="AA220" s="3"/>
      <c r="AB220" s="4"/>
      <c r="AC220" s="3"/>
      <c r="AD220" s="4"/>
      <c r="AE220" s="3"/>
      <c r="AF220" s="4"/>
      <c r="AG220" s="3"/>
      <c r="AH220" s="4"/>
      <c r="AI220" s="3"/>
      <c r="AJ220" s="4"/>
      <c r="AK220" s="3"/>
      <c r="AL220" s="4"/>
      <c r="AM220" s="3"/>
      <c r="AN220" s="4"/>
      <c r="AO220" s="3"/>
      <c r="AP220" s="4"/>
      <c r="AQ220" s="3"/>
      <c r="AR220" s="4"/>
      <c r="AS220" s="3"/>
      <c r="AT220" s="4"/>
      <c r="AU220" s="3"/>
      <c r="AV220" s="4"/>
      <c r="AW220" s="3"/>
      <c r="AX220" s="4"/>
      <c r="AY220" s="3"/>
      <c r="AZ220" s="4"/>
      <c r="BA220" s="3"/>
      <c r="BB220" s="4"/>
      <c r="BC220" s="3"/>
      <c r="BD220" s="4"/>
      <c r="BE220" s="3"/>
      <c r="BF220" s="4"/>
      <c r="BG220" s="3"/>
      <c r="BH220" s="4"/>
      <c r="BI220" s="3"/>
      <c r="BJ220" s="4"/>
      <c r="BK220" s="3"/>
      <c r="BL220" s="4"/>
      <c r="BM220" s="3"/>
      <c r="BN220" s="4"/>
      <c r="BO220" s="3"/>
      <c r="BP220" s="4"/>
      <c r="BQ220" s="3"/>
      <c r="BR220" s="4"/>
      <c r="BS220" s="3"/>
      <c r="BT220" s="4"/>
      <c r="BU220" s="3"/>
      <c r="BV220" s="4"/>
      <c r="BW220" s="3"/>
      <c r="BX220" s="4"/>
      <c r="BY220" s="3"/>
      <c r="BZ220" s="4"/>
      <c r="CA220" s="3"/>
      <c r="CB220" s="4"/>
      <c r="CC220" s="3"/>
      <c r="CD220" s="4"/>
    </row>
    <row r="221">
      <c r="A221" s="3"/>
      <c r="B221" s="4"/>
      <c r="C221" s="3"/>
      <c r="D221" s="4"/>
      <c r="E221" s="3"/>
      <c r="F221" s="4"/>
      <c r="G221" s="3"/>
      <c r="H221" s="4"/>
      <c r="I221" s="3"/>
      <c r="J221" s="4"/>
      <c r="K221" s="3"/>
      <c r="L221" s="4"/>
      <c r="M221" s="3"/>
      <c r="N221" s="4"/>
      <c r="O221" s="3"/>
      <c r="P221" s="4"/>
      <c r="Q221" s="3"/>
      <c r="R221" s="4"/>
      <c r="S221" s="3"/>
      <c r="T221" s="4"/>
      <c r="U221" s="3"/>
      <c r="V221" s="4"/>
      <c r="W221" s="3"/>
      <c r="X221" s="4"/>
      <c r="Y221" s="3"/>
      <c r="Z221" s="4"/>
      <c r="AA221" s="3"/>
      <c r="AB221" s="4"/>
      <c r="AC221" s="3"/>
      <c r="AD221" s="4"/>
      <c r="AE221" s="3"/>
      <c r="AF221" s="4"/>
      <c r="AG221" s="3"/>
      <c r="AH221" s="4"/>
      <c r="AI221" s="3"/>
      <c r="AJ221" s="4"/>
      <c r="AK221" s="3"/>
      <c r="AL221" s="4"/>
      <c r="AM221" s="3"/>
      <c r="AN221" s="4"/>
      <c r="AO221" s="3"/>
      <c r="AP221" s="4"/>
      <c r="AQ221" s="3"/>
      <c r="AR221" s="4"/>
      <c r="AS221" s="3"/>
      <c r="AT221" s="4"/>
      <c r="AU221" s="3"/>
      <c r="AV221" s="4"/>
      <c r="AW221" s="3"/>
      <c r="AX221" s="4"/>
      <c r="AY221" s="3"/>
      <c r="AZ221" s="4"/>
      <c r="BA221" s="3"/>
      <c r="BB221" s="4"/>
      <c r="BC221" s="3"/>
      <c r="BD221" s="4"/>
      <c r="BE221" s="3"/>
      <c r="BF221" s="4"/>
      <c r="BG221" s="3"/>
      <c r="BH221" s="4"/>
      <c r="BI221" s="3"/>
      <c r="BJ221" s="4"/>
      <c r="BK221" s="3"/>
      <c r="BL221" s="4"/>
      <c r="BM221" s="3"/>
      <c r="BN221" s="4"/>
      <c r="BO221" s="3"/>
      <c r="BP221" s="4"/>
      <c r="BQ221" s="3"/>
      <c r="BR221" s="4"/>
      <c r="BS221" s="3"/>
      <c r="BT221" s="4"/>
      <c r="BU221" s="3"/>
      <c r="BV221" s="4"/>
      <c r="BW221" s="3"/>
      <c r="BX221" s="4"/>
      <c r="BY221" s="3"/>
      <c r="BZ221" s="4"/>
      <c r="CA221" s="3"/>
      <c r="CB221" s="4"/>
      <c r="CC221" s="3"/>
      <c r="CD221" s="4"/>
    </row>
    <row r="222">
      <c r="A222" s="3"/>
      <c r="B222" s="4"/>
      <c r="C222" s="3"/>
      <c r="D222" s="4"/>
      <c r="E222" s="3"/>
      <c r="F222" s="4"/>
      <c r="G222" s="3"/>
      <c r="H222" s="4"/>
      <c r="I222" s="3"/>
      <c r="J222" s="4"/>
      <c r="K222" s="3"/>
      <c r="L222" s="4"/>
      <c r="M222" s="3"/>
      <c r="N222" s="4"/>
      <c r="O222" s="3"/>
      <c r="P222" s="4"/>
      <c r="Q222" s="3"/>
      <c r="R222" s="4"/>
      <c r="S222" s="3"/>
      <c r="T222" s="4"/>
      <c r="U222" s="3"/>
      <c r="V222" s="4"/>
      <c r="W222" s="3"/>
      <c r="X222" s="4"/>
      <c r="Y222" s="3"/>
      <c r="Z222" s="4"/>
      <c r="AA222" s="3"/>
      <c r="AB222" s="4"/>
      <c r="AC222" s="3"/>
      <c r="AD222" s="4"/>
      <c r="AE222" s="3"/>
      <c r="AF222" s="4"/>
      <c r="AG222" s="3"/>
      <c r="AH222" s="4"/>
      <c r="AI222" s="3"/>
      <c r="AJ222" s="4"/>
      <c r="AK222" s="3"/>
      <c r="AL222" s="4"/>
      <c r="AM222" s="3"/>
      <c r="AN222" s="4"/>
      <c r="AO222" s="3"/>
      <c r="AP222" s="4"/>
      <c r="AQ222" s="3"/>
      <c r="AR222" s="4"/>
      <c r="AS222" s="3"/>
      <c r="AT222" s="4"/>
      <c r="AU222" s="3"/>
      <c r="AV222" s="4"/>
      <c r="AW222" s="3"/>
      <c r="AX222" s="4"/>
      <c r="AY222" s="3"/>
      <c r="AZ222" s="4"/>
      <c r="BA222" s="3"/>
      <c r="BB222" s="4"/>
      <c r="BC222" s="3"/>
      <c r="BD222" s="4"/>
      <c r="BE222" s="3"/>
      <c r="BF222" s="4"/>
      <c r="BG222" s="3"/>
      <c r="BH222" s="4"/>
      <c r="BI222" s="3"/>
      <c r="BJ222" s="4"/>
      <c r="BK222" s="3"/>
      <c r="BL222" s="4"/>
      <c r="BM222" s="3"/>
      <c r="BN222" s="4"/>
      <c r="BO222" s="3"/>
      <c r="BP222" s="4"/>
      <c r="BQ222" s="3"/>
      <c r="BR222" s="4"/>
      <c r="BS222" s="3"/>
      <c r="BT222" s="4"/>
      <c r="BU222" s="3"/>
      <c r="BV222" s="4"/>
      <c r="BW222" s="3"/>
      <c r="BX222" s="4"/>
      <c r="BY222" s="3"/>
      <c r="BZ222" s="4"/>
      <c r="CA222" s="3"/>
      <c r="CB222" s="4"/>
      <c r="CC222" s="3"/>
      <c r="CD222" s="4"/>
    </row>
    <row r="223">
      <c r="A223" s="3"/>
      <c r="B223" s="4"/>
      <c r="C223" s="3"/>
      <c r="D223" s="4"/>
      <c r="E223" s="3"/>
      <c r="F223" s="4"/>
      <c r="G223" s="3"/>
      <c r="H223" s="4"/>
      <c r="I223" s="3"/>
      <c r="J223" s="4"/>
      <c r="K223" s="3"/>
      <c r="L223" s="4"/>
      <c r="M223" s="3"/>
      <c r="N223" s="4"/>
      <c r="O223" s="3"/>
      <c r="P223" s="4"/>
      <c r="Q223" s="3"/>
      <c r="R223" s="4"/>
      <c r="S223" s="3"/>
      <c r="T223" s="4"/>
      <c r="U223" s="3"/>
      <c r="V223" s="4"/>
      <c r="W223" s="3"/>
      <c r="X223" s="4"/>
      <c r="Y223" s="3"/>
      <c r="Z223" s="4"/>
      <c r="AA223" s="3"/>
      <c r="AB223" s="4"/>
      <c r="AC223" s="3"/>
      <c r="AD223" s="4"/>
      <c r="AE223" s="3"/>
      <c r="AF223" s="4"/>
      <c r="AG223" s="3"/>
      <c r="AH223" s="4"/>
      <c r="AI223" s="3"/>
      <c r="AJ223" s="4"/>
      <c r="AK223" s="3"/>
      <c r="AL223" s="4"/>
      <c r="AM223" s="3"/>
      <c r="AN223" s="4"/>
      <c r="AO223" s="3"/>
      <c r="AP223" s="4"/>
      <c r="AQ223" s="3"/>
      <c r="AR223" s="4"/>
      <c r="AS223" s="3"/>
      <c r="AT223" s="4"/>
      <c r="AU223" s="3"/>
      <c r="AV223" s="4"/>
      <c r="AW223" s="3"/>
      <c r="AX223" s="4"/>
      <c r="AY223" s="3"/>
      <c r="AZ223" s="4"/>
      <c r="BA223" s="3"/>
      <c r="BB223" s="4"/>
      <c r="BC223" s="3"/>
      <c r="BD223" s="4"/>
      <c r="BE223" s="3"/>
      <c r="BF223" s="4"/>
      <c r="BG223" s="3"/>
      <c r="BH223" s="4"/>
      <c r="BI223" s="3"/>
      <c r="BJ223" s="4"/>
      <c r="BK223" s="3"/>
      <c r="BL223" s="4"/>
      <c r="BM223" s="3"/>
      <c r="BN223" s="4"/>
      <c r="BO223" s="3"/>
      <c r="BP223" s="4"/>
      <c r="BQ223" s="3"/>
      <c r="BR223" s="4"/>
      <c r="BS223" s="3"/>
      <c r="BT223" s="4"/>
      <c r="BU223" s="3"/>
      <c r="BV223" s="4"/>
      <c r="BW223" s="3"/>
      <c r="BX223" s="4"/>
      <c r="BY223" s="3"/>
      <c r="BZ223" s="4"/>
      <c r="CA223" s="3"/>
      <c r="CB223" s="4"/>
      <c r="CC223" s="3"/>
      <c r="CD223" s="4"/>
    </row>
    <row r="224">
      <c r="A224" s="3"/>
      <c r="B224" s="4"/>
      <c r="C224" s="3"/>
      <c r="D224" s="4"/>
      <c r="E224" s="3"/>
      <c r="F224" s="4"/>
      <c r="G224" s="3"/>
      <c r="H224" s="4"/>
      <c r="I224" s="3"/>
      <c r="J224" s="4"/>
      <c r="K224" s="3"/>
      <c r="L224" s="4"/>
      <c r="M224" s="3"/>
      <c r="N224" s="4"/>
      <c r="O224" s="3"/>
      <c r="P224" s="4"/>
      <c r="Q224" s="3"/>
      <c r="R224" s="4"/>
      <c r="S224" s="3"/>
      <c r="T224" s="4"/>
      <c r="U224" s="3"/>
      <c r="V224" s="4"/>
      <c r="W224" s="3"/>
      <c r="X224" s="4"/>
      <c r="Y224" s="3"/>
      <c r="Z224" s="4"/>
      <c r="AA224" s="3"/>
      <c r="AB224" s="4"/>
      <c r="AC224" s="3"/>
      <c r="AD224" s="4"/>
      <c r="AE224" s="3"/>
      <c r="AF224" s="4"/>
      <c r="AG224" s="3"/>
      <c r="AH224" s="4"/>
      <c r="AI224" s="3"/>
      <c r="AJ224" s="4"/>
      <c r="AK224" s="3"/>
      <c r="AL224" s="4"/>
      <c r="AM224" s="3"/>
      <c r="AN224" s="4"/>
      <c r="AO224" s="3"/>
      <c r="AP224" s="4"/>
      <c r="AQ224" s="3"/>
      <c r="AR224" s="4"/>
      <c r="AS224" s="3"/>
      <c r="AT224" s="4"/>
      <c r="AU224" s="3"/>
      <c r="AV224" s="4"/>
      <c r="AW224" s="3"/>
      <c r="AX224" s="4"/>
      <c r="AY224" s="3"/>
      <c r="AZ224" s="4"/>
      <c r="BA224" s="3"/>
      <c r="BB224" s="4"/>
      <c r="BC224" s="3"/>
      <c r="BD224" s="4"/>
      <c r="BE224" s="3"/>
      <c r="BF224" s="4"/>
      <c r="BG224" s="3"/>
      <c r="BH224" s="4"/>
      <c r="BI224" s="3"/>
      <c r="BJ224" s="4"/>
      <c r="BK224" s="3"/>
      <c r="BL224" s="4"/>
      <c r="BM224" s="3"/>
      <c r="BN224" s="4"/>
      <c r="BO224" s="3"/>
      <c r="BP224" s="4"/>
      <c r="BQ224" s="3"/>
      <c r="BR224" s="4"/>
      <c r="BS224" s="3"/>
      <c r="BT224" s="4"/>
      <c r="BU224" s="3"/>
      <c r="BV224" s="4"/>
      <c r="BW224" s="3"/>
      <c r="BX224" s="4"/>
      <c r="BY224" s="3"/>
      <c r="BZ224" s="4"/>
      <c r="CA224" s="3"/>
      <c r="CB224" s="4"/>
      <c r="CC224" s="3"/>
      <c r="CD224" s="4"/>
    </row>
    <row r="225">
      <c r="A225" s="3"/>
      <c r="B225" s="4"/>
      <c r="C225" s="3"/>
      <c r="D225" s="4"/>
      <c r="E225" s="3"/>
      <c r="F225" s="4"/>
      <c r="G225" s="3"/>
      <c r="H225" s="4"/>
      <c r="I225" s="3"/>
      <c r="J225" s="4"/>
      <c r="K225" s="3"/>
      <c r="L225" s="4"/>
      <c r="M225" s="3"/>
      <c r="N225" s="4"/>
      <c r="O225" s="3"/>
      <c r="P225" s="4"/>
      <c r="Q225" s="3"/>
      <c r="R225" s="4"/>
      <c r="S225" s="3"/>
      <c r="T225" s="4"/>
      <c r="U225" s="3"/>
      <c r="V225" s="4"/>
      <c r="W225" s="3"/>
      <c r="X225" s="4"/>
      <c r="Y225" s="3"/>
      <c r="Z225" s="4"/>
      <c r="AA225" s="3"/>
      <c r="AB225" s="4"/>
      <c r="AC225" s="3"/>
      <c r="AD225" s="4"/>
      <c r="AE225" s="3"/>
      <c r="AF225" s="4"/>
      <c r="AG225" s="3"/>
      <c r="AH225" s="4"/>
      <c r="AI225" s="3"/>
      <c r="AJ225" s="4"/>
      <c r="AK225" s="3"/>
      <c r="AL225" s="4"/>
      <c r="AM225" s="3"/>
      <c r="AN225" s="4"/>
      <c r="AO225" s="3"/>
      <c r="AP225" s="4"/>
      <c r="AQ225" s="3"/>
      <c r="AR225" s="4"/>
      <c r="AS225" s="3"/>
      <c r="AT225" s="4"/>
      <c r="AU225" s="3"/>
      <c r="AV225" s="4"/>
      <c r="AW225" s="3"/>
      <c r="AX225" s="4"/>
      <c r="AY225" s="3"/>
      <c r="AZ225" s="4"/>
      <c r="BA225" s="3"/>
      <c r="BB225" s="4"/>
      <c r="BC225" s="3"/>
      <c r="BD225" s="4"/>
      <c r="BE225" s="3"/>
      <c r="BF225" s="4"/>
      <c r="BG225" s="3"/>
      <c r="BH225" s="4"/>
      <c r="BI225" s="3"/>
      <c r="BJ225" s="4"/>
      <c r="BK225" s="3"/>
      <c r="BL225" s="4"/>
      <c r="BM225" s="3"/>
      <c r="BN225" s="4"/>
      <c r="BO225" s="3"/>
      <c r="BP225" s="4"/>
      <c r="BQ225" s="3"/>
      <c r="BR225" s="4"/>
      <c r="BS225" s="3"/>
      <c r="BT225" s="4"/>
      <c r="BU225" s="3"/>
      <c r="BV225" s="4"/>
      <c r="BW225" s="3"/>
      <c r="BX225" s="4"/>
      <c r="BY225" s="3"/>
      <c r="BZ225" s="4"/>
      <c r="CA225" s="3"/>
      <c r="CB225" s="4"/>
      <c r="CC225" s="3"/>
      <c r="CD225" s="4"/>
    </row>
    <row r="226">
      <c r="A226" s="3"/>
      <c r="B226" s="4"/>
      <c r="C226" s="3"/>
      <c r="D226" s="4"/>
      <c r="E226" s="3"/>
      <c r="F226" s="4"/>
      <c r="G226" s="3"/>
      <c r="H226" s="4"/>
      <c r="I226" s="3"/>
      <c r="J226" s="4"/>
      <c r="K226" s="3"/>
      <c r="L226" s="4"/>
      <c r="M226" s="3"/>
      <c r="N226" s="4"/>
      <c r="O226" s="3"/>
      <c r="P226" s="4"/>
      <c r="Q226" s="3"/>
      <c r="R226" s="4"/>
      <c r="S226" s="3"/>
      <c r="T226" s="4"/>
      <c r="U226" s="3"/>
      <c r="V226" s="4"/>
      <c r="W226" s="3"/>
      <c r="X226" s="4"/>
      <c r="Y226" s="3"/>
      <c r="Z226" s="4"/>
      <c r="AA226" s="3"/>
      <c r="AB226" s="4"/>
      <c r="AC226" s="3"/>
      <c r="AD226" s="4"/>
      <c r="AE226" s="3"/>
      <c r="AF226" s="4"/>
      <c r="AG226" s="3"/>
      <c r="AH226" s="4"/>
      <c r="AI226" s="3"/>
      <c r="AJ226" s="4"/>
      <c r="AK226" s="3"/>
      <c r="AL226" s="4"/>
      <c r="AM226" s="3"/>
      <c r="AN226" s="4"/>
      <c r="AO226" s="3"/>
      <c r="AP226" s="4"/>
      <c r="AQ226" s="3"/>
      <c r="AR226" s="4"/>
      <c r="AS226" s="3"/>
      <c r="AT226" s="4"/>
      <c r="AU226" s="3"/>
      <c r="AV226" s="4"/>
      <c r="AW226" s="3"/>
      <c r="AX226" s="4"/>
      <c r="AY226" s="3"/>
      <c r="AZ226" s="4"/>
      <c r="BA226" s="3"/>
      <c r="BB226" s="4"/>
      <c r="BC226" s="3"/>
      <c r="BD226" s="4"/>
      <c r="BE226" s="3"/>
      <c r="BF226" s="4"/>
      <c r="BG226" s="3"/>
      <c r="BH226" s="4"/>
      <c r="BI226" s="3"/>
      <c r="BJ226" s="4"/>
      <c r="BK226" s="3"/>
      <c r="BL226" s="4"/>
      <c r="BM226" s="3"/>
      <c r="BN226" s="4"/>
      <c r="BO226" s="3"/>
      <c r="BP226" s="4"/>
      <c r="BQ226" s="3"/>
      <c r="BR226" s="4"/>
      <c r="BS226" s="3"/>
      <c r="BT226" s="4"/>
      <c r="BU226" s="3"/>
      <c r="BV226" s="4"/>
      <c r="BW226" s="3"/>
      <c r="BX226" s="4"/>
      <c r="BY226" s="3"/>
      <c r="BZ226" s="4"/>
      <c r="CA226" s="3"/>
      <c r="CB226" s="4"/>
      <c r="CC226" s="3"/>
      <c r="CD226" s="4"/>
    </row>
    <row r="227">
      <c r="A227" s="3"/>
      <c r="B227" s="4"/>
      <c r="C227" s="3"/>
      <c r="D227" s="4"/>
      <c r="E227" s="3"/>
      <c r="F227" s="4"/>
      <c r="G227" s="3"/>
      <c r="H227" s="4"/>
      <c r="I227" s="3"/>
      <c r="J227" s="4"/>
      <c r="K227" s="3"/>
      <c r="L227" s="4"/>
      <c r="M227" s="3"/>
      <c r="N227" s="4"/>
      <c r="O227" s="3"/>
      <c r="P227" s="4"/>
      <c r="Q227" s="3"/>
      <c r="R227" s="4"/>
      <c r="S227" s="3"/>
      <c r="T227" s="4"/>
      <c r="U227" s="3"/>
      <c r="V227" s="4"/>
      <c r="W227" s="3"/>
      <c r="X227" s="4"/>
      <c r="Y227" s="3"/>
      <c r="Z227" s="4"/>
      <c r="AA227" s="3"/>
      <c r="AB227" s="4"/>
      <c r="AC227" s="3"/>
      <c r="AD227" s="4"/>
      <c r="AE227" s="3"/>
      <c r="AF227" s="4"/>
      <c r="AG227" s="3"/>
      <c r="AH227" s="4"/>
      <c r="AI227" s="3"/>
      <c r="AJ227" s="4"/>
      <c r="AK227" s="3"/>
      <c r="AL227" s="4"/>
      <c r="AM227" s="3"/>
      <c r="AN227" s="4"/>
      <c r="AO227" s="3"/>
      <c r="AP227" s="4"/>
      <c r="AQ227" s="3"/>
      <c r="AR227" s="4"/>
      <c r="AS227" s="3"/>
      <c r="AT227" s="4"/>
      <c r="AU227" s="3"/>
      <c r="AV227" s="4"/>
      <c r="AW227" s="3"/>
      <c r="AX227" s="4"/>
      <c r="AY227" s="3"/>
      <c r="AZ227" s="4"/>
      <c r="BA227" s="3"/>
      <c r="BB227" s="4"/>
      <c r="BC227" s="3"/>
      <c r="BD227" s="4"/>
      <c r="BE227" s="3"/>
      <c r="BF227" s="4"/>
      <c r="BG227" s="3"/>
      <c r="BH227" s="4"/>
      <c r="BI227" s="3"/>
      <c r="BJ227" s="4"/>
      <c r="BK227" s="3"/>
      <c r="BL227" s="4"/>
      <c r="BM227" s="3"/>
      <c r="BN227" s="4"/>
      <c r="BO227" s="3"/>
      <c r="BP227" s="4"/>
      <c r="BQ227" s="3"/>
      <c r="BR227" s="4"/>
      <c r="BS227" s="3"/>
      <c r="BT227" s="4"/>
      <c r="BU227" s="3"/>
      <c r="BV227" s="4"/>
      <c r="BW227" s="3"/>
      <c r="BX227" s="4"/>
      <c r="BY227" s="3"/>
      <c r="BZ227" s="4"/>
      <c r="CA227" s="3"/>
      <c r="CB227" s="4"/>
      <c r="CC227" s="3"/>
      <c r="CD227" s="4"/>
    </row>
    <row r="228">
      <c r="A228" s="3"/>
      <c r="B228" s="4"/>
      <c r="C228" s="3"/>
      <c r="D228" s="4"/>
      <c r="E228" s="3"/>
      <c r="F228" s="4"/>
      <c r="G228" s="3"/>
      <c r="H228" s="4"/>
      <c r="I228" s="3"/>
      <c r="J228" s="4"/>
      <c r="K228" s="3"/>
      <c r="L228" s="4"/>
      <c r="M228" s="3"/>
      <c r="N228" s="4"/>
      <c r="O228" s="3"/>
      <c r="P228" s="4"/>
      <c r="Q228" s="3"/>
      <c r="R228" s="4"/>
      <c r="S228" s="3"/>
      <c r="T228" s="4"/>
      <c r="U228" s="3"/>
      <c r="V228" s="4"/>
      <c r="W228" s="3"/>
      <c r="X228" s="4"/>
      <c r="Y228" s="3"/>
      <c r="Z228" s="4"/>
      <c r="AA228" s="3"/>
      <c r="AB228" s="4"/>
      <c r="AC228" s="3"/>
      <c r="AD228" s="4"/>
      <c r="AE228" s="3"/>
      <c r="AF228" s="4"/>
      <c r="AG228" s="3"/>
      <c r="AH228" s="4"/>
      <c r="AI228" s="3"/>
      <c r="AJ228" s="4"/>
      <c r="AK228" s="3"/>
      <c r="AL228" s="4"/>
      <c r="AM228" s="3"/>
      <c r="AN228" s="4"/>
      <c r="AO228" s="3"/>
      <c r="AP228" s="4"/>
      <c r="AQ228" s="3"/>
      <c r="AR228" s="4"/>
      <c r="AS228" s="3"/>
      <c r="AT228" s="4"/>
      <c r="AU228" s="3"/>
      <c r="AV228" s="4"/>
      <c r="AW228" s="3"/>
      <c r="AX228" s="4"/>
      <c r="AY228" s="3"/>
      <c r="AZ228" s="4"/>
      <c r="BA228" s="3"/>
      <c r="BB228" s="4"/>
      <c r="BC228" s="3"/>
      <c r="BD228" s="4"/>
      <c r="BE228" s="3"/>
      <c r="BF228" s="4"/>
      <c r="BG228" s="3"/>
      <c r="BH228" s="4"/>
      <c r="BI228" s="3"/>
      <c r="BJ228" s="4"/>
      <c r="BK228" s="3"/>
      <c r="BL228" s="4"/>
      <c r="BM228" s="3"/>
      <c r="BN228" s="4"/>
      <c r="BO228" s="3"/>
      <c r="BP228" s="4"/>
      <c r="BQ228" s="3"/>
      <c r="BR228" s="4"/>
      <c r="BS228" s="3"/>
      <c r="BT228" s="4"/>
      <c r="BU228" s="3"/>
      <c r="BV228" s="4"/>
      <c r="BW228" s="3"/>
      <c r="BX228" s="4"/>
      <c r="BY228" s="3"/>
      <c r="BZ228" s="4"/>
      <c r="CA228" s="3"/>
      <c r="CB228" s="4"/>
      <c r="CC228" s="3"/>
      <c r="CD228" s="4"/>
    </row>
    <row r="229">
      <c r="A229" s="3"/>
      <c r="B229" s="4"/>
      <c r="C229" s="3"/>
      <c r="D229" s="4"/>
      <c r="E229" s="3"/>
      <c r="F229" s="4"/>
      <c r="G229" s="3"/>
      <c r="H229" s="4"/>
      <c r="I229" s="3"/>
      <c r="J229" s="4"/>
      <c r="K229" s="3"/>
      <c r="L229" s="4"/>
      <c r="M229" s="3"/>
      <c r="N229" s="4"/>
      <c r="O229" s="3"/>
      <c r="P229" s="4"/>
      <c r="Q229" s="3"/>
      <c r="R229" s="4"/>
      <c r="S229" s="3"/>
      <c r="T229" s="4"/>
      <c r="U229" s="3"/>
      <c r="V229" s="4"/>
      <c r="W229" s="3"/>
      <c r="X229" s="4"/>
      <c r="Y229" s="3"/>
      <c r="Z229" s="4"/>
      <c r="AA229" s="3"/>
      <c r="AB229" s="4"/>
      <c r="AC229" s="3"/>
      <c r="AD229" s="4"/>
      <c r="AE229" s="3"/>
      <c r="AF229" s="4"/>
      <c r="AG229" s="3"/>
      <c r="AH229" s="4"/>
      <c r="AI229" s="3"/>
      <c r="AJ229" s="4"/>
      <c r="AK229" s="3"/>
      <c r="AL229" s="4"/>
      <c r="AM229" s="3"/>
      <c r="AN229" s="4"/>
      <c r="AO229" s="3"/>
      <c r="AP229" s="4"/>
      <c r="AQ229" s="3"/>
      <c r="AR229" s="4"/>
      <c r="AS229" s="3"/>
      <c r="AT229" s="4"/>
      <c r="AU229" s="3"/>
      <c r="AV229" s="4"/>
      <c r="AW229" s="3"/>
      <c r="AX229" s="4"/>
      <c r="AY229" s="3"/>
      <c r="AZ229" s="4"/>
      <c r="BA229" s="3"/>
      <c r="BB229" s="4"/>
      <c r="BC229" s="3"/>
      <c r="BD229" s="4"/>
      <c r="BE229" s="3"/>
      <c r="BF229" s="4"/>
      <c r="BG229" s="3"/>
      <c r="BH229" s="4"/>
      <c r="BI229" s="3"/>
      <c r="BJ229" s="4"/>
      <c r="BK229" s="3"/>
      <c r="BL229" s="4"/>
      <c r="BM229" s="3"/>
      <c r="BN229" s="4"/>
      <c r="BO229" s="3"/>
      <c r="BP229" s="4"/>
      <c r="BQ229" s="3"/>
      <c r="BR229" s="4"/>
      <c r="BS229" s="3"/>
      <c r="BT229" s="4"/>
      <c r="BU229" s="3"/>
      <c r="BV229" s="4"/>
      <c r="BW229" s="3"/>
      <c r="BX229" s="4"/>
      <c r="BY229" s="3"/>
      <c r="BZ229" s="4"/>
      <c r="CA229" s="3"/>
      <c r="CB229" s="4"/>
      <c r="CC229" s="3"/>
      <c r="CD229" s="4"/>
    </row>
    <row r="230">
      <c r="A230" s="3"/>
      <c r="B230" s="4"/>
      <c r="C230" s="3"/>
      <c r="D230" s="4"/>
      <c r="E230" s="3"/>
      <c r="F230" s="4"/>
      <c r="G230" s="3"/>
      <c r="H230" s="4"/>
      <c r="I230" s="3"/>
      <c r="J230" s="4"/>
      <c r="K230" s="3"/>
      <c r="L230" s="4"/>
      <c r="M230" s="3"/>
      <c r="N230" s="4"/>
      <c r="O230" s="3"/>
      <c r="P230" s="4"/>
      <c r="Q230" s="3"/>
      <c r="R230" s="4"/>
      <c r="S230" s="3"/>
      <c r="T230" s="4"/>
      <c r="U230" s="3"/>
      <c r="V230" s="4"/>
      <c r="W230" s="3"/>
      <c r="X230" s="4"/>
      <c r="Y230" s="3"/>
      <c r="Z230" s="4"/>
      <c r="AA230" s="3"/>
      <c r="AB230" s="4"/>
      <c r="AC230" s="3"/>
      <c r="AD230" s="4"/>
      <c r="AE230" s="3"/>
      <c r="AF230" s="4"/>
      <c r="AG230" s="3"/>
      <c r="AH230" s="4"/>
      <c r="AI230" s="3"/>
      <c r="AJ230" s="4"/>
      <c r="AK230" s="3"/>
      <c r="AL230" s="4"/>
      <c r="AM230" s="3"/>
      <c r="AN230" s="4"/>
      <c r="AO230" s="3"/>
      <c r="AP230" s="4"/>
      <c r="AQ230" s="3"/>
      <c r="AR230" s="4"/>
      <c r="AS230" s="3"/>
      <c r="AT230" s="4"/>
      <c r="AU230" s="3"/>
      <c r="AV230" s="4"/>
      <c r="AW230" s="3"/>
      <c r="AX230" s="4"/>
      <c r="AY230" s="3"/>
      <c r="AZ230" s="4"/>
      <c r="BA230" s="3"/>
      <c r="BB230" s="4"/>
      <c r="BC230" s="3"/>
      <c r="BD230" s="4"/>
      <c r="BE230" s="3"/>
      <c r="BF230" s="4"/>
      <c r="BG230" s="3"/>
      <c r="BH230" s="4"/>
      <c r="BI230" s="3"/>
      <c r="BJ230" s="4"/>
      <c r="BK230" s="3"/>
      <c r="BL230" s="4"/>
      <c r="BM230" s="3"/>
      <c r="BN230" s="4"/>
      <c r="BO230" s="3"/>
      <c r="BP230" s="4"/>
      <c r="BQ230" s="3"/>
      <c r="BR230" s="4"/>
      <c r="BS230" s="3"/>
      <c r="BT230" s="4"/>
      <c r="BU230" s="3"/>
      <c r="BV230" s="4"/>
      <c r="BW230" s="3"/>
      <c r="BX230" s="4"/>
      <c r="BY230" s="3"/>
      <c r="BZ230" s="4"/>
      <c r="CA230" s="3"/>
      <c r="CB230" s="4"/>
      <c r="CC230" s="3"/>
      <c r="CD230" s="4"/>
    </row>
    <row r="231">
      <c r="A231" s="3"/>
      <c r="B231" s="4"/>
      <c r="C231" s="3"/>
      <c r="D231" s="4"/>
      <c r="E231" s="3"/>
      <c r="F231" s="4"/>
      <c r="G231" s="3"/>
      <c r="H231" s="4"/>
      <c r="I231" s="3"/>
      <c r="J231" s="4"/>
      <c r="K231" s="3"/>
      <c r="L231" s="4"/>
      <c r="M231" s="3"/>
      <c r="N231" s="4"/>
      <c r="O231" s="3"/>
      <c r="P231" s="4"/>
      <c r="Q231" s="3"/>
      <c r="R231" s="4"/>
      <c r="S231" s="3"/>
      <c r="T231" s="4"/>
      <c r="U231" s="3"/>
      <c r="V231" s="4"/>
      <c r="W231" s="3"/>
      <c r="X231" s="4"/>
      <c r="Y231" s="3"/>
      <c r="Z231" s="4"/>
      <c r="AA231" s="3"/>
      <c r="AB231" s="4"/>
      <c r="AC231" s="3"/>
      <c r="AD231" s="4"/>
      <c r="AE231" s="3"/>
      <c r="AF231" s="4"/>
      <c r="AG231" s="3"/>
      <c r="AH231" s="4"/>
      <c r="AI231" s="3"/>
      <c r="AJ231" s="4"/>
      <c r="AK231" s="3"/>
      <c r="AL231" s="4"/>
      <c r="AM231" s="3"/>
      <c r="AN231" s="4"/>
      <c r="AO231" s="3"/>
      <c r="AP231" s="4"/>
      <c r="AQ231" s="3"/>
      <c r="AR231" s="4"/>
      <c r="AS231" s="3"/>
      <c r="AT231" s="4"/>
      <c r="AU231" s="3"/>
      <c r="AV231" s="4"/>
      <c r="AW231" s="3"/>
      <c r="AX231" s="4"/>
      <c r="AY231" s="3"/>
      <c r="AZ231" s="4"/>
      <c r="BA231" s="3"/>
      <c r="BB231" s="4"/>
      <c r="BC231" s="3"/>
      <c r="BD231" s="4"/>
      <c r="BE231" s="3"/>
      <c r="BF231" s="4"/>
      <c r="BG231" s="3"/>
      <c r="BH231" s="4"/>
      <c r="BI231" s="3"/>
      <c r="BJ231" s="4"/>
      <c r="BK231" s="3"/>
      <c r="BL231" s="4"/>
      <c r="BM231" s="3"/>
      <c r="BN231" s="4"/>
      <c r="BO231" s="3"/>
      <c r="BP231" s="4"/>
      <c r="BQ231" s="3"/>
      <c r="BR231" s="4"/>
      <c r="BS231" s="3"/>
      <c r="BT231" s="4"/>
      <c r="BU231" s="3"/>
      <c r="BV231" s="4"/>
      <c r="BW231" s="3"/>
      <c r="BX231" s="4"/>
      <c r="BY231" s="3"/>
      <c r="BZ231" s="4"/>
      <c r="CA231" s="3"/>
      <c r="CB231" s="4"/>
      <c r="CC231" s="3"/>
      <c r="CD231" s="4"/>
    </row>
    <row r="232">
      <c r="A232" s="3"/>
      <c r="B232" s="4"/>
      <c r="C232" s="3"/>
      <c r="D232" s="4"/>
      <c r="E232" s="3"/>
      <c r="F232" s="4"/>
      <c r="G232" s="3"/>
      <c r="H232" s="4"/>
      <c r="I232" s="3"/>
      <c r="J232" s="4"/>
      <c r="K232" s="3"/>
      <c r="L232" s="4"/>
      <c r="M232" s="3"/>
      <c r="N232" s="4"/>
      <c r="O232" s="3"/>
      <c r="P232" s="4"/>
      <c r="Q232" s="3"/>
      <c r="R232" s="4"/>
      <c r="S232" s="3"/>
      <c r="T232" s="4"/>
      <c r="U232" s="3"/>
      <c r="V232" s="4"/>
      <c r="W232" s="3"/>
      <c r="X232" s="4"/>
      <c r="Y232" s="3"/>
      <c r="Z232" s="4"/>
      <c r="AA232" s="3"/>
      <c r="AB232" s="4"/>
      <c r="AC232" s="3"/>
      <c r="AD232" s="4"/>
      <c r="AE232" s="3"/>
      <c r="AF232" s="4"/>
      <c r="AG232" s="3"/>
      <c r="AH232" s="4"/>
      <c r="AI232" s="3"/>
      <c r="AJ232" s="4"/>
      <c r="AK232" s="3"/>
      <c r="AL232" s="4"/>
      <c r="AM232" s="3"/>
      <c r="AN232" s="4"/>
      <c r="AO232" s="3"/>
      <c r="AP232" s="4"/>
      <c r="AQ232" s="3"/>
      <c r="AR232" s="4"/>
      <c r="AS232" s="3"/>
      <c r="AT232" s="4"/>
      <c r="AU232" s="3"/>
      <c r="AV232" s="4"/>
      <c r="AW232" s="3"/>
      <c r="AX232" s="4"/>
      <c r="AY232" s="3"/>
      <c r="AZ232" s="4"/>
      <c r="BA232" s="3"/>
      <c r="BB232" s="4"/>
      <c r="BC232" s="3"/>
      <c r="BD232" s="4"/>
      <c r="BE232" s="3"/>
      <c r="BF232" s="4"/>
      <c r="BG232" s="3"/>
      <c r="BH232" s="4"/>
      <c r="BI232" s="3"/>
      <c r="BJ232" s="4"/>
      <c r="BK232" s="3"/>
      <c r="BL232" s="4"/>
      <c r="BM232" s="3"/>
      <c r="BN232" s="4"/>
      <c r="BO232" s="3"/>
      <c r="BP232" s="4"/>
      <c r="BQ232" s="3"/>
      <c r="BR232" s="4"/>
      <c r="BS232" s="3"/>
      <c r="BT232" s="4"/>
      <c r="BU232" s="3"/>
      <c r="BV232" s="4"/>
      <c r="BW232" s="3"/>
      <c r="BX232" s="4"/>
      <c r="BY232" s="3"/>
      <c r="BZ232" s="4"/>
      <c r="CA232" s="3"/>
      <c r="CB232" s="4"/>
      <c r="CC232" s="3"/>
      <c r="CD232" s="4"/>
    </row>
    <row r="233">
      <c r="A233" s="3"/>
      <c r="B233" s="4"/>
      <c r="C233" s="3"/>
      <c r="D233" s="4"/>
      <c r="E233" s="3"/>
      <c r="F233" s="4"/>
      <c r="G233" s="3"/>
      <c r="H233" s="4"/>
      <c r="I233" s="3"/>
      <c r="J233" s="4"/>
      <c r="K233" s="3"/>
      <c r="L233" s="4"/>
      <c r="M233" s="3"/>
      <c r="N233" s="4"/>
      <c r="O233" s="3"/>
      <c r="P233" s="4"/>
      <c r="Q233" s="3"/>
      <c r="R233" s="4"/>
      <c r="S233" s="3"/>
      <c r="T233" s="4"/>
      <c r="U233" s="3"/>
      <c r="V233" s="4"/>
      <c r="W233" s="3"/>
      <c r="X233" s="4"/>
      <c r="Y233" s="3"/>
      <c r="Z233" s="4"/>
      <c r="AA233" s="3"/>
      <c r="AB233" s="4"/>
      <c r="AC233" s="3"/>
      <c r="AD233" s="4"/>
      <c r="AE233" s="3"/>
      <c r="AF233" s="4"/>
      <c r="AG233" s="3"/>
      <c r="AH233" s="4"/>
      <c r="AI233" s="3"/>
      <c r="AJ233" s="4"/>
      <c r="AK233" s="3"/>
      <c r="AL233" s="4"/>
      <c r="AM233" s="3"/>
      <c r="AN233" s="4"/>
      <c r="AO233" s="3"/>
      <c r="AP233" s="4"/>
      <c r="AQ233" s="3"/>
      <c r="AR233" s="4"/>
      <c r="AS233" s="3"/>
      <c r="AT233" s="4"/>
      <c r="AU233" s="3"/>
      <c r="AV233" s="4"/>
      <c r="AW233" s="3"/>
      <c r="AX233" s="4"/>
      <c r="AY233" s="3"/>
      <c r="AZ233" s="4"/>
      <c r="BA233" s="3"/>
      <c r="BB233" s="4"/>
      <c r="BC233" s="3"/>
      <c r="BD233" s="4"/>
      <c r="BE233" s="3"/>
      <c r="BF233" s="4"/>
      <c r="BG233" s="3"/>
      <c r="BH233" s="4"/>
      <c r="BI233" s="3"/>
      <c r="BJ233" s="4"/>
      <c r="BK233" s="3"/>
      <c r="BL233" s="4"/>
      <c r="BM233" s="3"/>
      <c r="BN233" s="4"/>
      <c r="BO233" s="3"/>
      <c r="BP233" s="4"/>
      <c r="BQ233" s="3"/>
      <c r="BR233" s="4"/>
      <c r="BS233" s="3"/>
      <c r="BT233" s="4"/>
      <c r="BU233" s="3"/>
      <c r="BV233" s="4"/>
      <c r="BW233" s="3"/>
      <c r="BX233" s="4"/>
      <c r="BY233" s="3"/>
      <c r="BZ233" s="4"/>
      <c r="CA233" s="3"/>
      <c r="CB233" s="4"/>
      <c r="CC233" s="3"/>
      <c r="CD233" s="4"/>
    </row>
    <row r="234">
      <c r="A234" s="3"/>
      <c r="B234" s="4"/>
      <c r="C234" s="3"/>
      <c r="D234" s="4"/>
      <c r="E234" s="3"/>
      <c r="F234" s="4"/>
      <c r="G234" s="3"/>
      <c r="H234" s="4"/>
      <c r="I234" s="3"/>
      <c r="J234" s="4"/>
      <c r="K234" s="3"/>
      <c r="L234" s="4"/>
      <c r="M234" s="3"/>
      <c r="N234" s="4"/>
      <c r="O234" s="3"/>
      <c r="P234" s="4"/>
      <c r="Q234" s="3"/>
      <c r="R234" s="4"/>
      <c r="S234" s="3"/>
      <c r="T234" s="4"/>
      <c r="U234" s="3"/>
      <c r="V234" s="4"/>
      <c r="W234" s="3"/>
      <c r="X234" s="4"/>
      <c r="Y234" s="3"/>
      <c r="Z234" s="4"/>
      <c r="AA234" s="3"/>
      <c r="AB234" s="4"/>
      <c r="AC234" s="3"/>
      <c r="AD234" s="4"/>
      <c r="AE234" s="3"/>
      <c r="AF234" s="4"/>
      <c r="AG234" s="3"/>
      <c r="AH234" s="4"/>
      <c r="AI234" s="3"/>
      <c r="AJ234" s="4"/>
      <c r="AK234" s="3"/>
      <c r="AL234" s="4"/>
      <c r="AM234" s="3"/>
      <c r="AN234" s="4"/>
      <c r="AO234" s="3"/>
      <c r="AP234" s="4"/>
      <c r="AQ234" s="3"/>
      <c r="AR234" s="4"/>
      <c r="AS234" s="3"/>
      <c r="AT234" s="4"/>
      <c r="AU234" s="3"/>
      <c r="AV234" s="4"/>
      <c r="AW234" s="3"/>
      <c r="AX234" s="4"/>
      <c r="AY234" s="3"/>
      <c r="AZ234" s="4"/>
      <c r="BA234" s="3"/>
      <c r="BB234" s="4"/>
      <c r="BC234" s="3"/>
      <c r="BD234" s="4"/>
      <c r="BE234" s="3"/>
      <c r="BF234" s="4"/>
      <c r="BG234" s="3"/>
      <c r="BH234" s="4"/>
      <c r="BI234" s="3"/>
      <c r="BJ234" s="4"/>
      <c r="BK234" s="3"/>
      <c r="BL234" s="4"/>
      <c r="BM234" s="3"/>
      <c r="BN234" s="4"/>
      <c r="BO234" s="3"/>
      <c r="BP234" s="4"/>
      <c r="BQ234" s="3"/>
      <c r="BR234" s="4"/>
      <c r="BS234" s="3"/>
      <c r="BT234" s="4"/>
      <c r="BU234" s="3"/>
      <c r="BV234" s="4"/>
      <c r="BW234" s="3"/>
      <c r="BX234" s="4"/>
      <c r="BY234" s="3"/>
      <c r="BZ234" s="4"/>
      <c r="CA234" s="3"/>
      <c r="CB234" s="4"/>
      <c r="CC234" s="3"/>
      <c r="CD234" s="4"/>
    </row>
    <row r="235">
      <c r="A235" s="3"/>
      <c r="B235" s="4"/>
      <c r="C235" s="3"/>
      <c r="D235" s="4"/>
      <c r="E235" s="3"/>
      <c r="F235" s="4"/>
      <c r="G235" s="3"/>
      <c r="H235" s="4"/>
      <c r="I235" s="3"/>
      <c r="J235" s="4"/>
      <c r="K235" s="3"/>
      <c r="L235" s="4"/>
      <c r="M235" s="3"/>
      <c r="N235" s="4"/>
      <c r="O235" s="3"/>
      <c r="P235" s="4"/>
      <c r="Q235" s="3"/>
      <c r="R235" s="4"/>
      <c r="S235" s="3"/>
      <c r="T235" s="4"/>
      <c r="U235" s="3"/>
      <c r="V235" s="4"/>
      <c r="W235" s="3"/>
      <c r="X235" s="4"/>
      <c r="Y235" s="3"/>
      <c r="Z235" s="4"/>
      <c r="AA235" s="3"/>
      <c r="AB235" s="4"/>
      <c r="AC235" s="3"/>
      <c r="AD235" s="4"/>
      <c r="AE235" s="3"/>
      <c r="AF235" s="4"/>
      <c r="AG235" s="3"/>
      <c r="AH235" s="4"/>
      <c r="AI235" s="3"/>
      <c r="AJ235" s="4"/>
      <c r="AK235" s="3"/>
      <c r="AL235" s="4"/>
      <c r="AM235" s="3"/>
      <c r="AN235" s="4"/>
      <c r="AO235" s="3"/>
      <c r="AP235" s="4"/>
      <c r="AQ235" s="3"/>
      <c r="AR235" s="4"/>
      <c r="AS235" s="3"/>
      <c r="AT235" s="4"/>
      <c r="AU235" s="3"/>
      <c r="AV235" s="4"/>
      <c r="AW235" s="3"/>
      <c r="AX235" s="4"/>
      <c r="AY235" s="3"/>
      <c r="AZ235" s="4"/>
      <c r="BA235" s="3"/>
      <c r="BB235" s="4"/>
      <c r="BC235" s="3"/>
      <c r="BD235" s="4"/>
      <c r="BE235" s="3"/>
      <c r="BF235" s="4"/>
      <c r="BG235" s="3"/>
      <c r="BH235" s="4"/>
      <c r="BI235" s="3"/>
      <c r="BJ235" s="4"/>
      <c r="BK235" s="3"/>
      <c r="BL235" s="4"/>
      <c r="BM235" s="3"/>
      <c r="BN235" s="4"/>
      <c r="BO235" s="3"/>
      <c r="BP235" s="4"/>
      <c r="BQ235" s="3"/>
      <c r="BR235" s="4"/>
      <c r="BS235" s="3"/>
      <c r="BT235" s="4"/>
      <c r="BU235" s="3"/>
      <c r="BV235" s="4"/>
      <c r="BW235" s="3"/>
      <c r="BX235" s="4"/>
      <c r="BY235" s="3"/>
      <c r="BZ235" s="4"/>
      <c r="CA235" s="3"/>
      <c r="CB235" s="4"/>
      <c r="CC235" s="3"/>
      <c r="CD235" s="4"/>
    </row>
    <row r="236">
      <c r="A236" s="3"/>
      <c r="B236" s="4"/>
      <c r="C236" s="3"/>
      <c r="D236" s="4"/>
      <c r="E236" s="3"/>
      <c r="F236" s="4"/>
      <c r="G236" s="3"/>
      <c r="H236" s="4"/>
      <c r="I236" s="3"/>
      <c r="J236" s="4"/>
      <c r="K236" s="3"/>
      <c r="L236" s="4"/>
      <c r="M236" s="3"/>
      <c r="N236" s="4"/>
      <c r="O236" s="3"/>
      <c r="P236" s="4"/>
      <c r="Q236" s="3"/>
      <c r="R236" s="4"/>
      <c r="S236" s="3"/>
      <c r="T236" s="4"/>
      <c r="U236" s="3"/>
      <c r="V236" s="4"/>
      <c r="W236" s="3"/>
      <c r="X236" s="4"/>
      <c r="Y236" s="3"/>
      <c r="Z236" s="4"/>
      <c r="AA236" s="3"/>
      <c r="AB236" s="4"/>
      <c r="AC236" s="3"/>
      <c r="AD236" s="4"/>
      <c r="AE236" s="3"/>
      <c r="AF236" s="4"/>
      <c r="AG236" s="3"/>
      <c r="AH236" s="4"/>
      <c r="AI236" s="3"/>
      <c r="AJ236" s="4"/>
      <c r="AK236" s="3"/>
      <c r="AL236" s="4"/>
      <c r="AM236" s="3"/>
      <c r="AN236" s="4"/>
      <c r="AO236" s="3"/>
      <c r="AP236" s="4"/>
      <c r="AQ236" s="3"/>
      <c r="AR236" s="4"/>
      <c r="AS236" s="3"/>
      <c r="AT236" s="4"/>
      <c r="AU236" s="3"/>
      <c r="AV236" s="4"/>
      <c r="AW236" s="3"/>
      <c r="AX236" s="4"/>
      <c r="AY236" s="3"/>
      <c r="AZ236" s="4"/>
      <c r="BA236" s="3"/>
      <c r="BB236" s="4"/>
      <c r="BC236" s="3"/>
      <c r="BD236" s="4"/>
      <c r="BE236" s="3"/>
      <c r="BF236" s="4"/>
      <c r="BG236" s="3"/>
      <c r="BH236" s="4"/>
      <c r="BI236" s="3"/>
      <c r="BJ236" s="4"/>
      <c r="BK236" s="3"/>
      <c r="BL236" s="4"/>
      <c r="BM236" s="3"/>
      <c r="BN236" s="4"/>
      <c r="BO236" s="3"/>
      <c r="BP236" s="4"/>
      <c r="BQ236" s="3"/>
      <c r="BR236" s="4"/>
      <c r="BS236" s="3"/>
      <c r="BT236" s="4"/>
      <c r="BU236" s="3"/>
      <c r="BV236" s="4"/>
      <c r="BW236" s="3"/>
      <c r="BX236" s="4"/>
      <c r="BY236" s="3"/>
      <c r="BZ236" s="4"/>
      <c r="CA236" s="3"/>
      <c r="CB236" s="4"/>
      <c r="CC236" s="3"/>
      <c r="CD236" s="4"/>
    </row>
    <row r="237">
      <c r="A237" s="3"/>
      <c r="B237" s="4"/>
      <c r="C237" s="3"/>
      <c r="D237" s="4"/>
      <c r="E237" s="3"/>
      <c r="F237" s="4"/>
      <c r="G237" s="3"/>
      <c r="H237" s="4"/>
      <c r="I237" s="3"/>
      <c r="J237" s="4"/>
      <c r="K237" s="3"/>
      <c r="L237" s="4"/>
      <c r="M237" s="3"/>
      <c r="N237" s="4"/>
      <c r="O237" s="3"/>
      <c r="P237" s="4"/>
      <c r="Q237" s="3"/>
      <c r="R237" s="4"/>
      <c r="S237" s="3"/>
      <c r="T237" s="4"/>
      <c r="U237" s="3"/>
      <c r="V237" s="4"/>
      <c r="W237" s="3"/>
      <c r="X237" s="4"/>
      <c r="Y237" s="3"/>
      <c r="Z237" s="4"/>
      <c r="AA237" s="3"/>
      <c r="AB237" s="4"/>
      <c r="AC237" s="3"/>
      <c r="AD237" s="4"/>
      <c r="AE237" s="3"/>
      <c r="AF237" s="4"/>
      <c r="AG237" s="3"/>
      <c r="AH237" s="4"/>
      <c r="AI237" s="3"/>
      <c r="AJ237" s="4"/>
      <c r="AK237" s="3"/>
      <c r="AL237" s="4"/>
      <c r="AM237" s="3"/>
      <c r="AN237" s="4"/>
      <c r="AO237" s="3"/>
      <c r="AP237" s="4"/>
      <c r="AQ237" s="3"/>
      <c r="AR237" s="4"/>
      <c r="AS237" s="3"/>
      <c r="AT237" s="4"/>
      <c r="AU237" s="3"/>
      <c r="AV237" s="4"/>
      <c r="AW237" s="3"/>
      <c r="AX237" s="4"/>
      <c r="AY237" s="3"/>
      <c r="AZ237" s="4"/>
      <c r="BA237" s="3"/>
      <c r="BB237" s="4"/>
      <c r="BC237" s="3"/>
      <c r="BD237" s="4"/>
      <c r="BE237" s="3"/>
      <c r="BF237" s="4"/>
      <c r="BG237" s="3"/>
      <c r="BH237" s="4"/>
      <c r="BI237" s="3"/>
      <c r="BJ237" s="4"/>
      <c r="BK237" s="3"/>
      <c r="BL237" s="4"/>
      <c r="BM237" s="3"/>
      <c r="BN237" s="4"/>
      <c r="BO237" s="3"/>
      <c r="BP237" s="4"/>
      <c r="BQ237" s="3"/>
      <c r="BR237" s="4"/>
      <c r="BS237" s="3"/>
      <c r="BT237" s="4"/>
      <c r="BU237" s="3"/>
      <c r="BV237" s="4"/>
      <c r="BW237" s="3"/>
      <c r="BX237" s="4"/>
      <c r="BY237" s="3"/>
      <c r="BZ237" s="4"/>
      <c r="CA237" s="3"/>
      <c r="CB237" s="4"/>
      <c r="CC237" s="3"/>
      <c r="CD237" s="4"/>
    </row>
    <row r="238">
      <c r="A238" s="3"/>
      <c r="B238" s="4"/>
      <c r="C238" s="3"/>
      <c r="D238" s="4"/>
      <c r="E238" s="3"/>
      <c r="F238" s="4"/>
      <c r="G238" s="3"/>
      <c r="H238" s="4"/>
      <c r="I238" s="3"/>
      <c r="J238" s="4"/>
      <c r="K238" s="3"/>
      <c r="L238" s="4"/>
      <c r="M238" s="3"/>
      <c r="N238" s="4"/>
      <c r="O238" s="3"/>
      <c r="P238" s="4"/>
      <c r="Q238" s="3"/>
      <c r="R238" s="4"/>
      <c r="S238" s="3"/>
      <c r="T238" s="4"/>
      <c r="U238" s="3"/>
      <c r="V238" s="4"/>
      <c r="W238" s="3"/>
      <c r="X238" s="4"/>
      <c r="Y238" s="3"/>
      <c r="Z238" s="4"/>
      <c r="AA238" s="3"/>
      <c r="AB238" s="4"/>
      <c r="AC238" s="3"/>
      <c r="AD238" s="4"/>
      <c r="AE238" s="3"/>
      <c r="AF238" s="4"/>
      <c r="AG238" s="3"/>
      <c r="AH238" s="4"/>
      <c r="AI238" s="3"/>
      <c r="AJ238" s="4"/>
      <c r="AK238" s="3"/>
      <c r="AL238" s="4"/>
      <c r="AM238" s="3"/>
      <c r="AN238" s="4"/>
      <c r="AO238" s="3"/>
      <c r="AP238" s="4"/>
      <c r="AQ238" s="3"/>
      <c r="AR238" s="4"/>
      <c r="AS238" s="3"/>
      <c r="AT238" s="4"/>
      <c r="AU238" s="3"/>
      <c r="AV238" s="4"/>
      <c r="AW238" s="3"/>
      <c r="AX238" s="4"/>
      <c r="AY238" s="3"/>
      <c r="AZ238" s="4"/>
      <c r="BA238" s="3"/>
      <c r="BB238" s="4"/>
      <c r="BC238" s="3"/>
      <c r="BD238" s="4"/>
      <c r="BE238" s="3"/>
      <c r="BF238" s="4"/>
      <c r="BG238" s="3"/>
      <c r="BH238" s="4"/>
      <c r="BI238" s="3"/>
      <c r="BJ238" s="4"/>
      <c r="BK238" s="3"/>
      <c r="BL238" s="4"/>
      <c r="BM238" s="3"/>
      <c r="BN238" s="4"/>
      <c r="BO238" s="3"/>
      <c r="BP238" s="4"/>
      <c r="BQ238" s="3"/>
      <c r="BR238" s="4"/>
      <c r="BS238" s="3"/>
      <c r="BT238" s="4"/>
      <c r="BU238" s="3"/>
      <c r="BV238" s="4"/>
      <c r="BW238" s="3"/>
      <c r="BX238" s="4"/>
      <c r="BY238" s="3"/>
      <c r="BZ238" s="4"/>
      <c r="CA238" s="3"/>
      <c r="CB238" s="4"/>
      <c r="CC238" s="3"/>
      <c r="CD238" s="4"/>
    </row>
    <row r="239">
      <c r="A239" s="3"/>
      <c r="B239" s="4"/>
      <c r="C239" s="3"/>
      <c r="D239" s="4"/>
      <c r="E239" s="3"/>
      <c r="F239" s="4"/>
      <c r="G239" s="3"/>
      <c r="H239" s="4"/>
      <c r="I239" s="3"/>
      <c r="J239" s="4"/>
      <c r="K239" s="3"/>
      <c r="L239" s="4"/>
      <c r="M239" s="3"/>
      <c r="N239" s="4"/>
      <c r="O239" s="3"/>
      <c r="P239" s="4"/>
      <c r="Q239" s="3"/>
      <c r="R239" s="4"/>
      <c r="S239" s="3"/>
      <c r="T239" s="4"/>
      <c r="U239" s="3"/>
      <c r="V239" s="4"/>
      <c r="W239" s="3"/>
      <c r="X239" s="4"/>
      <c r="Y239" s="3"/>
      <c r="Z239" s="4"/>
      <c r="AA239" s="3"/>
      <c r="AB239" s="4"/>
      <c r="AC239" s="3"/>
      <c r="AD239" s="4"/>
      <c r="AE239" s="3"/>
      <c r="AF239" s="4"/>
      <c r="AG239" s="3"/>
      <c r="AH239" s="4"/>
      <c r="AI239" s="3"/>
      <c r="AJ239" s="4"/>
      <c r="AK239" s="3"/>
      <c r="AL239" s="4"/>
      <c r="AM239" s="3"/>
      <c r="AN239" s="4"/>
      <c r="AO239" s="3"/>
      <c r="AP239" s="4"/>
      <c r="AQ239" s="3"/>
      <c r="AR239" s="4"/>
      <c r="AS239" s="3"/>
      <c r="AT239" s="4"/>
      <c r="AU239" s="3"/>
      <c r="AV239" s="4"/>
      <c r="AW239" s="3"/>
      <c r="AX239" s="4"/>
      <c r="AY239" s="3"/>
      <c r="AZ239" s="4"/>
      <c r="BA239" s="3"/>
      <c r="BB239" s="4"/>
      <c r="BC239" s="3"/>
      <c r="BD239" s="4"/>
      <c r="BE239" s="3"/>
      <c r="BF239" s="4"/>
      <c r="BG239" s="3"/>
      <c r="BH239" s="4"/>
      <c r="BI239" s="3"/>
      <c r="BJ239" s="4"/>
      <c r="BK239" s="3"/>
      <c r="BL239" s="4"/>
      <c r="BM239" s="3"/>
      <c r="BN239" s="4"/>
      <c r="BO239" s="3"/>
      <c r="BP239" s="4"/>
      <c r="BQ239" s="3"/>
      <c r="BR239" s="4"/>
      <c r="BS239" s="3"/>
      <c r="BT239" s="4"/>
      <c r="BU239" s="3"/>
      <c r="BV239" s="4"/>
      <c r="BW239" s="3"/>
      <c r="BX239" s="4"/>
      <c r="BY239" s="3"/>
      <c r="BZ239" s="4"/>
      <c r="CA239" s="3"/>
      <c r="CB239" s="4"/>
      <c r="CC239" s="3"/>
      <c r="CD239" s="4"/>
    </row>
    <row r="240">
      <c r="A240" s="3"/>
      <c r="B240" s="4"/>
      <c r="C240" s="3"/>
      <c r="D240" s="4"/>
      <c r="E240" s="3"/>
      <c r="F240" s="4"/>
      <c r="G240" s="3"/>
      <c r="H240" s="4"/>
      <c r="I240" s="3"/>
      <c r="J240" s="4"/>
      <c r="K240" s="3"/>
      <c r="L240" s="4"/>
      <c r="M240" s="3"/>
      <c r="N240" s="4"/>
      <c r="O240" s="3"/>
      <c r="P240" s="4"/>
      <c r="Q240" s="3"/>
      <c r="R240" s="4"/>
      <c r="S240" s="3"/>
      <c r="T240" s="4"/>
      <c r="U240" s="3"/>
      <c r="V240" s="4"/>
      <c r="W240" s="3"/>
      <c r="X240" s="4"/>
      <c r="Y240" s="3"/>
      <c r="Z240" s="4"/>
      <c r="AA240" s="3"/>
      <c r="AB240" s="4"/>
      <c r="AC240" s="3"/>
      <c r="AD240" s="4"/>
      <c r="AE240" s="3"/>
      <c r="AF240" s="4"/>
      <c r="AG240" s="3"/>
      <c r="AH240" s="4"/>
      <c r="AI240" s="3"/>
      <c r="AJ240" s="4"/>
      <c r="AK240" s="3"/>
      <c r="AL240" s="4"/>
      <c r="AM240" s="3"/>
      <c r="AN240" s="4"/>
      <c r="AO240" s="3"/>
      <c r="AP240" s="4"/>
      <c r="AQ240" s="3"/>
      <c r="AR240" s="4"/>
      <c r="AS240" s="3"/>
      <c r="AT240" s="4"/>
      <c r="AU240" s="3"/>
      <c r="AV240" s="4"/>
      <c r="AW240" s="3"/>
      <c r="AX240" s="4"/>
      <c r="AY240" s="3"/>
      <c r="AZ240" s="4"/>
      <c r="BA240" s="3"/>
      <c r="BB240" s="4"/>
      <c r="BC240" s="3"/>
      <c r="BD240" s="4"/>
      <c r="BE240" s="3"/>
      <c r="BF240" s="4"/>
      <c r="BG240" s="3"/>
      <c r="BH240" s="4"/>
      <c r="BI240" s="3"/>
      <c r="BJ240" s="4"/>
      <c r="BK240" s="3"/>
      <c r="BL240" s="4"/>
      <c r="BM240" s="3"/>
      <c r="BN240" s="4"/>
      <c r="BO240" s="3"/>
      <c r="BP240" s="4"/>
      <c r="BQ240" s="3"/>
      <c r="BR240" s="4"/>
      <c r="BS240" s="3"/>
      <c r="BT240" s="4"/>
      <c r="BU240" s="3"/>
      <c r="BV240" s="4"/>
      <c r="BW240" s="3"/>
      <c r="BX240" s="4"/>
      <c r="BY240" s="3"/>
      <c r="BZ240" s="4"/>
      <c r="CA240" s="3"/>
      <c r="CB240" s="4"/>
      <c r="CC240" s="3"/>
      <c r="CD240" s="4"/>
    </row>
    <row r="241">
      <c r="A241" s="3"/>
      <c r="B241" s="4"/>
      <c r="C241" s="3"/>
      <c r="D241" s="4"/>
      <c r="E241" s="3"/>
      <c r="F241" s="4"/>
      <c r="G241" s="3"/>
      <c r="H241" s="4"/>
      <c r="I241" s="3"/>
      <c r="J241" s="4"/>
      <c r="K241" s="3"/>
      <c r="L241" s="4"/>
      <c r="M241" s="3"/>
      <c r="N241" s="4"/>
      <c r="O241" s="3"/>
      <c r="P241" s="4"/>
      <c r="Q241" s="3"/>
      <c r="R241" s="4"/>
      <c r="S241" s="3"/>
      <c r="T241" s="4"/>
      <c r="U241" s="3"/>
      <c r="V241" s="4"/>
      <c r="W241" s="3"/>
      <c r="X241" s="4"/>
      <c r="Y241" s="3"/>
      <c r="Z241" s="4"/>
      <c r="AA241" s="3"/>
      <c r="AB241" s="4"/>
      <c r="AC241" s="3"/>
      <c r="AD241" s="4"/>
      <c r="AE241" s="3"/>
      <c r="AF241" s="4"/>
      <c r="AG241" s="3"/>
      <c r="AH241" s="4"/>
      <c r="AI241" s="3"/>
      <c r="AJ241" s="4"/>
      <c r="AK241" s="3"/>
      <c r="AL241" s="4"/>
      <c r="AM241" s="3"/>
      <c r="AN241" s="4"/>
      <c r="AO241" s="3"/>
      <c r="AP241" s="4"/>
      <c r="AQ241" s="3"/>
      <c r="AR241" s="4"/>
      <c r="AS241" s="3"/>
      <c r="AT241" s="4"/>
      <c r="AU241" s="3"/>
      <c r="AV241" s="4"/>
      <c r="AW241" s="3"/>
      <c r="AX241" s="4"/>
      <c r="AY241" s="3"/>
      <c r="AZ241" s="4"/>
      <c r="BA241" s="3"/>
      <c r="BB241" s="4"/>
      <c r="BC241" s="3"/>
      <c r="BD241" s="4"/>
      <c r="BE241" s="3"/>
      <c r="BF241" s="4"/>
      <c r="BG241" s="3"/>
      <c r="BH241" s="4"/>
      <c r="BI241" s="3"/>
      <c r="BJ241" s="4"/>
      <c r="BK241" s="3"/>
      <c r="BL241" s="4"/>
      <c r="BM241" s="3"/>
      <c r="BN241" s="4"/>
      <c r="BO241" s="3"/>
      <c r="BP241" s="4"/>
      <c r="BQ241" s="3"/>
      <c r="BR241" s="4"/>
      <c r="BS241" s="3"/>
      <c r="BT241" s="4"/>
      <c r="BU241" s="3"/>
      <c r="BV241" s="4"/>
      <c r="BW241" s="3"/>
      <c r="BX241" s="4"/>
      <c r="BY241" s="3"/>
      <c r="BZ241" s="4"/>
      <c r="CA241" s="3"/>
      <c r="CB241" s="4"/>
      <c r="CC241" s="3"/>
      <c r="CD241" s="4"/>
    </row>
    <row r="242">
      <c r="A242" s="3"/>
      <c r="B242" s="4"/>
      <c r="C242" s="3"/>
      <c r="D242" s="4"/>
      <c r="E242" s="3"/>
      <c r="F242" s="4"/>
      <c r="G242" s="3"/>
      <c r="H242" s="4"/>
      <c r="I242" s="3"/>
      <c r="J242" s="4"/>
      <c r="K242" s="3"/>
      <c r="L242" s="4"/>
      <c r="M242" s="3"/>
      <c r="N242" s="4"/>
      <c r="O242" s="3"/>
      <c r="P242" s="4"/>
      <c r="Q242" s="3"/>
      <c r="R242" s="4"/>
      <c r="S242" s="3"/>
      <c r="T242" s="4"/>
      <c r="U242" s="3"/>
      <c r="V242" s="4"/>
      <c r="W242" s="3"/>
      <c r="X242" s="4"/>
      <c r="Y242" s="3"/>
      <c r="Z242" s="4"/>
      <c r="AA242" s="3"/>
      <c r="AB242" s="4"/>
      <c r="AC242" s="3"/>
      <c r="AD242" s="4"/>
      <c r="AE242" s="3"/>
      <c r="AF242" s="4"/>
      <c r="AG242" s="3"/>
      <c r="AH242" s="4"/>
      <c r="AI242" s="3"/>
      <c r="AJ242" s="4"/>
      <c r="AK242" s="3"/>
      <c r="AL242" s="4"/>
      <c r="AM242" s="3"/>
      <c r="AN242" s="4"/>
      <c r="AO242" s="3"/>
      <c r="AP242" s="4"/>
      <c r="AQ242" s="3"/>
      <c r="AR242" s="4"/>
      <c r="AS242" s="3"/>
      <c r="AT242" s="4"/>
      <c r="AU242" s="3"/>
      <c r="AV242" s="4"/>
      <c r="AW242" s="3"/>
      <c r="AX242" s="4"/>
      <c r="AY242" s="3"/>
      <c r="AZ242" s="4"/>
      <c r="BA242" s="3"/>
      <c r="BB242" s="4"/>
      <c r="BC242" s="3"/>
      <c r="BD242" s="4"/>
      <c r="BE242" s="3"/>
      <c r="BF242" s="4"/>
      <c r="BG242" s="3"/>
      <c r="BH242" s="4"/>
      <c r="BI242" s="3"/>
      <c r="BJ242" s="4"/>
      <c r="BK242" s="3"/>
      <c r="BL242" s="4"/>
      <c r="BM242" s="3"/>
      <c r="BN242" s="4"/>
      <c r="BO242" s="3"/>
      <c r="BP242" s="4"/>
      <c r="BQ242" s="3"/>
      <c r="BR242" s="4"/>
      <c r="BS242" s="3"/>
      <c r="BT242" s="4"/>
      <c r="BU242" s="3"/>
      <c r="BV242" s="4"/>
      <c r="BW242" s="3"/>
      <c r="BX242" s="4"/>
      <c r="BY242" s="3"/>
      <c r="BZ242" s="4"/>
      <c r="CA242" s="3"/>
      <c r="CB242" s="4"/>
      <c r="CC242" s="3"/>
      <c r="CD242" s="4"/>
    </row>
    <row r="243">
      <c r="A243" s="3"/>
      <c r="B243" s="4"/>
      <c r="C243" s="3"/>
      <c r="D243" s="4"/>
      <c r="E243" s="3"/>
      <c r="F243" s="4"/>
      <c r="G243" s="3"/>
      <c r="H243" s="4"/>
      <c r="I243" s="3"/>
      <c r="J243" s="4"/>
      <c r="K243" s="3"/>
      <c r="L243" s="4"/>
      <c r="M243" s="3"/>
      <c r="N243" s="4"/>
      <c r="O243" s="3"/>
      <c r="P243" s="4"/>
      <c r="Q243" s="3"/>
      <c r="R243" s="4"/>
      <c r="S243" s="3"/>
      <c r="T243" s="4"/>
      <c r="U243" s="3"/>
      <c r="V243" s="4"/>
      <c r="W243" s="3"/>
      <c r="X243" s="4"/>
      <c r="Y243" s="3"/>
      <c r="Z243" s="4"/>
      <c r="AA243" s="3"/>
      <c r="AB243" s="4"/>
      <c r="AC243" s="3"/>
      <c r="AD243" s="4"/>
      <c r="AE243" s="3"/>
      <c r="AF243" s="4"/>
      <c r="AG243" s="3"/>
      <c r="AH243" s="4"/>
      <c r="AI243" s="3"/>
      <c r="AJ243" s="4"/>
      <c r="AK243" s="3"/>
      <c r="AL243" s="4"/>
      <c r="AM243" s="3"/>
      <c r="AN243" s="4"/>
      <c r="AO243" s="3"/>
      <c r="AP243" s="4"/>
      <c r="AQ243" s="3"/>
      <c r="AR243" s="4"/>
      <c r="AS243" s="3"/>
      <c r="AT243" s="4"/>
      <c r="AU243" s="3"/>
      <c r="AV243" s="4"/>
      <c r="AW243" s="3"/>
      <c r="AX243" s="4"/>
      <c r="AY243" s="3"/>
      <c r="AZ243" s="4"/>
      <c r="BA243" s="3"/>
      <c r="BB243" s="4"/>
      <c r="BC243" s="3"/>
      <c r="BD243" s="4"/>
      <c r="BE243" s="3"/>
      <c r="BF243" s="4"/>
      <c r="BG243" s="3"/>
      <c r="BH243" s="4"/>
      <c r="BI243" s="3"/>
      <c r="BJ243" s="4"/>
      <c r="BK243" s="3"/>
      <c r="BL243" s="4"/>
      <c r="BM243" s="3"/>
      <c r="BN243" s="4"/>
      <c r="BO243" s="3"/>
      <c r="BP243" s="4"/>
      <c r="BQ243" s="3"/>
      <c r="BR243" s="4"/>
      <c r="BS243" s="3"/>
      <c r="BT243" s="4"/>
      <c r="BU243" s="3"/>
      <c r="BV243" s="4"/>
      <c r="BW243" s="3"/>
      <c r="BX243" s="4"/>
      <c r="BY243" s="3"/>
      <c r="BZ243" s="4"/>
      <c r="CA243" s="3"/>
      <c r="CB243" s="4"/>
      <c r="CC243" s="3"/>
      <c r="CD243" s="4"/>
    </row>
    <row r="244">
      <c r="A244" s="3"/>
      <c r="B244" s="4"/>
      <c r="C244" s="3"/>
      <c r="D244" s="4"/>
      <c r="E244" s="3"/>
      <c r="F244" s="4"/>
      <c r="G244" s="3"/>
      <c r="H244" s="4"/>
      <c r="I244" s="3"/>
      <c r="J244" s="4"/>
      <c r="K244" s="3"/>
      <c r="L244" s="4"/>
      <c r="M244" s="3"/>
      <c r="N244" s="4"/>
      <c r="O244" s="3"/>
      <c r="P244" s="4"/>
      <c r="Q244" s="3"/>
      <c r="R244" s="4"/>
      <c r="S244" s="3"/>
      <c r="T244" s="4"/>
      <c r="U244" s="3"/>
      <c r="V244" s="4"/>
      <c r="W244" s="3"/>
      <c r="X244" s="4"/>
      <c r="Y244" s="3"/>
      <c r="Z244" s="4"/>
      <c r="AA244" s="3"/>
      <c r="AB244" s="4"/>
      <c r="AC244" s="3"/>
      <c r="AD244" s="4"/>
      <c r="AE244" s="3"/>
      <c r="AF244" s="4"/>
      <c r="AG244" s="3"/>
      <c r="AH244" s="4"/>
      <c r="AI244" s="3"/>
      <c r="AJ244" s="4"/>
      <c r="AK244" s="3"/>
      <c r="AL244" s="4"/>
      <c r="AM244" s="3"/>
      <c r="AN244" s="4"/>
      <c r="AO244" s="3"/>
      <c r="AP244" s="4"/>
      <c r="AQ244" s="3"/>
      <c r="AR244" s="4"/>
      <c r="AS244" s="3"/>
      <c r="AT244" s="4"/>
      <c r="AU244" s="3"/>
      <c r="AV244" s="4"/>
      <c r="AW244" s="3"/>
      <c r="AX244" s="4"/>
      <c r="AY244" s="3"/>
      <c r="AZ244" s="4"/>
      <c r="BA244" s="3"/>
      <c r="BB244" s="4"/>
      <c r="BC244" s="3"/>
      <c r="BD244" s="4"/>
      <c r="BE244" s="3"/>
      <c r="BF244" s="4"/>
      <c r="BG244" s="3"/>
      <c r="BH244" s="4"/>
      <c r="BI244" s="3"/>
      <c r="BJ244" s="4"/>
      <c r="BK244" s="3"/>
      <c r="BL244" s="4"/>
      <c r="BM244" s="3"/>
      <c r="BN244" s="4"/>
      <c r="BO244" s="3"/>
      <c r="BP244" s="4"/>
      <c r="BQ244" s="3"/>
      <c r="BR244" s="4"/>
      <c r="BS244" s="3"/>
      <c r="BT244" s="4"/>
      <c r="BU244" s="3"/>
      <c r="BV244" s="4"/>
      <c r="BW244" s="3"/>
      <c r="BX244" s="4"/>
      <c r="BY244" s="3"/>
      <c r="BZ244" s="4"/>
      <c r="CA244" s="3"/>
      <c r="CB244" s="4"/>
      <c r="CC244" s="3"/>
      <c r="CD244" s="4"/>
    </row>
    <row r="245">
      <c r="A245" s="3"/>
      <c r="B245" s="4"/>
      <c r="C245" s="3"/>
      <c r="D245" s="4"/>
      <c r="E245" s="3"/>
      <c r="F245" s="4"/>
      <c r="G245" s="3"/>
      <c r="H245" s="4"/>
      <c r="I245" s="3"/>
      <c r="J245" s="4"/>
      <c r="K245" s="3"/>
      <c r="L245" s="4"/>
      <c r="M245" s="3"/>
      <c r="N245" s="4"/>
      <c r="O245" s="3"/>
      <c r="P245" s="4"/>
      <c r="Q245" s="3"/>
      <c r="R245" s="4"/>
      <c r="S245" s="3"/>
      <c r="T245" s="4"/>
      <c r="U245" s="3"/>
      <c r="V245" s="4"/>
      <c r="W245" s="3"/>
      <c r="X245" s="4"/>
      <c r="Y245" s="3"/>
      <c r="Z245" s="4"/>
      <c r="AA245" s="3"/>
      <c r="AB245" s="4"/>
      <c r="AC245" s="3"/>
      <c r="AD245" s="4"/>
      <c r="AE245" s="3"/>
      <c r="AF245" s="4"/>
      <c r="AG245" s="3"/>
      <c r="AH245" s="4"/>
      <c r="AI245" s="3"/>
      <c r="AJ245" s="4"/>
      <c r="AK245" s="3"/>
      <c r="AL245" s="4"/>
      <c r="AM245" s="3"/>
      <c r="AN245" s="4"/>
      <c r="AO245" s="3"/>
      <c r="AP245" s="4"/>
      <c r="AQ245" s="3"/>
      <c r="AR245" s="4"/>
      <c r="AS245" s="3"/>
      <c r="AT245" s="4"/>
      <c r="AU245" s="3"/>
      <c r="AV245" s="4"/>
      <c r="AW245" s="3"/>
      <c r="AX245" s="4"/>
      <c r="AY245" s="3"/>
      <c r="AZ245" s="4"/>
      <c r="BA245" s="3"/>
      <c r="BB245" s="4"/>
      <c r="BC245" s="3"/>
      <c r="BD245" s="4"/>
      <c r="BE245" s="3"/>
      <c r="BF245" s="4"/>
      <c r="BG245" s="3"/>
      <c r="BH245" s="4"/>
      <c r="BI245" s="3"/>
      <c r="BJ245" s="4"/>
      <c r="BK245" s="3"/>
      <c r="BL245" s="4"/>
      <c r="BM245" s="3"/>
      <c r="BN245" s="4"/>
      <c r="BO245" s="3"/>
      <c r="BP245" s="4"/>
      <c r="BQ245" s="3"/>
      <c r="BR245" s="4"/>
      <c r="BS245" s="3"/>
      <c r="BT245" s="4"/>
      <c r="BU245" s="3"/>
      <c r="BV245" s="4"/>
      <c r="BW245" s="3"/>
      <c r="BX245" s="4"/>
      <c r="BY245" s="3"/>
      <c r="BZ245" s="4"/>
      <c r="CA245" s="3"/>
      <c r="CB245" s="4"/>
      <c r="CC245" s="3"/>
      <c r="CD245" s="4"/>
    </row>
    <row r="246">
      <c r="A246" s="3"/>
      <c r="B246" s="4"/>
      <c r="C246" s="3"/>
      <c r="D246" s="4"/>
      <c r="E246" s="3"/>
      <c r="F246" s="4"/>
      <c r="G246" s="3"/>
      <c r="H246" s="4"/>
      <c r="I246" s="3"/>
      <c r="J246" s="4"/>
      <c r="K246" s="3"/>
      <c r="L246" s="4"/>
      <c r="M246" s="3"/>
      <c r="N246" s="4"/>
      <c r="O246" s="3"/>
      <c r="P246" s="4"/>
      <c r="Q246" s="3"/>
      <c r="R246" s="4"/>
      <c r="S246" s="3"/>
      <c r="T246" s="4"/>
      <c r="U246" s="3"/>
      <c r="V246" s="4"/>
      <c r="W246" s="3"/>
      <c r="X246" s="4"/>
      <c r="Y246" s="3"/>
      <c r="Z246" s="4"/>
      <c r="AA246" s="3"/>
      <c r="AB246" s="4"/>
      <c r="AC246" s="3"/>
      <c r="AD246" s="4"/>
      <c r="AE246" s="3"/>
      <c r="AF246" s="4"/>
      <c r="AG246" s="3"/>
      <c r="AH246" s="4"/>
      <c r="AI246" s="3"/>
      <c r="AJ246" s="4"/>
      <c r="AK246" s="3"/>
      <c r="AL246" s="4"/>
      <c r="AM246" s="3"/>
      <c r="AN246" s="4"/>
      <c r="AO246" s="3"/>
      <c r="AP246" s="4"/>
      <c r="AQ246" s="3"/>
      <c r="AR246" s="4"/>
      <c r="AS246" s="3"/>
      <c r="AT246" s="4"/>
      <c r="AU246" s="3"/>
      <c r="AV246" s="4"/>
      <c r="AW246" s="3"/>
      <c r="AX246" s="4"/>
      <c r="AY246" s="3"/>
      <c r="AZ246" s="4"/>
      <c r="BA246" s="3"/>
      <c r="BB246" s="4"/>
      <c r="BC246" s="3"/>
      <c r="BD246" s="4"/>
      <c r="BE246" s="3"/>
      <c r="BF246" s="4"/>
      <c r="BG246" s="3"/>
      <c r="BH246" s="4"/>
      <c r="BI246" s="3"/>
      <c r="BJ246" s="4"/>
      <c r="BK246" s="3"/>
      <c r="BL246" s="4"/>
      <c r="BM246" s="3"/>
      <c r="BN246" s="4"/>
      <c r="BO246" s="3"/>
      <c r="BP246" s="4"/>
      <c r="BQ246" s="3"/>
      <c r="BR246" s="4"/>
      <c r="BS246" s="3"/>
      <c r="BT246" s="4"/>
      <c r="BU246" s="3"/>
      <c r="BV246" s="4"/>
      <c r="BW246" s="3"/>
      <c r="BX246" s="4"/>
      <c r="BY246" s="3"/>
      <c r="BZ246" s="4"/>
      <c r="CA246" s="3"/>
      <c r="CB246" s="4"/>
      <c r="CC246" s="3"/>
      <c r="CD246" s="4"/>
    </row>
    <row r="247">
      <c r="A247" s="3"/>
      <c r="B247" s="4"/>
      <c r="C247" s="3"/>
      <c r="D247" s="4"/>
      <c r="E247" s="3"/>
      <c r="F247" s="4"/>
      <c r="G247" s="3"/>
      <c r="H247" s="4"/>
      <c r="I247" s="3"/>
      <c r="J247" s="4"/>
      <c r="K247" s="3"/>
      <c r="L247" s="4"/>
      <c r="M247" s="3"/>
      <c r="N247" s="4"/>
      <c r="O247" s="3"/>
      <c r="P247" s="4"/>
      <c r="Q247" s="3"/>
      <c r="R247" s="4"/>
      <c r="S247" s="3"/>
      <c r="T247" s="4"/>
      <c r="U247" s="3"/>
      <c r="V247" s="4"/>
      <c r="W247" s="3"/>
      <c r="X247" s="4"/>
      <c r="Y247" s="3"/>
      <c r="Z247" s="4"/>
      <c r="AA247" s="3"/>
      <c r="AB247" s="4"/>
      <c r="AC247" s="3"/>
      <c r="AD247" s="4"/>
      <c r="AE247" s="3"/>
      <c r="AF247" s="4"/>
      <c r="AG247" s="3"/>
      <c r="AH247" s="4"/>
      <c r="AI247" s="3"/>
      <c r="AJ247" s="4"/>
      <c r="AK247" s="3"/>
      <c r="AL247" s="4"/>
      <c r="AM247" s="3"/>
      <c r="AN247" s="4"/>
      <c r="AO247" s="3"/>
      <c r="AP247" s="4"/>
      <c r="AQ247" s="3"/>
      <c r="AR247" s="4"/>
      <c r="AS247" s="3"/>
      <c r="AT247" s="4"/>
      <c r="AU247" s="3"/>
      <c r="AV247" s="4"/>
      <c r="AW247" s="3"/>
      <c r="AX247" s="4"/>
      <c r="AY247" s="3"/>
      <c r="AZ247" s="4"/>
      <c r="BA247" s="3"/>
      <c r="BB247" s="4"/>
      <c r="BC247" s="3"/>
      <c r="BD247" s="4"/>
      <c r="BE247" s="3"/>
      <c r="BF247" s="4"/>
      <c r="BG247" s="3"/>
      <c r="BH247" s="4"/>
      <c r="BI247" s="3"/>
      <c r="BJ247" s="4"/>
      <c r="BK247" s="3"/>
      <c r="BL247" s="4"/>
      <c r="BM247" s="3"/>
      <c r="BN247" s="4"/>
      <c r="BO247" s="3"/>
      <c r="BP247" s="4"/>
      <c r="BQ247" s="3"/>
      <c r="BR247" s="4"/>
      <c r="BS247" s="3"/>
      <c r="BT247" s="4"/>
      <c r="BU247" s="3"/>
      <c r="BV247" s="4"/>
      <c r="BW247" s="3"/>
      <c r="BX247" s="4"/>
      <c r="BY247" s="3"/>
      <c r="BZ247" s="4"/>
      <c r="CA247" s="3"/>
      <c r="CB247" s="4"/>
      <c r="CC247" s="3"/>
      <c r="CD247" s="4"/>
    </row>
    <row r="248">
      <c r="A248" s="3"/>
      <c r="B248" s="4"/>
      <c r="C248" s="3"/>
      <c r="D248" s="4"/>
      <c r="E248" s="3"/>
      <c r="F248" s="4"/>
      <c r="G248" s="3"/>
      <c r="H248" s="4"/>
      <c r="I248" s="3"/>
      <c r="J248" s="4"/>
      <c r="K248" s="3"/>
      <c r="L248" s="4"/>
      <c r="M248" s="3"/>
      <c r="N248" s="4"/>
      <c r="O248" s="3"/>
      <c r="P248" s="4"/>
      <c r="Q248" s="3"/>
      <c r="R248" s="4"/>
      <c r="S248" s="3"/>
      <c r="T248" s="4"/>
      <c r="U248" s="3"/>
      <c r="V248" s="4"/>
      <c r="W248" s="3"/>
      <c r="X248" s="4"/>
      <c r="Y248" s="3"/>
      <c r="Z248" s="4"/>
      <c r="AA248" s="3"/>
      <c r="AB248" s="4"/>
      <c r="AC248" s="3"/>
      <c r="AD248" s="4"/>
      <c r="AE248" s="3"/>
      <c r="AF248" s="4"/>
      <c r="AG248" s="3"/>
      <c r="AH248" s="4"/>
      <c r="AI248" s="3"/>
      <c r="AJ248" s="4"/>
      <c r="AK248" s="3"/>
      <c r="AL248" s="4"/>
      <c r="AM248" s="3"/>
      <c r="AN248" s="4"/>
      <c r="AO248" s="3"/>
      <c r="AP248" s="4"/>
      <c r="AQ248" s="3"/>
      <c r="AR248" s="4"/>
      <c r="AS248" s="3"/>
      <c r="AT248" s="4"/>
      <c r="AU248" s="3"/>
      <c r="AV248" s="4"/>
      <c r="AW248" s="3"/>
      <c r="AX248" s="4"/>
      <c r="AY248" s="3"/>
      <c r="AZ248" s="4"/>
      <c r="BA248" s="3"/>
      <c r="BB248" s="4"/>
      <c r="BC248" s="3"/>
      <c r="BD248" s="4"/>
      <c r="BE248" s="3"/>
      <c r="BF248" s="4"/>
      <c r="BG248" s="3"/>
      <c r="BH248" s="4"/>
      <c r="BI248" s="3"/>
      <c r="BJ248" s="4"/>
      <c r="BK248" s="3"/>
      <c r="BL248" s="4"/>
      <c r="BM248" s="3"/>
      <c r="BN248" s="4"/>
      <c r="BO248" s="3"/>
      <c r="BP248" s="4"/>
      <c r="BQ248" s="3"/>
      <c r="BR248" s="4"/>
      <c r="BS248" s="3"/>
      <c r="BT248" s="4"/>
      <c r="BU248" s="3"/>
      <c r="BV248" s="4"/>
      <c r="BW248" s="3"/>
      <c r="BX248" s="4"/>
      <c r="BY248" s="3"/>
      <c r="BZ248" s="4"/>
      <c r="CA248" s="3"/>
      <c r="CB248" s="4"/>
      <c r="CC248" s="3"/>
      <c r="CD248" s="4"/>
    </row>
    <row r="249">
      <c r="A249" s="3"/>
      <c r="B249" s="4"/>
      <c r="C249" s="3"/>
      <c r="D249" s="4"/>
      <c r="E249" s="3"/>
      <c r="F249" s="4"/>
      <c r="G249" s="3"/>
      <c r="H249" s="4"/>
      <c r="I249" s="3"/>
      <c r="J249" s="4"/>
      <c r="K249" s="3"/>
      <c r="L249" s="4"/>
      <c r="M249" s="3"/>
      <c r="N249" s="4"/>
      <c r="O249" s="3"/>
      <c r="P249" s="4"/>
      <c r="Q249" s="3"/>
      <c r="R249" s="4"/>
      <c r="S249" s="3"/>
      <c r="T249" s="4"/>
      <c r="U249" s="3"/>
      <c r="V249" s="4"/>
      <c r="W249" s="3"/>
      <c r="X249" s="4"/>
      <c r="Y249" s="3"/>
      <c r="Z249" s="4"/>
      <c r="AA249" s="3"/>
      <c r="AB249" s="4"/>
      <c r="AC249" s="3"/>
      <c r="AD249" s="4"/>
      <c r="AE249" s="3"/>
      <c r="AF249" s="4"/>
      <c r="AG249" s="3"/>
      <c r="AH249" s="4"/>
      <c r="AI249" s="3"/>
      <c r="AJ249" s="4"/>
      <c r="AK249" s="3"/>
      <c r="AL249" s="4"/>
      <c r="AM249" s="3"/>
      <c r="AN249" s="4"/>
      <c r="AO249" s="3"/>
      <c r="AP249" s="4"/>
      <c r="AQ249" s="3"/>
      <c r="AR249" s="4"/>
      <c r="AS249" s="3"/>
      <c r="AT249" s="4"/>
      <c r="AU249" s="3"/>
      <c r="AV249" s="4"/>
      <c r="AW249" s="3"/>
      <c r="AX249" s="4"/>
      <c r="AY249" s="3"/>
      <c r="AZ249" s="4"/>
      <c r="BA249" s="3"/>
      <c r="BB249" s="4"/>
      <c r="BC249" s="3"/>
      <c r="BD249" s="4"/>
      <c r="BE249" s="3"/>
      <c r="BF249" s="4"/>
      <c r="BG249" s="3"/>
      <c r="BH249" s="4"/>
      <c r="BI249" s="3"/>
      <c r="BJ249" s="4"/>
      <c r="BK249" s="3"/>
      <c r="BL249" s="4"/>
      <c r="BM249" s="3"/>
      <c r="BN249" s="4"/>
      <c r="BO249" s="3"/>
      <c r="BP249" s="4"/>
      <c r="BQ249" s="3"/>
      <c r="BR249" s="4"/>
      <c r="BS249" s="3"/>
      <c r="BT249" s="4"/>
      <c r="BU249" s="3"/>
      <c r="BV249" s="4"/>
      <c r="BW249" s="3"/>
      <c r="BX249" s="4"/>
      <c r="BY249" s="3"/>
      <c r="BZ249" s="4"/>
      <c r="CA249" s="3"/>
      <c r="CB249" s="4"/>
      <c r="CC249" s="3"/>
      <c r="CD249" s="4"/>
    </row>
    <row r="250">
      <c r="A250" s="3"/>
      <c r="B250" s="4"/>
      <c r="C250" s="3"/>
      <c r="D250" s="4"/>
      <c r="E250" s="3"/>
      <c r="F250" s="4"/>
      <c r="G250" s="3"/>
      <c r="H250" s="4"/>
      <c r="I250" s="3"/>
      <c r="J250" s="4"/>
      <c r="K250" s="3"/>
      <c r="L250" s="4"/>
      <c r="M250" s="3"/>
      <c r="N250" s="4"/>
      <c r="O250" s="3"/>
      <c r="P250" s="4"/>
      <c r="Q250" s="3"/>
      <c r="R250" s="4"/>
      <c r="S250" s="3"/>
      <c r="T250" s="4"/>
      <c r="U250" s="3"/>
      <c r="V250" s="4"/>
      <c r="W250" s="3"/>
      <c r="X250" s="4"/>
      <c r="Y250" s="3"/>
      <c r="Z250" s="4"/>
      <c r="AA250" s="3"/>
      <c r="AB250" s="4"/>
      <c r="AC250" s="3"/>
      <c r="AD250" s="4"/>
      <c r="AE250" s="3"/>
      <c r="AF250" s="4"/>
      <c r="AG250" s="3"/>
      <c r="AH250" s="4"/>
      <c r="AI250" s="3"/>
      <c r="AJ250" s="4"/>
      <c r="AK250" s="3"/>
      <c r="AL250" s="4"/>
      <c r="AM250" s="3"/>
      <c r="AN250" s="4"/>
      <c r="AO250" s="3"/>
      <c r="AP250" s="4"/>
      <c r="AQ250" s="3"/>
      <c r="AR250" s="4"/>
      <c r="AS250" s="3"/>
      <c r="AT250" s="4"/>
      <c r="AU250" s="3"/>
      <c r="AV250" s="4"/>
      <c r="AW250" s="3"/>
      <c r="AX250" s="4"/>
      <c r="AY250" s="3"/>
      <c r="AZ250" s="4"/>
      <c r="BA250" s="3"/>
      <c r="BB250" s="4"/>
      <c r="BC250" s="3"/>
      <c r="BD250" s="4"/>
      <c r="BE250" s="3"/>
      <c r="BF250" s="4"/>
      <c r="BG250" s="3"/>
      <c r="BH250" s="4"/>
      <c r="BI250" s="3"/>
      <c r="BJ250" s="4"/>
      <c r="BK250" s="3"/>
      <c r="BL250" s="4"/>
      <c r="BM250" s="3"/>
      <c r="BN250" s="4"/>
      <c r="BO250" s="3"/>
      <c r="BP250" s="4"/>
      <c r="BQ250" s="3"/>
      <c r="BR250" s="4"/>
      <c r="BS250" s="3"/>
      <c r="BT250" s="4"/>
      <c r="BU250" s="3"/>
      <c r="BV250" s="4"/>
      <c r="BW250" s="3"/>
      <c r="BX250" s="4"/>
      <c r="BY250" s="3"/>
      <c r="BZ250" s="4"/>
      <c r="CA250" s="3"/>
      <c r="CB250" s="4"/>
      <c r="CC250" s="3"/>
      <c r="CD250" s="4"/>
    </row>
    <row r="251">
      <c r="A251" s="3"/>
      <c r="B251" s="4"/>
      <c r="C251" s="3"/>
      <c r="D251" s="4"/>
      <c r="E251" s="3"/>
      <c r="F251" s="4"/>
      <c r="G251" s="3"/>
      <c r="H251" s="4"/>
      <c r="I251" s="3"/>
      <c r="J251" s="4"/>
      <c r="K251" s="3"/>
      <c r="L251" s="4"/>
      <c r="M251" s="3"/>
      <c r="N251" s="4"/>
      <c r="O251" s="3"/>
      <c r="P251" s="4"/>
      <c r="Q251" s="3"/>
      <c r="R251" s="4"/>
      <c r="S251" s="3"/>
      <c r="T251" s="4"/>
      <c r="U251" s="3"/>
      <c r="V251" s="4"/>
      <c r="W251" s="3"/>
      <c r="X251" s="4"/>
      <c r="Y251" s="3"/>
      <c r="Z251" s="4"/>
      <c r="AA251" s="3"/>
      <c r="AB251" s="4"/>
      <c r="AC251" s="3"/>
      <c r="AD251" s="4"/>
      <c r="AE251" s="3"/>
      <c r="AF251" s="4"/>
      <c r="AG251" s="3"/>
      <c r="AH251" s="4"/>
      <c r="AI251" s="3"/>
      <c r="AJ251" s="4"/>
      <c r="AK251" s="3"/>
      <c r="AL251" s="4"/>
      <c r="AM251" s="3"/>
      <c r="AN251" s="4"/>
      <c r="AO251" s="3"/>
      <c r="AP251" s="4"/>
      <c r="AQ251" s="3"/>
      <c r="AR251" s="4"/>
      <c r="AS251" s="3"/>
      <c r="AT251" s="4"/>
      <c r="AU251" s="3"/>
      <c r="AV251" s="4"/>
      <c r="AW251" s="3"/>
      <c r="AX251" s="4"/>
      <c r="AY251" s="3"/>
      <c r="AZ251" s="4"/>
      <c r="BA251" s="3"/>
      <c r="BB251" s="4"/>
      <c r="BC251" s="3"/>
      <c r="BD251" s="4"/>
      <c r="BE251" s="3"/>
      <c r="BF251" s="4"/>
      <c r="BG251" s="3"/>
      <c r="BH251" s="4"/>
      <c r="BI251" s="3"/>
      <c r="BJ251" s="4"/>
      <c r="BK251" s="3"/>
      <c r="BL251" s="4"/>
      <c r="BM251" s="3"/>
      <c r="BN251" s="4"/>
      <c r="BO251" s="3"/>
      <c r="BP251" s="4"/>
      <c r="BQ251" s="3"/>
      <c r="BR251" s="4"/>
      <c r="BS251" s="3"/>
      <c r="BT251" s="4"/>
      <c r="BU251" s="3"/>
      <c r="BV251" s="4"/>
      <c r="BW251" s="3"/>
      <c r="BX251" s="4"/>
      <c r="BY251" s="3"/>
      <c r="BZ251" s="4"/>
      <c r="CA251" s="3"/>
      <c r="CB251" s="4"/>
      <c r="CC251" s="3"/>
      <c r="CD251" s="4"/>
    </row>
    <row r="252">
      <c r="A252" s="3"/>
      <c r="B252" s="4"/>
      <c r="C252" s="3"/>
      <c r="D252" s="4"/>
      <c r="E252" s="3"/>
      <c r="F252" s="4"/>
      <c r="G252" s="3"/>
      <c r="H252" s="4"/>
      <c r="I252" s="3"/>
      <c r="J252" s="4"/>
      <c r="K252" s="3"/>
      <c r="L252" s="4"/>
      <c r="M252" s="3"/>
      <c r="N252" s="4"/>
      <c r="O252" s="3"/>
      <c r="P252" s="4"/>
      <c r="Q252" s="3"/>
      <c r="R252" s="4"/>
      <c r="S252" s="3"/>
      <c r="T252" s="4"/>
      <c r="U252" s="3"/>
      <c r="V252" s="4"/>
      <c r="W252" s="3"/>
      <c r="X252" s="4"/>
      <c r="Y252" s="3"/>
      <c r="Z252" s="4"/>
      <c r="AA252" s="3"/>
      <c r="AB252" s="4"/>
      <c r="AC252" s="3"/>
      <c r="AD252" s="4"/>
      <c r="AE252" s="3"/>
      <c r="AF252" s="4"/>
      <c r="AG252" s="3"/>
      <c r="AH252" s="4"/>
      <c r="AI252" s="3"/>
      <c r="AJ252" s="4"/>
      <c r="AK252" s="3"/>
      <c r="AL252" s="4"/>
      <c r="AM252" s="3"/>
      <c r="AN252" s="4"/>
      <c r="AO252" s="3"/>
      <c r="AP252" s="4"/>
      <c r="AQ252" s="3"/>
      <c r="AR252" s="4"/>
      <c r="AS252" s="3"/>
      <c r="AT252" s="4"/>
      <c r="AU252" s="3"/>
      <c r="AV252" s="4"/>
      <c r="AW252" s="3"/>
      <c r="AX252" s="4"/>
      <c r="AY252" s="3"/>
      <c r="AZ252" s="4"/>
      <c r="BA252" s="3"/>
      <c r="BB252" s="4"/>
      <c r="BC252" s="3"/>
      <c r="BD252" s="4"/>
      <c r="BE252" s="3"/>
      <c r="BF252" s="4"/>
      <c r="BG252" s="3"/>
      <c r="BH252" s="4"/>
      <c r="BI252" s="3"/>
      <c r="BJ252" s="4"/>
      <c r="BK252" s="3"/>
      <c r="BL252" s="4"/>
      <c r="BM252" s="3"/>
      <c r="BN252" s="4"/>
      <c r="BO252" s="3"/>
      <c r="BP252" s="4"/>
      <c r="BQ252" s="3"/>
      <c r="BR252" s="4"/>
      <c r="BS252" s="3"/>
      <c r="BT252" s="4"/>
      <c r="BU252" s="3"/>
      <c r="BV252" s="4"/>
      <c r="BW252" s="3"/>
      <c r="BX252" s="4"/>
      <c r="BY252" s="3"/>
      <c r="BZ252" s="4"/>
      <c r="CA252" s="3"/>
      <c r="CB252" s="4"/>
      <c r="CC252" s="3"/>
      <c r="CD252" s="4"/>
    </row>
    <row r="253">
      <c r="A253" s="3"/>
      <c r="B253" s="4"/>
      <c r="C253" s="3"/>
      <c r="D253" s="4"/>
      <c r="E253" s="3"/>
      <c r="F253" s="4"/>
      <c r="G253" s="3"/>
      <c r="H253" s="4"/>
      <c r="I253" s="3"/>
      <c r="J253" s="4"/>
      <c r="K253" s="3"/>
      <c r="L253" s="4"/>
      <c r="M253" s="3"/>
      <c r="N253" s="4"/>
      <c r="O253" s="3"/>
      <c r="P253" s="4"/>
      <c r="Q253" s="3"/>
      <c r="R253" s="4"/>
      <c r="S253" s="3"/>
      <c r="T253" s="4"/>
      <c r="U253" s="3"/>
      <c r="V253" s="4"/>
      <c r="W253" s="3"/>
      <c r="X253" s="4"/>
      <c r="Y253" s="3"/>
      <c r="Z253" s="4"/>
      <c r="AA253" s="3"/>
      <c r="AB253" s="4"/>
      <c r="AC253" s="3"/>
      <c r="AD253" s="4"/>
      <c r="AE253" s="3"/>
      <c r="AF253" s="4"/>
      <c r="AG253" s="3"/>
      <c r="AH253" s="4"/>
      <c r="AI253" s="3"/>
      <c r="AJ253" s="4"/>
      <c r="AK253" s="3"/>
      <c r="AL253" s="4"/>
      <c r="AM253" s="3"/>
      <c r="AN253" s="4"/>
      <c r="AO253" s="3"/>
      <c r="AP253" s="4"/>
      <c r="AQ253" s="3"/>
      <c r="AR253" s="4"/>
      <c r="AS253" s="3"/>
      <c r="AT253" s="4"/>
      <c r="AU253" s="3"/>
      <c r="AV253" s="4"/>
      <c r="AW253" s="3"/>
      <c r="AX253" s="4"/>
      <c r="AY253" s="3"/>
      <c r="AZ253" s="4"/>
      <c r="BA253" s="3"/>
      <c r="BB253" s="4"/>
      <c r="BC253" s="3"/>
      <c r="BD253" s="4"/>
      <c r="BE253" s="3"/>
      <c r="BF253" s="4"/>
      <c r="BG253" s="3"/>
      <c r="BH253" s="4"/>
      <c r="BI253" s="3"/>
      <c r="BJ253" s="4"/>
      <c r="BK253" s="3"/>
      <c r="BL253" s="4"/>
      <c r="BM253" s="3"/>
      <c r="BN253" s="4"/>
      <c r="BO253" s="3"/>
      <c r="BP253" s="4"/>
      <c r="BQ253" s="3"/>
      <c r="BR253" s="4"/>
      <c r="BS253" s="3"/>
      <c r="BT253" s="4"/>
      <c r="BU253" s="3"/>
      <c r="BV253" s="4"/>
      <c r="BW253" s="3"/>
      <c r="BX253" s="4"/>
      <c r="BY253" s="3"/>
      <c r="BZ253" s="4"/>
      <c r="CA253" s="3"/>
      <c r="CB253" s="4"/>
      <c r="CC253" s="3"/>
      <c r="CD253" s="4"/>
    </row>
    <row r="254">
      <c r="A254" s="3"/>
      <c r="B254" s="4"/>
      <c r="C254" s="3"/>
      <c r="D254" s="4"/>
      <c r="E254" s="3"/>
      <c r="F254" s="4"/>
      <c r="G254" s="3"/>
      <c r="H254" s="4"/>
      <c r="I254" s="3"/>
      <c r="J254" s="4"/>
      <c r="K254" s="3"/>
      <c r="L254" s="4"/>
      <c r="M254" s="3"/>
      <c r="N254" s="4"/>
      <c r="O254" s="3"/>
      <c r="P254" s="4"/>
      <c r="Q254" s="3"/>
      <c r="R254" s="4"/>
      <c r="S254" s="3"/>
      <c r="T254" s="4"/>
      <c r="U254" s="3"/>
      <c r="V254" s="4"/>
      <c r="W254" s="3"/>
      <c r="X254" s="4"/>
      <c r="Y254" s="3"/>
      <c r="Z254" s="4"/>
      <c r="AA254" s="3"/>
      <c r="AB254" s="4"/>
      <c r="AC254" s="3"/>
      <c r="AD254" s="4"/>
      <c r="AE254" s="3"/>
      <c r="AF254" s="4"/>
      <c r="AG254" s="3"/>
      <c r="AH254" s="4"/>
      <c r="AI254" s="3"/>
      <c r="AJ254" s="4"/>
      <c r="AK254" s="3"/>
      <c r="AL254" s="4"/>
      <c r="AM254" s="3"/>
      <c r="AN254" s="4"/>
      <c r="AO254" s="3"/>
      <c r="AP254" s="4"/>
      <c r="AQ254" s="3"/>
      <c r="AR254" s="4"/>
      <c r="AS254" s="3"/>
      <c r="AT254" s="4"/>
      <c r="AU254" s="3"/>
      <c r="AV254" s="4"/>
      <c r="AW254" s="3"/>
      <c r="AX254" s="4"/>
      <c r="AY254" s="3"/>
      <c r="AZ254" s="4"/>
      <c r="BA254" s="3"/>
      <c r="BB254" s="4"/>
      <c r="BC254" s="3"/>
      <c r="BD254" s="4"/>
      <c r="BE254" s="3"/>
      <c r="BF254" s="4"/>
      <c r="BG254" s="3"/>
      <c r="BH254" s="4"/>
      <c r="BI254" s="3"/>
      <c r="BJ254" s="4"/>
      <c r="BK254" s="3"/>
      <c r="BL254" s="4"/>
      <c r="BM254" s="3"/>
      <c r="BN254" s="4"/>
      <c r="BO254" s="3"/>
      <c r="BP254" s="4"/>
      <c r="BQ254" s="3"/>
      <c r="BR254" s="4"/>
      <c r="BS254" s="3"/>
      <c r="BT254" s="4"/>
      <c r="BU254" s="3"/>
      <c r="BV254" s="4"/>
      <c r="BW254" s="3"/>
      <c r="BX254" s="4"/>
      <c r="BY254" s="3"/>
      <c r="BZ254" s="4"/>
      <c r="CA254" s="3"/>
      <c r="CB254" s="4"/>
      <c r="CC254" s="3"/>
      <c r="CD254" s="4"/>
    </row>
    <row r="255">
      <c r="A255" s="3"/>
      <c r="B255" s="4"/>
      <c r="C255" s="3"/>
      <c r="D255" s="4"/>
      <c r="E255" s="3"/>
      <c r="F255" s="4"/>
      <c r="G255" s="3"/>
      <c r="H255" s="4"/>
      <c r="I255" s="3"/>
      <c r="J255" s="4"/>
      <c r="K255" s="3"/>
      <c r="L255" s="4"/>
      <c r="M255" s="3"/>
      <c r="N255" s="4"/>
      <c r="O255" s="3"/>
      <c r="P255" s="4"/>
      <c r="Q255" s="3"/>
      <c r="R255" s="4"/>
      <c r="S255" s="3"/>
      <c r="T255" s="4"/>
      <c r="U255" s="3"/>
      <c r="V255" s="4"/>
      <c r="W255" s="3"/>
      <c r="X255" s="4"/>
      <c r="Y255" s="3"/>
      <c r="Z255" s="4"/>
      <c r="AA255" s="3"/>
      <c r="AB255" s="4"/>
      <c r="AC255" s="3"/>
      <c r="AD255" s="4"/>
      <c r="AE255" s="3"/>
      <c r="AF255" s="4"/>
      <c r="AG255" s="3"/>
      <c r="AH255" s="4"/>
      <c r="AI255" s="3"/>
      <c r="AJ255" s="4"/>
      <c r="AK255" s="3"/>
      <c r="AL255" s="4"/>
      <c r="AM255" s="3"/>
      <c r="AN255" s="4"/>
      <c r="AO255" s="3"/>
      <c r="AP255" s="4"/>
      <c r="AQ255" s="3"/>
      <c r="AR255" s="4"/>
      <c r="AS255" s="3"/>
      <c r="AT255" s="4"/>
      <c r="AU255" s="3"/>
      <c r="AV255" s="4"/>
      <c r="AW255" s="3"/>
      <c r="AX255" s="4"/>
      <c r="AY255" s="3"/>
      <c r="AZ255" s="4"/>
      <c r="BA255" s="3"/>
      <c r="BB255" s="4"/>
      <c r="BC255" s="3"/>
      <c r="BD255" s="4"/>
      <c r="BE255" s="3"/>
      <c r="BF255" s="4"/>
      <c r="BG255" s="3"/>
      <c r="BH255" s="4"/>
      <c r="BI255" s="3"/>
      <c r="BJ255" s="4"/>
      <c r="BK255" s="3"/>
      <c r="BL255" s="4"/>
      <c r="BM255" s="3"/>
      <c r="BN255" s="4"/>
      <c r="BO255" s="3"/>
      <c r="BP255" s="4"/>
      <c r="BQ255" s="3"/>
      <c r="BR255" s="4"/>
      <c r="BS255" s="3"/>
      <c r="BT255" s="4"/>
      <c r="BU255" s="3"/>
      <c r="BV255" s="4"/>
      <c r="BW255" s="3"/>
      <c r="BX255" s="4"/>
      <c r="BY255" s="3"/>
      <c r="BZ255" s="4"/>
      <c r="CA255" s="3"/>
      <c r="CB255" s="4"/>
      <c r="CC255" s="3"/>
      <c r="CD255" s="4"/>
    </row>
    <row r="256">
      <c r="A256" s="3"/>
      <c r="B256" s="4"/>
      <c r="C256" s="3"/>
      <c r="D256" s="4"/>
      <c r="E256" s="3"/>
      <c r="F256" s="4"/>
      <c r="G256" s="3"/>
      <c r="H256" s="4"/>
      <c r="I256" s="3"/>
      <c r="J256" s="4"/>
      <c r="K256" s="3"/>
      <c r="L256" s="4"/>
      <c r="M256" s="3"/>
      <c r="N256" s="4"/>
      <c r="O256" s="3"/>
      <c r="P256" s="4"/>
      <c r="Q256" s="3"/>
      <c r="R256" s="4"/>
      <c r="S256" s="3"/>
      <c r="T256" s="4"/>
      <c r="U256" s="3"/>
      <c r="V256" s="4"/>
      <c r="W256" s="3"/>
      <c r="X256" s="4"/>
      <c r="Y256" s="3"/>
      <c r="Z256" s="4"/>
      <c r="AA256" s="3"/>
      <c r="AB256" s="4"/>
      <c r="AC256" s="3"/>
      <c r="AD256" s="4"/>
      <c r="AE256" s="3"/>
      <c r="AF256" s="4"/>
      <c r="AG256" s="3"/>
      <c r="AH256" s="4"/>
      <c r="AI256" s="3"/>
      <c r="AJ256" s="4"/>
      <c r="AK256" s="3"/>
      <c r="AL256" s="4"/>
      <c r="AM256" s="3"/>
      <c r="AN256" s="4"/>
      <c r="AO256" s="3"/>
      <c r="AP256" s="4"/>
      <c r="AQ256" s="3"/>
      <c r="AR256" s="4"/>
      <c r="AS256" s="3"/>
      <c r="AT256" s="4"/>
      <c r="AU256" s="3"/>
      <c r="AV256" s="4"/>
      <c r="AW256" s="3"/>
      <c r="AX256" s="4"/>
      <c r="AY256" s="3"/>
      <c r="AZ256" s="4"/>
      <c r="BA256" s="3"/>
      <c r="BB256" s="4"/>
      <c r="BC256" s="3"/>
      <c r="BD256" s="4"/>
      <c r="BE256" s="3"/>
      <c r="BF256" s="4"/>
      <c r="BG256" s="3"/>
      <c r="BH256" s="4"/>
      <c r="BI256" s="3"/>
      <c r="BJ256" s="4"/>
      <c r="BK256" s="3"/>
      <c r="BL256" s="4"/>
      <c r="BM256" s="3"/>
      <c r="BN256" s="4"/>
      <c r="BO256" s="3"/>
      <c r="BP256" s="4"/>
      <c r="BQ256" s="3"/>
      <c r="BR256" s="4"/>
      <c r="BS256" s="3"/>
      <c r="BT256" s="4"/>
      <c r="BU256" s="3"/>
      <c r="BV256" s="4"/>
      <c r="BW256" s="3"/>
      <c r="BX256" s="4"/>
      <c r="BY256" s="3"/>
      <c r="BZ256" s="4"/>
      <c r="CA256" s="3"/>
      <c r="CB256" s="4"/>
      <c r="CC256" s="3"/>
      <c r="CD256" s="4"/>
    </row>
    <row r="257">
      <c r="A257" s="3"/>
      <c r="B257" s="4"/>
      <c r="C257" s="3"/>
      <c r="D257" s="4"/>
      <c r="E257" s="3"/>
      <c r="F257" s="4"/>
      <c r="G257" s="3"/>
      <c r="H257" s="4"/>
      <c r="I257" s="3"/>
      <c r="J257" s="4"/>
      <c r="K257" s="3"/>
      <c r="L257" s="4"/>
      <c r="M257" s="3"/>
      <c r="N257" s="4"/>
      <c r="O257" s="3"/>
      <c r="P257" s="4"/>
      <c r="Q257" s="3"/>
      <c r="R257" s="4"/>
      <c r="S257" s="3"/>
      <c r="T257" s="4"/>
      <c r="U257" s="3"/>
      <c r="V257" s="4"/>
      <c r="W257" s="3"/>
      <c r="X257" s="4"/>
      <c r="Y257" s="3"/>
      <c r="Z257" s="4"/>
      <c r="AA257" s="3"/>
      <c r="AB257" s="4"/>
      <c r="AC257" s="3"/>
      <c r="AD257" s="4"/>
      <c r="AE257" s="3"/>
      <c r="AF257" s="4"/>
      <c r="AG257" s="3"/>
      <c r="AH257" s="4"/>
      <c r="AI257" s="3"/>
      <c r="AJ257" s="4"/>
      <c r="AK257" s="3"/>
      <c r="AL257" s="4"/>
      <c r="AM257" s="3"/>
      <c r="AN257" s="4"/>
      <c r="AO257" s="3"/>
      <c r="AP257" s="4"/>
      <c r="AQ257" s="3"/>
      <c r="AR257" s="4"/>
      <c r="AS257" s="3"/>
      <c r="AT257" s="4"/>
      <c r="AU257" s="3"/>
      <c r="AV257" s="4"/>
      <c r="AW257" s="3"/>
      <c r="AX257" s="4"/>
      <c r="AY257" s="3"/>
      <c r="AZ257" s="4"/>
      <c r="BA257" s="3"/>
      <c r="BB257" s="4"/>
      <c r="BC257" s="3"/>
      <c r="BD257" s="4"/>
      <c r="BE257" s="3"/>
      <c r="BF257" s="4"/>
      <c r="BG257" s="3"/>
      <c r="BH257" s="4"/>
      <c r="BI257" s="3"/>
      <c r="BJ257" s="4"/>
      <c r="BK257" s="3"/>
      <c r="BL257" s="4"/>
      <c r="BM257" s="3"/>
      <c r="BN257" s="4"/>
      <c r="BO257" s="3"/>
      <c r="BP257" s="4"/>
      <c r="BQ257" s="3"/>
      <c r="BR257" s="4"/>
      <c r="BS257" s="3"/>
      <c r="BT257" s="4"/>
      <c r="BU257" s="3"/>
      <c r="BV257" s="4"/>
      <c r="BW257" s="3"/>
      <c r="BX257" s="4"/>
      <c r="BY257" s="3"/>
      <c r="BZ257" s="4"/>
      <c r="CA257" s="3"/>
      <c r="CB257" s="4"/>
      <c r="CC257" s="3"/>
      <c r="CD257" s="4"/>
    </row>
    <row r="258">
      <c r="A258" s="3"/>
      <c r="B258" s="4"/>
      <c r="C258" s="3"/>
      <c r="D258" s="4"/>
      <c r="E258" s="3"/>
      <c r="F258" s="4"/>
      <c r="G258" s="3"/>
      <c r="H258" s="4"/>
      <c r="I258" s="3"/>
      <c r="J258" s="4"/>
      <c r="K258" s="3"/>
      <c r="L258" s="4"/>
      <c r="M258" s="3"/>
      <c r="N258" s="4"/>
      <c r="O258" s="3"/>
      <c r="P258" s="4"/>
      <c r="Q258" s="3"/>
      <c r="R258" s="4"/>
      <c r="S258" s="3"/>
      <c r="T258" s="4"/>
      <c r="U258" s="3"/>
      <c r="V258" s="4"/>
      <c r="W258" s="3"/>
      <c r="X258" s="4"/>
      <c r="Y258" s="3"/>
      <c r="Z258" s="4"/>
      <c r="AA258" s="3"/>
      <c r="AB258" s="4"/>
      <c r="AC258" s="3"/>
      <c r="AD258" s="4"/>
      <c r="AE258" s="3"/>
      <c r="AF258" s="4"/>
      <c r="AG258" s="3"/>
      <c r="AH258" s="4"/>
      <c r="AI258" s="3"/>
      <c r="AJ258" s="4"/>
      <c r="AK258" s="3"/>
      <c r="AL258" s="4"/>
      <c r="AM258" s="3"/>
      <c r="AN258" s="4"/>
      <c r="AO258" s="3"/>
      <c r="AP258" s="4"/>
      <c r="AQ258" s="3"/>
      <c r="AR258" s="4"/>
      <c r="AS258" s="3"/>
      <c r="AT258" s="4"/>
      <c r="AU258" s="3"/>
      <c r="AV258" s="4"/>
      <c r="AW258" s="3"/>
      <c r="AX258" s="4"/>
      <c r="AY258" s="3"/>
      <c r="AZ258" s="4"/>
      <c r="BA258" s="3"/>
      <c r="BB258" s="4"/>
      <c r="BC258" s="3"/>
      <c r="BD258" s="4"/>
      <c r="BE258" s="3"/>
      <c r="BF258" s="4"/>
      <c r="BG258" s="3"/>
      <c r="BH258" s="4"/>
      <c r="BI258" s="3"/>
      <c r="BJ258" s="4"/>
      <c r="BK258" s="3"/>
      <c r="BL258" s="4"/>
      <c r="BM258" s="3"/>
      <c r="BN258" s="4"/>
      <c r="BO258" s="3"/>
      <c r="BP258" s="4"/>
      <c r="BQ258" s="3"/>
      <c r="BR258" s="4"/>
      <c r="BS258" s="3"/>
      <c r="BT258" s="4"/>
      <c r="BU258" s="3"/>
      <c r="BV258" s="4"/>
      <c r="BW258" s="3"/>
      <c r="BX258" s="4"/>
      <c r="BY258" s="3"/>
      <c r="BZ258" s="4"/>
      <c r="CA258" s="3"/>
      <c r="CB258" s="4"/>
      <c r="CC258" s="3"/>
      <c r="CD258" s="4"/>
    </row>
    <row r="259">
      <c r="A259" s="3"/>
      <c r="B259" s="4"/>
      <c r="C259" s="3"/>
      <c r="D259" s="4"/>
      <c r="E259" s="3"/>
      <c r="F259" s="4"/>
      <c r="G259" s="3"/>
      <c r="H259" s="4"/>
      <c r="I259" s="3"/>
      <c r="J259" s="4"/>
      <c r="K259" s="3"/>
      <c r="L259" s="4"/>
      <c r="M259" s="3"/>
      <c r="N259" s="4"/>
      <c r="O259" s="3"/>
      <c r="P259" s="4"/>
      <c r="Q259" s="3"/>
      <c r="R259" s="4"/>
      <c r="S259" s="3"/>
      <c r="T259" s="4"/>
      <c r="U259" s="3"/>
      <c r="V259" s="4"/>
      <c r="W259" s="3"/>
      <c r="X259" s="4"/>
      <c r="Y259" s="3"/>
      <c r="Z259" s="4"/>
      <c r="AA259" s="3"/>
      <c r="AB259" s="4"/>
      <c r="AC259" s="3"/>
      <c r="AD259" s="4"/>
      <c r="AE259" s="3"/>
      <c r="AF259" s="4"/>
      <c r="AG259" s="3"/>
      <c r="AH259" s="4"/>
      <c r="AI259" s="3"/>
      <c r="AJ259" s="4"/>
      <c r="AK259" s="3"/>
      <c r="AL259" s="4"/>
      <c r="AM259" s="3"/>
      <c r="AN259" s="4"/>
      <c r="AO259" s="3"/>
      <c r="AP259" s="4"/>
      <c r="AQ259" s="3"/>
      <c r="AR259" s="4"/>
      <c r="AS259" s="3"/>
      <c r="AT259" s="4"/>
      <c r="AU259" s="3"/>
      <c r="AV259" s="4"/>
      <c r="AW259" s="3"/>
      <c r="AX259" s="4"/>
      <c r="AY259" s="3"/>
      <c r="AZ259" s="4"/>
      <c r="BA259" s="3"/>
      <c r="BB259" s="4"/>
      <c r="BC259" s="3"/>
      <c r="BD259" s="4"/>
      <c r="BE259" s="3"/>
      <c r="BF259" s="4"/>
      <c r="BG259" s="3"/>
      <c r="BH259" s="4"/>
      <c r="BI259" s="3"/>
      <c r="BJ259" s="4"/>
      <c r="BK259" s="3"/>
      <c r="BL259" s="4"/>
      <c r="BM259" s="3"/>
      <c r="BN259" s="4"/>
      <c r="BO259" s="3"/>
      <c r="BP259" s="4"/>
      <c r="BQ259" s="3"/>
      <c r="BR259" s="4"/>
      <c r="BS259" s="3"/>
      <c r="BT259" s="4"/>
      <c r="BU259" s="3"/>
      <c r="BV259" s="4"/>
      <c r="BW259" s="3"/>
      <c r="BX259" s="4"/>
      <c r="BY259" s="3"/>
      <c r="BZ259" s="4"/>
      <c r="CA259" s="3"/>
      <c r="CB259" s="4"/>
      <c r="CC259" s="3"/>
      <c r="CD259" s="4"/>
    </row>
    <row r="260">
      <c r="A260" s="3"/>
      <c r="B260" s="4"/>
      <c r="C260" s="3"/>
      <c r="D260" s="4"/>
      <c r="E260" s="3"/>
      <c r="F260" s="4"/>
      <c r="G260" s="3"/>
      <c r="H260" s="4"/>
      <c r="I260" s="3"/>
      <c r="J260" s="4"/>
      <c r="K260" s="3"/>
      <c r="L260" s="4"/>
      <c r="M260" s="3"/>
      <c r="N260" s="4"/>
      <c r="O260" s="3"/>
      <c r="P260" s="4"/>
      <c r="Q260" s="3"/>
      <c r="R260" s="4"/>
      <c r="S260" s="3"/>
      <c r="T260" s="4"/>
      <c r="U260" s="3"/>
      <c r="V260" s="4"/>
      <c r="W260" s="3"/>
      <c r="X260" s="4"/>
      <c r="Y260" s="3"/>
      <c r="Z260" s="4"/>
      <c r="AA260" s="3"/>
      <c r="AB260" s="4"/>
      <c r="AC260" s="3"/>
      <c r="AD260" s="4"/>
      <c r="AE260" s="3"/>
      <c r="AF260" s="4"/>
      <c r="AG260" s="3"/>
      <c r="AH260" s="4"/>
      <c r="AI260" s="3"/>
      <c r="AJ260" s="4"/>
      <c r="AK260" s="3"/>
      <c r="AL260" s="4"/>
      <c r="AM260" s="3"/>
      <c r="AN260" s="4"/>
      <c r="AO260" s="3"/>
      <c r="AP260" s="4"/>
      <c r="AQ260" s="3"/>
      <c r="AR260" s="4"/>
      <c r="AS260" s="3"/>
      <c r="AT260" s="4"/>
      <c r="AU260" s="3"/>
      <c r="AV260" s="4"/>
      <c r="AW260" s="3"/>
      <c r="AX260" s="4"/>
      <c r="AY260" s="3"/>
      <c r="AZ260" s="4"/>
      <c r="BA260" s="3"/>
      <c r="BB260" s="4"/>
      <c r="BC260" s="3"/>
      <c r="BD260" s="4"/>
      <c r="BE260" s="3"/>
      <c r="BF260" s="4"/>
      <c r="BG260" s="3"/>
      <c r="BH260" s="4"/>
      <c r="BI260" s="3"/>
      <c r="BJ260" s="4"/>
      <c r="BK260" s="3"/>
      <c r="BL260" s="4"/>
      <c r="BM260" s="3"/>
      <c r="BN260" s="4"/>
      <c r="BO260" s="3"/>
      <c r="BP260" s="4"/>
      <c r="BQ260" s="3"/>
      <c r="BR260" s="4"/>
      <c r="BS260" s="3"/>
      <c r="BT260" s="4"/>
      <c r="BU260" s="3"/>
      <c r="BV260" s="4"/>
      <c r="BW260" s="3"/>
      <c r="BX260" s="4"/>
      <c r="BY260" s="3"/>
      <c r="BZ260" s="4"/>
      <c r="CA260" s="3"/>
      <c r="CB260" s="4"/>
      <c r="CC260" s="3"/>
      <c r="CD260" s="4"/>
    </row>
    <row r="261">
      <c r="A261" s="3"/>
      <c r="B261" s="4"/>
      <c r="C261" s="3"/>
      <c r="D261" s="4"/>
      <c r="E261" s="3"/>
      <c r="F261" s="4"/>
      <c r="G261" s="3"/>
      <c r="H261" s="4"/>
      <c r="I261" s="3"/>
      <c r="J261" s="4"/>
      <c r="K261" s="3"/>
      <c r="L261" s="4"/>
      <c r="M261" s="3"/>
      <c r="N261" s="4"/>
      <c r="O261" s="3"/>
      <c r="P261" s="4"/>
      <c r="Q261" s="3"/>
      <c r="R261" s="4"/>
      <c r="S261" s="3"/>
      <c r="T261" s="4"/>
      <c r="U261" s="3"/>
      <c r="V261" s="4"/>
      <c r="W261" s="3"/>
      <c r="X261" s="4"/>
      <c r="Y261" s="3"/>
      <c r="Z261" s="4"/>
      <c r="AA261" s="3"/>
      <c r="AB261" s="4"/>
      <c r="AC261" s="3"/>
      <c r="AD261" s="4"/>
      <c r="AE261" s="3"/>
      <c r="AF261" s="4"/>
      <c r="AG261" s="3"/>
      <c r="AH261" s="4"/>
      <c r="AI261" s="3"/>
      <c r="AJ261" s="4"/>
      <c r="AK261" s="3"/>
      <c r="AL261" s="4"/>
      <c r="AM261" s="3"/>
      <c r="AN261" s="4"/>
      <c r="AO261" s="3"/>
      <c r="AP261" s="4"/>
      <c r="AQ261" s="3"/>
      <c r="AR261" s="4"/>
      <c r="AS261" s="3"/>
      <c r="AT261" s="4"/>
      <c r="AU261" s="3"/>
      <c r="AV261" s="4"/>
      <c r="AW261" s="3"/>
      <c r="AX261" s="4"/>
      <c r="AY261" s="3"/>
      <c r="AZ261" s="4"/>
      <c r="BA261" s="3"/>
      <c r="BB261" s="4"/>
      <c r="BC261" s="3"/>
      <c r="BD261" s="4"/>
      <c r="BE261" s="3"/>
      <c r="BF261" s="4"/>
      <c r="BG261" s="3"/>
      <c r="BH261" s="4"/>
      <c r="BI261" s="3"/>
      <c r="BJ261" s="4"/>
      <c r="BK261" s="3"/>
      <c r="BL261" s="4"/>
      <c r="BM261" s="3"/>
      <c r="BN261" s="4"/>
      <c r="BO261" s="3"/>
      <c r="BP261" s="4"/>
      <c r="BQ261" s="3"/>
      <c r="BR261" s="4"/>
      <c r="BS261" s="3"/>
      <c r="BT261" s="4"/>
      <c r="BU261" s="3"/>
      <c r="BV261" s="4"/>
      <c r="BW261" s="3"/>
      <c r="BX261" s="4"/>
      <c r="BY261" s="3"/>
      <c r="BZ261" s="4"/>
      <c r="CA261" s="3"/>
      <c r="CB261" s="4"/>
      <c r="CC261" s="3"/>
      <c r="CD261" s="4"/>
    </row>
    <row r="262">
      <c r="A262" s="3"/>
      <c r="B262" s="4"/>
      <c r="C262" s="3"/>
      <c r="D262" s="4"/>
      <c r="E262" s="3"/>
      <c r="F262" s="4"/>
      <c r="G262" s="3"/>
      <c r="H262" s="4"/>
      <c r="I262" s="3"/>
      <c r="J262" s="4"/>
      <c r="K262" s="3"/>
      <c r="L262" s="4"/>
      <c r="M262" s="3"/>
      <c r="N262" s="4"/>
      <c r="O262" s="3"/>
      <c r="P262" s="4"/>
      <c r="Q262" s="3"/>
      <c r="R262" s="4"/>
      <c r="S262" s="3"/>
      <c r="T262" s="4"/>
      <c r="U262" s="3"/>
      <c r="V262" s="4"/>
      <c r="W262" s="3"/>
      <c r="X262" s="4"/>
      <c r="Y262" s="3"/>
      <c r="Z262" s="4"/>
      <c r="AA262" s="3"/>
      <c r="AB262" s="4"/>
      <c r="AC262" s="3"/>
      <c r="AD262" s="4"/>
      <c r="AE262" s="3"/>
      <c r="AF262" s="4"/>
      <c r="AG262" s="3"/>
      <c r="AH262" s="4"/>
      <c r="AI262" s="3"/>
      <c r="AJ262" s="4"/>
      <c r="AK262" s="3"/>
      <c r="AL262" s="4"/>
      <c r="AM262" s="3"/>
      <c r="AN262" s="4"/>
      <c r="AO262" s="3"/>
      <c r="AP262" s="4"/>
      <c r="AQ262" s="3"/>
      <c r="AR262" s="4"/>
      <c r="AS262" s="3"/>
      <c r="AT262" s="4"/>
      <c r="AU262" s="3"/>
      <c r="AV262" s="4"/>
      <c r="AW262" s="3"/>
      <c r="AX262" s="4"/>
      <c r="AY262" s="3"/>
      <c r="AZ262" s="4"/>
      <c r="BA262" s="3"/>
      <c r="BB262" s="4"/>
      <c r="BC262" s="3"/>
      <c r="BD262" s="4"/>
      <c r="BE262" s="3"/>
      <c r="BF262" s="4"/>
      <c r="BG262" s="3"/>
      <c r="BH262" s="4"/>
      <c r="BI262" s="3"/>
      <c r="BJ262" s="4"/>
      <c r="BK262" s="3"/>
      <c r="BL262" s="4"/>
      <c r="BM262" s="3"/>
      <c r="BN262" s="4"/>
      <c r="BO262" s="3"/>
      <c r="BP262" s="4"/>
      <c r="BQ262" s="3"/>
      <c r="BR262" s="4"/>
      <c r="BS262" s="3"/>
      <c r="BT262" s="4"/>
      <c r="BU262" s="3"/>
      <c r="BV262" s="4"/>
      <c r="BW262" s="3"/>
      <c r="BX262" s="4"/>
      <c r="BY262" s="3"/>
      <c r="BZ262" s="4"/>
      <c r="CA262" s="3"/>
      <c r="CB262" s="4"/>
      <c r="CC262" s="3"/>
      <c r="CD262" s="4"/>
    </row>
    <row r="263">
      <c r="A263" s="3"/>
      <c r="B263" s="4"/>
      <c r="C263" s="3"/>
      <c r="D263" s="4"/>
      <c r="E263" s="3"/>
      <c r="F263" s="4"/>
      <c r="G263" s="3"/>
      <c r="H263" s="4"/>
      <c r="I263" s="3"/>
      <c r="J263" s="4"/>
      <c r="K263" s="3"/>
      <c r="L263" s="4"/>
      <c r="M263" s="3"/>
      <c r="N263" s="4"/>
      <c r="O263" s="3"/>
      <c r="P263" s="4"/>
      <c r="Q263" s="3"/>
      <c r="R263" s="4"/>
      <c r="S263" s="3"/>
      <c r="T263" s="4"/>
      <c r="U263" s="3"/>
      <c r="V263" s="4"/>
      <c r="W263" s="3"/>
      <c r="X263" s="4"/>
      <c r="Y263" s="3"/>
      <c r="Z263" s="4"/>
      <c r="AA263" s="3"/>
      <c r="AB263" s="4"/>
      <c r="AC263" s="3"/>
      <c r="AD263" s="4"/>
      <c r="AE263" s="3"/>
      <c r="AF263" s="4"/>
      <c r="AG263" s="3"/>
      <c r="AH263" s="4"/>
      <c r="AI263" s="3"/>
      <c r="AJ263" s="4"/>
      <c r="AK263" s="3"/>
      <c r="AL263" s="4"/>
      <c r="AM263" s="3"/>
      <c r="AN263" s="4"/>
      <c r="AO263" s="3"/>
      <c r="AP263" s="4"/>
      <c r="AQ263" s="3"/>
      <c r="AR263" s="4"/>
      <c r="AS263" s="3"/>
      <c r="AT263" s="4"/>
      <c r="AU263" s="3"/>
      <c r="AV263" s="4"/>
      <c r="AW263" s="3"/>
      <c r="AX263" s="4"/>
      <c r="AY263" s="3"/>
      <c r="AZ263" s="4"/>
      <c r="BA263" s="3"/>
      <c r="BB263" s="4"/>
      <c r="BC263" s="3"/>
      <c r="BD263" s="4"/>
      <c r="BE263" s="3"/>
      <c r="BF263" s="4"/>
      <c r="BG263" s="3"/>
      <c r="BH263" s="4"/>
      <c r="BI263" s="3"/>
      <c r="BJ263" s="4"/>
      <c r="BK263" s="3"/>
      <c r="BL263" s="4"/>
      <c r="BM263" s="3"/>
      <c r="BN263" s="4"/>
      <c r="BO263" s="3"/>
      <c r="BP263" s="4"/>
      <c r="BQ263" s="3"/>
      <c r="BR263" s="4"/>
      <c r="BS263" s="3"/>
      <c r="BT263" s="4"/>
      <c r="BU263" s="3"/>
      <c r="BV263" s="4"/>
      <c r="BW263" s="3"/>
      <c r="BX263" s="4"/>
      <c r="BY263" s="3"/>
      <c r="BZ263" s="4"/>
      <c r="CA263" s="3"/>
      <c r="CB263" s="4"/>
      <c r="CC263" s="3"/>
      <c r="CD263" s="4"/>
    </row>
    <row r="264">
      <c r="A264" s="3"/>
      <c r="B264" s="4"/>
      <c r="C264" s="3"/>
      <c r="D264" s="4"/>
      <c r="E264" s="3"/>
      <c r="F264" s="4"/>
      <c r="G264" s="3"/>
      <c r="H264" s="4"/>
      <c r="I264" s="3"/>
      <c r="J264" s="4"/>
      <c r="K264" s="3"/>
      <c r="L264" s="4"/>
      <c r="M264" s="3"/>
      <c r="N264" s="4"/>
      <c r="O264" s="3"/>
      <c r="P264" s="4"/>
      <c r="Q264" s="3"/>
      <c r="R264" s="4"/>
      <c r="S264" s="3"/>
      <c r="T264" s="4"/>
      <c r="U264" s="3"/>
      <c r="V264" s="4"/>
      <c r="W264" s="3"/>
      <c r="X264" s="4"/>
      <c r="Y264" s="3"/>
      <c r="Z264" s="4"/>
      <c r="AA264" s="3"/>
      <c r="AB264" s="4"/>
      <c r="AC264" s="3"/>
      <c r="AD264" s="4"/>
      <c r="AE264" s="3"/>
      <c r="AF264" s="4"/>
      <c r="AG264" s="3"/>
      <c r="AH264" s="4"/>
      <c r="AI264" s="3"/>
      <c r="AJ264" s="4"/>
      <c r="AK264" s="3"/>
      <c r="AL264" s="4"/>
      <c r="AM264" s="3"/>
      <c r="AN264" s="4"/>
      <c r="AO264" s="3"/>
      <c r="AP264" s="4"/>
      <c r="AQ264" s="3"/>
      <c r="AR264" s="4"/>
      <c r="AS264" s="3"/>
      <c r="AT264" s="4"/>
      <c r="AU264" s="3"/>
      <c r="AV264" s="4"/>
      <c r="AW264" s="3"/>
      <c r="AX264" s="4"/>
      <c r="AY264" s="3"/>
      <c r="AZ264" s="4"/>
      <c r="BA264" s="3"/>
      <c r="BB264" s="4"/>
      <c r="BC264" s="3"/>
      <c r="BD264" s="4"/>
      <c r="BE264" s="3"/>
      <c r="BF264" s="4"/>
      <c r="BG264" s="3"/>
      <c r="BH264" s="4"/>
      <c r="BI264" s="3"/>
      <c r="BJ264" s="4"/>
      <c r="BK264" s="3"/>
      <c r="BL264" s="4"/>
      <c r="BM264" s="3"/>
      <c r="BN264" s="4"/>
      <c r="BO264" s="3"/>
      <c r="BP264" s="4"/>
      <c r="BQ264" s="3"/>
      <c r="BR264" s="4"/>
      <c r="BS264" s="3"/>
      <c r="BT264" s="4"/>
      <c r="BU264" s="3"/>
      <c r="BV264" s="4"/>
      <c r="BW264" s="3"/>
      <c r="BX264" s="4"/>
      <c r="BY264" s="3"/>
      <c r="BZ264" s="4"/>
      <c r="CA264" s="3"/>
      <c r="CB264" s="4"/>
      <c r="CC264" s="3"/>
      <c r="CD264" s="4"/>
    </row>
    <row r="265">
      <c r="A265" s="3"/>
      <c r="B265" s="4"/>
      <c r="C265" s="3"/>
      <c r="D265" s="4"/>
      <c r="E265" s="3"/>
      <c r="F265" s="4"/>
      <c r="G265" s="3"/>
      <c r="H265" s="4"/>
      <c r="I265" s="3"/>
      <c r="J265" s="4"/>
      <c r="K265" s="3"/>
      <c r="L265" s="4"/>
      <c r="M265" s="3"/>
      <c r="N265" s="4"/>
      <c r="O265" s="3"/>
      <c r="P265" s="4"/>
      <c r="Q265" s="3"/>
      <c r="R265" s="4"/>
      <c r="S265" s="3"/>
      <c r="T265" s="4"/>
      <c r="U265" s="3"/>
      <c r="V265" s="4"/>
      <c r="W265" s="3"/>
      <c r="X265" s="4"/>
      <c r="Y265" s="3"/>
      <c r="Z265" s="4"/>
      <c r="AA265" s="3"/>
      <c r="AB265" s="4"/>
      <c r="AC265" s="3"/>
      <c r="AD265" s="4"/>
      <c r="AE265" s="3"/>
      <c r="AF265" s="4"/>
      <c r="AG265" s="3"/>
      <c r="AH265" s="4"/>
      <c r="AI265" s="3"/>
      <c r="AJ265" s="4"/>
      <c r="AK265" s="3"/>
      <c r="AL265" s="4"/>
      <c r="AM265" s="3"/>
      <c r="AN265" s="4"/>
      <c r="AO265" s="3"/>
      <c r="AP265" s="4"/>
      <c r="AQ265" s="3"/>
      <c r="AR265" s="4"/>
      <c r="AS265" s="3"/>
      <c r="AT265" s="4"/>
      <c r="AU265" s="3"/>
      <c r="AV265" s="4"/>
      <c r="AW265" s="3"/>
      <c r="AX265" s="4"/>
      <c r="AY265" s="3"/>
      <c r="AZ265" s="4"/>
      <c r="BA265" s="3"/>
      <c r="BB265" s="4"/>
      <c r="BC265" s="3"/>
      <c r="BD265" s="4"/>
      <c r="BE265" s="3"/>
      <c r="BF265" s="4"/>
      <c r="BG265" s="3"/>
      <c r="BH265" s="4"/>
      <c r="BI265" s="3"/>
      <c r="BJ265" s="4"/>
      <c r="BK265" s="3"/>
      <c r="BL265" s="4"/>
      <c r="BM265" s="3"/>
      <c r="BN265" s="4"/>
      <c r="BO265" s="3"/>
      <c r="BP265" s="4"/>
      <c r="BQ265" s="3"/>
      <c r="BR265" s="4"/>
      <c r="BS265" s="3"/>
      <c r="BT265" s="4"/>
      <c r="BU265" s="3"/>
      <c r="BV265" s="4"/>
      <c r="BW265" s="3"/>
      <c r="BX265" s="4"/>
      <c r="BY265" s="3"/>
      <c r="BZ265" s="4"/>
      <c r="CA265" s="3"/>
      <c r="CB265" s="4"/>
      <c r="CC265" s="3"/>
      <c r="CD265" s="4"/>
    </row>
    <row r="266">
      <c r="A266" s="3"/>
      <c r="B266" s="4"/>
      <c r="C266" s="3"/>
      <c r="D266" s="4"/>
      <c r="E266" s="3"/>
      <c r="F266" s="4"/>
      <c r="G266" s="3"/>
      <c r="H266" s="4"/>
      <c r="I266" s="3"/>
      <c r="J266" s="4"/>
      <c r="K266" s="3"/>
      <c r="L266" s="4"/>
      <c r="M266" s="3"/>
      <c r="N266" s="4"/>
      <c r="O266" s="3"/>
      <c r="P266" s="4"/>
      <c r="Q266" s="3"/>
      <c r="R266" s="4"/>
      <c r="S266" s="3"/>
      <c r="T266" s="4"/>
      <c r="U266" s="3"/>
      <c r="V266" s="4"/>
      <c r="W266" s="3"/>
      <c r="X266" s="4"/>
      <c r="Y266" s="3"/>
      <c r="Z266" s="4"/>
      <c r="AA266" s="3"/>
      <c r="AB266" s="4"/>
      <c r="AC266" s="3"/>
      <c r="AD266" s="4"/>
      <c r="AE266" s="3"/>
      <c r="AF266" s="4"/>
      <c r="AG266" s="3"/>
      <c r="AH266" s="4"/>
      <c r="AI266" s="3"/>
      <c r="AJ266" s="4"/>
      <c r="AK266" s="3"/>
      <c r="AL266" s="4"/>
      <c r="AM266" s="3"/>
      <c r="AN266" s="4"/>
      <c r="AO266" s="3"/>
      <c r="AP266" s="4"/>
      <c r="AQ266" s="3"/>
      <c r="AR266" s="4"/>
      <c r="AS266" s="3"/>
      <c r="AT266" s="4"/>
      <c r="AU266" s="3"/>
      <c r="AV266" s="4"/>
      <c r="AW266" s="3"/>
      <c r="AX266" s="4"/>
      <c r="AY266" s="3"/>
      <c r="AZ266" s="4"/>
      <c r="BA266" s="3"/>
      <c r="BB266" s="4"/>
      <c r="BC266" s="3"/>
      <c r="BD266" s="4"/>
      <c r="BE266" s="3"/>
      <c r="BF266" s="4"/>
      <c r="BG266" s="3"/>
      <c r="BH266" s="4"/>
      <c r="BI266" s="3"/>
      <c r="BJ266" s="4"/>
      <c r="BK266" s="3"/>
      <c r="BL266" s="4"/>
      <c r="BM266" s="3"/>
      <c r="BN266" s="4"/>
      <c r="BO266" s="3"/>
      <c r="BP266" s="4"/>
      <c r="BQ266" s="3"/>
      <c r="BR266" s="4"/>
      <c r="BS266" s="3"/>
      <c r="BT266" s="4"/>
      <c r="BU266" s="3"/>
      <c r="BV266" s="4"/>
      <c r="BW266" s="3"/>
      <c r="BX266" s="4"/>
      <c r="BY266" s="3"/>
      <c r="BZ266" s="4"/>
      <c r="CA266" s="3"/>
      <c r="CB266" s="4"/>
      <c r="CC266" s="3"/>
      <c r="CD266" s="4"/>
    </row>
    <row r="267">
      <c r="A267" s="3"/>
      <c r="B267" s="4"/>
      <c r="C267" s="3"/>
      <c r="D267" s="4"/>
      <c r="E267" s="3"/>
      <c r="F267" s="4"/>
      <c r="G267" s="3"/>
      <c r="H267" s="4"/>
      <c r="I267" s="3"/>
      <c r="J267" s="4"/>
      <c r="K267" s="3"/>
      <c r="L267" s="4"/>
      <c r="M267" s="3"/>
      <c r="N267" s="4"/>
      <c r="O267" s="3"/>
      <c r="P267" s="4"/>
      <c r="Q267" s="3"/>
      <c r="R267" s="4"/>
      <c r="S267" s="3"/>
      <c r="T267" s="4"/>
      <c r="U267" s="3"/>
      <c r="V267" s="4"/>
      <c r="W267" s="3"/>
      <c r="X267" s="4"/>
      <c r="Y267" s="3"/>
      <c r="Z267" s="4"/>
      <c r="AA267" s="3"/>
      <c r="AB267" s="4"/>
      <c r="AC267" s="3"/>
      <c r="AD267" s="4"/>
      <c r="AE267" s="3"/>
      <c r="AF267" s="4"/>
      <c r="AG267" s="3"/>
      <c r="AH267" s="4"/>
      <c r="AI267" s="3"/>
      <c r="AJ267" s="4"/>
      <c r="AK267" s="3"/>
      <c r="AL267" s="4"/>
      <c r="AM267" s="3"/>
      <c r="AN267" s="4"/>
      <c r="AO267" s="3"/>
      <c r="AP267" s="4"/>
      <c r="AQ267" s="3"/>
      <c r="AR267" s="4"/>
      <c r="AS267" s="3"/>
      <c r="AT267" s="4"/>
      <c r="AU267" s="3"/>
      <c r="AV267" s="4"/>
      <c r="AW267" s="3"/>
      <c r="AX267" s="4"/>
      <c r="AY267" s="3"/>
      <c r="AZ267" s="4"/>
      <c r="BA267" s="3"/>
      <c r="BB267" s="4"/>
      <c r="BC267" s="3"/>
      <c r="BD267" s="4"/>
      <c r="BE267" s="3"/>
      <c r="BF267" s="4"/>
      <c r="BG267" s="3"/>
      <c r="BH267" s="4"/>
      <c r="BI267" s="3"/>
      <c r="BJ267" s="4"/>
      <c r="BK267" s="3"/>
      <c r="BL267" s="4"/>
      <c r="BM267" s="3"/>
      <c r="BN267" s="4"/>
      <c r="BO267" s="3"/>
      <c r="BP267" s="4"/>
      <c r="BQ267" s="3"/>
      <c r="BR267" s="4"/>
      <c r="BS267" s="3"/>
      <c r="BT267" s="4"/>
      <c r="BU267" s="3"/>
      <c r="BV267" s="4"/>
      <c r="BW267" s="3"/>
      <c r="BX267" s="4"/>
      <c r="BY267" s="3"/>
      <c r="BZ267" s="4"/>
      <c r="CA267" s="3"/>
      <c r="CB267" s="4"/>
      <c r="CC267" s="3"/>
      <c r="CD267" s="4"/>
    </row>
    <row r="268">
      <c r="A268" s="3"/>
      <c r="B268" s="4"/>
      <c r="C268" s="3"/>
      <c r="D268" s="4"/>
      <c r="E268" s="3"/>
      <c r="F268" s="4"/>
      <c r="G268" s="3"/>
      <c r="H268" s="4"/>
      <c r="I268" s="3"/>
      <c r="J268" s="4"/>
      <c r="K268" s="3"/>
      <c r="L268" s="4"/>
      <c r="M268" s="3"/>
      <c r="N268" s="4"/>
      <c r="O268" s="3"/>
      <c r="P268" s="4"/>
      <c r="Q268" s="3"/>
      <c r="R268" s="4"/>
      <c r="S268" s="3"/>
      <c r="T268" s="4"/>
      <c r="U268" s="3"/>
      <c r="V268" s="4"/>
      <c r="W268" s="3"/>
      <c r="X268" s="4"/>
      <c r="Y268" s="3"/>
      <c r="Z268" s="4"/>
      <c r="AA268" s="3"/>
      <c r="AB268" s="4"/>
      <c r="AC268" s="3"/>
      <c r="AD268" s="4"/>
      <c r="AE268" s="3"/>
      <c r="AF268" s="4"/>
      <c r="AG268" s="3"/>
      <c r="AH268" s="4"/>
      <c r="AI268" s="3"/>
      <c r="AJ268" s="4"/>
      <c r="AK268" s="3"/>
      <c r="AL268" s="4"/>
      <c r="AM268" s="3"/>
      <c r="AN268" s="4"/>
      <c r="AO268" s="3"/>
      <c r="AP268" s="4"/>
      <c r="AQ268" s="3"/>
      <c r="AR268" s="4"/>
      <c r="AS268" s="3"/>
      <c r="AT268" s="4"/>
      <c r="AU268" s="3"/>
      <c r="AV268" s="4"/>
      <c r="AW268" s="3"/>
      <c r="AX268" s="4"/>
      <c r="AY268" s="3"/>
      <c r="AZ268" s="4"/>
      <c r="BA268" s="3"/>
      <c r="BB268" s="4"/>
      <c r="BC268" s="3"/>
      <c r="BD268" s="4"/>
      <c r="BE268" s="3"/>
      <c r="BF268" s="4"/>
      <c r="BG268" s="3"/>
      <c r="BH268" s="4"/>
      <c r="BI268" s="3"/>
      <c r="BJ268" s="4"/>
      <c r="BK268" s="3"/>
      <c r="BL268" s="4"/>
      <c r="BM268" s="3"/>
      <c r="BN268" s="4"/>
      <c r="BO268" s="3"/>
      <c r="BP268" s="4"/>
      <c r="BQ268" s="3"/>
      <c r="BR268" s="4"/>
      <c r="BS268" s="3"/>
      <c r="BT268" s="4"/>
      <c r="BU268" s="3"/>
      <c r="BV268" s="4"/>
      <c r="BW268" s="3"/>
      <c r="BX268" s="4"/>
      <c r="BY268" s="3"/>
      <c r="BZ268" s="4"/>
      <c r="CA268" s="3"/>
      <c r="CB268" s="4"/>
      <c r="CC268" s="3"/>
      <c r="CD268" s="4"/>
    </row>
    <row r="269">
      <c r="A269" s="3"/>
      <c r="B269" s="4"/>
      <c r="C269" s="3"/>
      <c r="D269" s="4"/>
      <c r="E269" s="3"/>
      <c r="F269" s="4"/>
      <c r="G269" s="3"/>
      <c r="H269" s="4"/>
      <c r="I269" s="3"/>
      <c r="J269" s="4"/>
      <c r="K269" s="3"/>
      <c r="L269" s="4"/>
      <c r="M269" s="3"/>
      <c r="N269" s="4"/>
      <c r="O269" s="3"/>
      <c r="P269" s="4"/>
      <c r="Q269" s="3"/>
      <c r="R269" s="4"/>
      <c r="S269" s="3"/>
      <c r="T269" s="4"/>
      <c r="U269" s="3"/>
      <c r="V269" s="4"/>
      <c r="W269" s="3"/>
      <c r="X269" s="4"/>
      <c r="Y269" s="3"/>
      <c r="Z269" s="4"/>
      <c r="AA269" s="3"/>
      <c r="AB269" s="4"/>
      <c r="AC269" s="3"/>
      <c r="AD269" s="4"/>
      <c r="AE269" s="3"/>
      <c r="AF269" s="4"/>
      <c r="AG269" s="3"/>
      <c r="AH269" s="4"/>
      <c r="AI269" s="3"/>
      <c r="AJ269" s="4"/>
      <c r="AK269" s="3"/>
      <c r="AL269" s="4"/>
      <c r="AM269" s="3"/>
      <c r="AN269" s="4"/>
      <c r="AO269" s="3"/>
      <c r="AP269" s="4"/>
      <c r="AQ269" s="3"/>
      <c r="AR269" s="4"/>
      <c r="AS269" s="3"/>
      <c r="AT269" s="4"/>
      <c r="AU269" s="3"/>
      <c r="AV269" s="4"/>
      <c r="AW269" s="3"/>
      <c r="AX269" s="4"/>
      <c r="AY269" s="3"/>
      <c r="AZ269" s="4"/>
      <c r="BA269" s="3"/>
      <c r="BB269" s="4"/>
      <c r="BC269" s="3"/>
      <c r="BD269" s="4"/>
      <c r="BE269" s="3"/>
      <c r="BF269" s="4"/>
      <c r="BG269" s="3"/>
      <c r="BH269" s="4"/>
      <c r="BI269" s="3"/>
      <c r="BJ269" s="4"/>
      <c r="BK269" s="3"/>
      <c r="BL269" s="4"/>
      <c r="BM269" s="3"/>
      <c r="BN269" s="4"/>
      <c r="BO269" s="3"/>
      <c r="BP269" s="4"/>
      <c r="BQ269" s="3"/>
      <c r="BR269" s="4"/>
      <c r="BS269" s="3"/>
      <c r="BT269" s="4"/>
      <c r="BU269" s="3"/>
      <c r="BV269" s="4"/>
      <c r="BW269" s="3"/>
      <c r="BX269" s="4"/>
      <c r="BY269" s="3"/>
      <c r="BZ269" s="4"/>
      <c r="CA269" s="3"/>
      <c r="CB269" s="4"/>
      <c r="CC269" s="3"/>
      <c r="CD269" s="4"/>
    </row>
    <row r="270">
      <c r="A270" s="3"/>
      <c r="B270" s="4"/>
      <c r="C270" s="3"/>
      <c r="D270" s="4"/>
      <c r="E270" s="3"/>
      <c r="F270" s="4"/>
      <c r="G270" s="3"/>
      <c r="H270" s="4"/>
      <c r="I270" s="3"/>
      <c r="J270" s="4"/>
      <c r="K270" s="3"/>
      <c r="L270" s="4"/>
      <c r="M270" s="3"/>
      <c r="N270" s="4"/>
      <c r="O270" s="3"/>
      <c r="P270" s="4"/>
      <c r="Q270" s="3"/>
      <c r="R270" s="4"/>
      <c r="S270" s="3"/>
      <c r="T270" s="4"/>
      <c r="U270" s="3"/>
      <c r="V270" s="4"/>
      <c r="W270" s="3"/>
      <c r="X270" s="4"/>
      <c r="Y270" s="3"/>
      <c r="Z270" s="4"/>
      <c r="AA270" s="3"/>
      <c r="AB270" s="4"/>
      <c r="AC270" s="3"/>
      <c r="AD270" s="4"/>
      <c r="AE270" s="3"/>
      <c r="AF270" s="4"/>
      <c r="AG270" s="3"/>
      <c r="AH270" s="4"/>
      <c r="AI270" s="3"/>
      <c r="AJ270" s="4"/>
      <c r="AK270" s="3"/>
      <c r="AL270" s="4"/>
      <c r="AM270" s="3"/>
      <c r="AN270" s="4"/>
      <c r="AO270" s="3"/>
      <c r="AP270" s="4"/>
      <c r="AQ270" s="3"/>
      <c r="AR270" s="4"/>
      <c r="AS270" s="3"/>
      <c r="AT270" s="4"/>
      <c r="AU270" s="3"/>
      <c r="AV270" s="4"/>
      <c r="AW270" s="3"/>
      <c r="AX270" s="4"/>
      <c r="AY270" s="3"/>
      <c r="AZ270" s="4"/>
      <c r="BA270" s="3"/>
      <c r="BB270" s="4"/>
      <c r="BC270" s="3"/>
      <c r="BD270" s="4"/>
      <c r="BE270" s="3"/>
      <c r="BF270" s="4"/>
      <c r="BG270" s="3"/>
      <c r="BH270" s="4"/>
      <c r="BI270" s="3"/>
      <c r="BJ270" s="4"/>
      <c r="BK270" s="3"/>
      <c r="BL270" s="4"/>
      <c r="BM270" s="3"/>
      <c r="BN270" s="4"/>
      <c r="BO270" s="3"/>
      <c r="BP270" s="4"/>
      <c r="BQ270" s="3"/>
      <c r="BR270" s="4"/>
      <c r="BS270" s="3"/>
      <c r="BT270" s="4"/>
      <c r="BU270" s="3"/>
      <c r="BV270" s="4"/>
      <c r="BW270" s="3"/>
      <c r="BX270" s="4"/>
      <c r="BY270" s="3"/>
      <c r="BZ270" s="4"/>
      <c r="CA270" s="3"/>
      <c r="CB270" s="4"/>
      <c r="CC270" s="3"/>
      <c r="CD270" s="4"/>
    </row>
    <row r="271">
      <c r="A271" s="3"/>
      <c r="B271" s="4"/>
      <c r="C271" s="3"/>
      <c r="D271" s="4"/>
      <c r="E271" s="3"/>
      <c r="F271" s="4"/>
      <c r="G271" s="3"/>
      <c r="H271" s="4"/>
      <c r="I271" s="3"/>
      <c r="J271" s="4"/>
      <c r="K271" s="3"/>
      <c r="L271" s="4"/>
      <c r="M271" s="3"/>
      <c r="N271" s="4"/>
      <c r="O271" s="3"/>
      <c r="P271" s="4"/>
      <c r="Q271" s="3"/>
      <c r="R271" s="4"/>
      <c r="S271" s="3"/>
      <c r="T271" s="4"/>
      <c r="U271" s="3"/>
      <c r="V271" s="4"/>
      <c r="W271" s="3"/>
      <c r="X271" s="4"/>
      <c r="Y271" s="3"/>
      <c r="Z271" s="4"/>
      <c r="AA271" s="3"/>
      <c r="AB271" s="4"/>
      <c r="AC271" s="3"/>
      <c r="AD271" s="4"/>
      <c r="AE271" s="3"/>
      <c r="AF271" s="4"/>
      <c r="AG271" s="3"/>
      <c r="AH271" s="4"/>
      <c r="AI271" s="3"/>
      <c r="AJ271" s="4"/>
      <c r="AK271" s="3"/>
      <c r="AL271" s="4"/>
      <c r="AM271" s="3"/>
      <c r="AN271" s="4"/>
      <c r="AO271" s="3"/>
      <c r="AP271" s="4"/>
      <c r="AQ271" s="3"/>
      <c r="AR271" s="4"/>
      <c r="AS271" s="3"/>
      <c r="AT271" s="4"/>
      <c r="AU271" s="3"/>
      <c r="AV271" s="4"/>
      <c r="AW271" s="3"/>
      <c r="AX271" s="4"/>
      <c r="AY271" s="3"/>
      <c r="AZ271" s="4"/>
      <c r="BA271" s="3"/>
      <c r="BB271" s="4"/>
      <c r="BC271" s="3"/>
      <c r="BD271" s="4"/>
      <c r="BE271" s="3"/>
      <c r="BF271" s="4"/>
      <c r="BG271" s="3"/>
      <c r="BH271" s="4"/>
      <c r="BI271" s="3"/>
      <c r="BJ271" s="4"/>
      <c r="BK271" s="3"/>
      <c r="BL271" s="4"/>
      <c r="BM271" s="3"/>
      <c r="BN271" s="4"/>
      <c r="BO271" s="3"/>
      <c r="BP271" s="4"/>
      <c r="BQ271" s="3"/>
      <c r="BR271" s="4"/>
      <c r="BS271" s="3"/>
      <c r="BT271" s="4"/>
      <c r="BU271" s="3"/>
      <c r="BV271" s="4"/>
      <c r="BW271" s="3"/>
      <c r="BX271" s="4"/>
      <c r="BY271" s="3"/>
      <c r="BZ271" s="4"/>
      <c r="CA271" s="3"/>
      <c r="CB271" s="4"/>
      <c r="CC271" s="3"/>
      <c r="CD271" s="4"/>
    </row>
    <row r="272">
      <c r="A272" s="3"/>
      <c r="B272" s="4"/>
      <c r="C272" s="3"/>
      <c r="D272" s="4"/>
      <c r="E272" s="3"/>
      <c r="F272" s="4"/>
      <c r="G272" s="3"/>
      <c r="H272" s="4"/>
      <c r="I272" s="3"/>
      <c r="J272" s="4"/>
      <c r="K272" s="3"/>
      <c r="L272" s="4"/>
      <c r="M272" s="3"/>
      <c r="N272" s="4"/>
      <c r="O272" s="3"/>
      <c r="P272" s="4"/>
      <c r="Q272" s="3"/>
      <c r="R272" s="4"/>
      <c r="S272" s="3"/>
      <c r="T272" s="4"/>
      <c r="U272" s="3"/>
      <c r="V272" s="4"/>
      <c r="W272" s="3"/>
      <c r="X272" s="4"/>
      <c r="Y272" s="3"/>
      <c r="Z272" s="4"/>
      <c r="AA272" s="3"/>
      <c r="AB272" s="4"/>
      <c r="AC272" s="3"/>
      <c r="AD272" s="4"/>
      <c r="AE272" s="3"/>
      <c r="AF272" s="4"/>
      <c r="AG272" s="3"/>
      <c r="AH272" s="4"/>
      <c r="AI272" s="3"/>
      <c r="AJ272" s="4"/>
      <c r="AK272" s="3"/>
      <c r="AL272" s="4"/>
      <c r="AM272" s="3"/>
      <c r="AN272" s="4"/>
      <c r="AO272" s="3"/>
      <c r="AP272" s="4"/>
      <c r="AQ272" s="3"/>
      <c r="AR272" s="4"/>
      <c r="AS272" s="3"/>
      <c r="AT272" s="4"/>
      <c r="AU272" s="3"/>
      <c r="AV272" s="4"/>
      <c r="AW272" s="3"/>
      <c r="AX272" s="4"/>
      <c r="AY272" s="3"/>
      <c r="AZ272" s="4"/>
      <c r="BA272" s="3"/>
      <c r="BB272" s="4"/>
      <c r="BC272" s="3"/>
      <c r="BD272" s="4"/>
      <c r="BE272" s="3"/>
      <c r="BF272" s="4"/>
      <c r="BG272" s="3"/>
      <c r="BH272" s="4"/>
      <c r="BI272" s="3"/>
      <c r="BJ272" s="4"/>
      <c r="BK272" s="3"/>
      <c r="BL272" s="4"/>
      <c r="BM272" s="3"/>
      <c r="BN272" s="4"/>
      <c r="BO272" s="3"/>
      <c r="BP272" s="4"/>
      <c r="BQ272" s="3"/>
      <c r="BR272" s="4"/>
      <c r="BS272" s="3"/>
      <c r="BT272" s="4"/>
      <c r="BU272" s="3"/>
      <c r="BV272" s="4"/>
      <c r="BW272" s="3"/>
      <c r="BX272" s="4"/>
      <c r="BY272" s="3"/>
      <c r="BZ272" s="4"/>
      <c r="CA272" s="3"/>
      <c r="CB272" s="4"/>
      <c r="CC272" s="3"/>
      <c r="CD272" s="4"/>
    </row>
    <row r="273">
      <c r="A273" s="3"/>
      <c r="B273" s="4"/>
      <c r="C273" s="3"/>
      <c r="D273" s="4"/>
      <c r="E273" s="3"/>
      <c r="F273" s="4"/>
      <c r="G273" s="3"/>
      <c r="H273" s="4"/>
      <c r="I273" s="3"/>
      <c r="J273" s="4"/>
      <c r="K273" s="3"/>
      <c r="L273" s="4"/>
      <c r="M273" s="3"/>
      <c r="N273" s="4"/>
      <c r="O273" s="3"/>
      <c r="P273" s="4"/>
      <c r="Q273" s="3"/>
      <c r="R273" s="4"/>
      <c r="S273" s="3"/>
      <c r="T273" s="4"/>
      <c r="U273" s="3"/>
      <c r="V273" s="4"/>
      <c r="W273" s="3"/>
      <c r="X273" s="4"/>
      <c r="Y273" s="3"/>
      <c r="Z273" s="4"/>
      <c r="AA273" s="3"/>
      <c r="AB273" s="4"/>
      <c r="AC273" s="3"/>
      <c r="AD273" s="4"/>
      <c r="AE273" s="3"/>
      <c r="AF273" s="4"/>
      <c r="AG273" s="3"/>
      <c r="AH273" s="4"/>
      <c r="AI273" s="3"/>
      <c r="AJ273" s="4"/>
      <c r="AK273" s="3"/>
      <c r="AL273" s="4"/>
      <c r="AM273" s="3"/>
      <c r="AN273" s="4"/>
      <c r="AO273" s="3"/>
      <c r="AP273" s="4"/>
      <c r="AQ273" s="3"/>
      <c r="AR273" s="4"/>
      <c r="AS273" s="3"/>
      <c r="AT273" s="4"/>
      <c r="AU273" s="3"/>
      <c r="AV273" s="4"/>
      <c r="AW273" s="3"/>
      <c r="AX273" s="4"/>
      <c r="AY273" s="3"/>
      <c r="AZ273" s="4"/>
      <c r="BA273" s="3"/>
      <c r="BB273" s="4"/>
      <c r="BC273" s="3"/>
      <c r="BD273" s="4"/>
      <c r="BE273" s="3"/>
      <c r="BF273" s="4"/>
      <c r="BG273" s="3"/>
      <c r="BH273" s="4"/>
      <c r="BI273" s="3"/>
      <c r="BJ273" s="4"/>
      <c r="BK273" s="3"/>
      <c r="BL273" s="4"/>
      <c r="BM273" s="3"/>
      <c r="BN273" s="4"/>
      <c r="BO273" s="3"/>
      <c r="BP273" s="4"/>
      <c r="BQ273" s="3"/>
      <c r="BR273" s="4"/>
      <c r="BS273" s="3"/>
      <c r="BT273" s="4"/>
      <c r="BU273" s="3"/>
      <c r="BV273" s="4"/>
      <c r="BW273" s="3"/>
      <c r="BX273" s="4"/>
      <c r="BY273" s="3"/>
      <c r="BZ273" s="4"/>
      <c r="CA273" s="3"/>
      <c r="CB273" s="4"/>
      <c r="CC273" s="3"/>
      <c r="CD273" s="4"/>
    </row>
    <row r="274">
      <c r="A274" s="3"/>
      <c r="B274" s="4"/>
      <c r="C274" s="3"/>
      <c r="D274" s="4"/>
      <c r="E274" s="3"/>
      <c r="F274" s="4"/>
      <c r="G274" s="3"/>
      <c r="H274" s="4"/>
      <c r="I274" s="3"/>
      <c r="J274" s="4"/>
      <c r="K274" s="3"/>
      <c r="L274" s="4"/>
      <c r="M274" s="3"/>
      <c r="N274" s="4"/>
      <c r="O274" s="3"/>
      <c r="P274" s="4"/>
      <c r="Q274" s="3"/>
      <c r="R274" s="4"/>
      <c r="S274" s="3"/>
      <c r="T274" s="4"/>
      <c r="U274" s="3"/>
      <c r="V274" s="4"/>
      <c r="W274" s="3"/>
      <c r="X274" s="4"/>
      <c r="Y274" s="3"/>
      <c r="Z274" s="4"/>
      <c r="AA274" s="3"/>
      <c r="AB274" s="4"/>
      <c r="AC274" s="3"/>
      <c r="AD274" s="4"/>
      <c r="AE274" s="3"/>
      <c r="AF274" s="4"/>
      <c r="AG274" s="3"/>
      <c r="AH274" s="4"/>
      <c r="AI274" s="3"/>
      <c r="AJ274" s="4"/>
      <c r="AK274" s="3"/>
      <c r="AL274" s="4"/>
      <c r="AM274" s="3"/>
      <c r="AN274" s="4"/>
      <c r="AO274" s="3"/>
      <c r="AP274" s="4"/>
      <c r="AQ274" s="3"/>
      <c r="AR274" s="4"/>
      <c r="AS274" s="3"/>
      <c r="AT274" s="4"/>
      <c r="AU274" s="3"/>
      <c r="AV274" s="4"/>
      <c r="AW274" s="3"/>
      <c r="AX274" s="4"/>
      <c r="AY274" s="3"/>
      <c r="AZ274" s="4"/>
      <c r="BA274" s="3"/>
      <c r="BB274" s="4"/>
      <c r="BC274" s="3"/>
      <c r="BD274" s="4"/>
      <c r="BE274" s="3"/>
      <c r="BF274" s="4"/>
      <c r="BG274" s="3"/>
      <c r="BH274" s="4"/>
      <c r="BI274" s="3"/>
      <c r="BJ274" s="4"/>
      <c r="BK274" s="3"/>
      <c r="BL274" s="4"/>
      <c r="BM274" s="3"/>
      <c r="BN274" s="4"/>
      <c r="BO274" s="3"/>
      <c r="BP274" s="4"/>
      <c r="BQ274" s="3"/>
      <c r="BR274" s="4"/>
      <c r="BS274" s="3"/>
      <c r="BT274" s="4"/>
      <c r="BU274" s="3"/>
      <c r="BV274" s="4"/>
      <c r="BW274" s="3"/>
      <c r="BX274" s="4"/>
      <c r="BY274" s="3"/>
      <c r="BZ274" s="4"/>
      <c r="CA274" s="3"/>
      <c r="CB274" s="4"/>
      <c r="CC274" s="3"/>
      <c r="CD274" s="4"/>
    </row>
    <row r="275">
      <c r="A275" s="3"/>
      <c r="B275" s="4"/>
      <c r="C275" s="3"/>
      <c r="D275" s="4"/>
      <c r="E275" s="3"/>
      <c r="F275" s="4"/>
      <c r="G275" s="3"/>
      <c r="H275" s="4"/>
      <c r="I275" s="3"/>
      <c r="J275" s="4"/>
      <c r="K275" s="3"/>
      <c r="L275" s="4"/>
      <c r="M275" s="3"/>
      <c r="N275" s="4"/>
      <c r="O275" s="3"/>
      <c r="P275" s="4"/>
      <c r="Q275" s="3"/>
      <c r="R275" s="4"/>
      <c r="S275" s="3"/>
      <c r="T275" s="4"/>
      <c r="U275" s="3"/>
      <c r="V275" s="4"/>
      <c r="W275" s="3"/>
      <c r="X275" s="4"/>
      <c r="Y275" s="3"/>
      <c r="Z275" s="4"/>
      <c r="AA275" s="3"/>
      <c r="AB275" s="4"/>
      <c r="AC275" s="3"/>
      <c r="AD275" s="4"/>
      <c r="AE275" s="3"/>
      <c r="AF275" s="4"/>
      <c r="AG275" s="3"/>
      <c r="AH275" s="4"/>
      <c r="AI275" s="3"/>
      <c r="AJ275" s="4"/>
      <c r="AK275" s="3"/>
      <c r="AL275" s="4"/>
      <c r="AM275" s="3"/>
      <c r="AN275" s="4"/>
      <c r="AO275" s="3"/>
      <c r="AP275" s="4"/>
      <c r="AQ275" s="3"/>
      <c r="AR275" s="4"/>
      <c r="AS275" s="3"/>
      <c r="AT275" s="4"/>
      <c r="AU275" s="3"/>
      <c r="AV275" s="4"/>
      <c r="AW275" s="3"/>
      <c r="AX275" s="4"/>
      <c r="AY275" s="3"/>
      <c r="AZ275" s="4"/>
      <c r="BA275" s="3"/>
      <c r="BB275" s="4"/>
      <c r="BC275" s="3"/>
      <c r="BD275" s="4"/>
      <c r="BE275" s="3"/>
      <c r="BF275" s="4"/>
      <c r="BG275" s="3"/>
      <c r="BH275" s="4"/>
      <c r="BI275" s="3"/>
      <c r="BJ275" s="4"/>
      <c r="BK275" s="3"/>
      <c r="BL275" s="4"/>
      <c r="BM275" s="3"/>
      <c r="BN275" s="4"/>
      <c r="BO275" s="3"/>
      <c r="BP275" s="4"/>
      <c r="BQ275" s="3"/>
      <c r="BR275" s="4"/>
      <c r="BS275" s="3"/>
      <c r="BT275" s="4"/>
      <c r="BU275" s="3"/>
      <c r="BV275" s="4"/>
      <c r="BW275" s="3"/>
      <c r="BX275" s="4"/>
      <c r="BY275" s="3"/>
      <c r="BZ275" s="4"/>
      <c r="CA275" s="3"/>
      <c r="CB275" s="4"/>
      <c r="CC275" s="3"/>
      <c r="CD275" s="4"/>
    </row>
    <row r="276">
      <c r="A276" s="3"/>
      <c r="B276" s="4"/>
      <c r="C276" s="3"/>
      <c r="D276" s="4"/>
      <c r="E276" s="3"/>
      <c r="F276" s="4"/>
      <c r="G276" s="3"/>
      <c r="H276" s="4"/>
      <c r="I276" s="3"/>
      <c r="J276" s="4"/>
      <c r="K276" s="3"/>
      <c r="L276" s="4"/>
      <c r="M276" s="3"/>
      <c r="N276" s="4"/>
      <c r="O276" s="3"/>
      <c r="P276" s="4"/>
      <c r="Q276" s="3"/>
      <c r="R276" s="4"/>
      <c r="S276" s="3"/>
      <c r="T276" s="4"/>
      <c r="U276" s="3"/>
      <c r="V276" s="4"/>
      <c r="W276" s="3"/>
      <c r="X276" s="4"/>
      <c r="Y276" s="3"/>
      <c r="Z276" s="4"/>
      <c r="AA276" s="3"/>
      <c r="AB276" s="4"/>
      <c r="AC276" s="3"/>
      <c r="AD276" s="4"/>
      <c r="AE276" s="3"/>
      <c r="AF276" s="4"/>
      <c r="AG276" s="3"/>
      <c r="AH276" s="4"/>
      <c r="AI276" s="3"/>
      <c r="AJ276" s="4"/>
      <c r="AK276" s="3"/>
      <c r="AL276" s="4"/>
      <c r="AM276" s="3"/>
      <c r="AN276" s="4"/>
      <c r="AO276" s="3"/>
      <c r="AP276" s="4"/>
      <c r="AQ276" s="3"/>
      <c r="AR276" s="4"/>
      <c r="AS276" s="3"/>
      <c r="AT276" s="4"/>
      <c r="AU276" s="3"/>
      <c r="AV276" s="4"/>
      <c r="AW276" s="3"/>
      <c r="AX276" s="4"/>
      <c r="AY276" s="3"/>
      <c r="AZ276" s="4"/>
      <c r="BA276" s="3"/>
      <c r="BB276" s="4"/>
      <c r="BC276" s="3"/>
      <c r="BD276" s="4"/>
      <c r="BE276" s="3"/>
      <c r="BF276" s="4"/>
      <c r="BG276" s="3"/>
      <c r="BH276" s="4"/>
      <c r="BI276" s="3"/>
      <c r="BJ276" s="4"/>
      <c r="BK276" s="3"/>
      <c r="BL276" s="4"/>
      <c r="BM276" s="3"/>
      <c r="BN276" s="4"/>
      <c r="BO276" s="3"/>
      <c r="BP276" s="4"/>
      <c r="BQ276" s="3"/>
      <c r="BR276" s="4"/>
      <c r="BS276" s="3"/>
      <c r="BT276" s="4"/>
      <c r="BU276" s="3"/>
      <c r="BV276" s="4"/>
      <c r="BW276" s="3"/>
      <c r="BX276" s="4"/>
      <c r="BY276" s="3"/>
      <c r="BZ276" s="4"/>
      <c r="CA276" s="3"/>
      <c r="CB276" s="4"/>
      <c r="CC276" s="3"/>
      <c r="CD276" s="4"/>
    </row>
    <row r="277">
      <c r="A277" s="3"/>
      <c r="B277" s="4"/>
      <c r="C277" s="3"/>
      <c r="D277" s="4"/>
      <c r="E277" s="3"/>
      <c r="F277" s="4"/>
      <c r="G277" s="3"/>
      <c r="H277" s="4"/>
      <c r="I277" s="3"/>
      <c r="J277" s="4"/>
      <c r="K277" s="3"/>
      <c r="L277" s="4"/>
      <c r="M277" s="3"/>
      <c r="N277" s="4"/>
      <c r="O277" s="3"/>
      <c r="P277" s="4"/>
      <c r="Q277" s="3"/>
      <c r="R277" s="4"/>
      <c r="S277" s="3"/>
      <c r="T277" s="4"/>
      <c r="U277" s="3"/>
      <c r="V277" s="4"/>
      <c r="W277" s="3"/>
      <c r="X277" s="4"/>
      <c r="Y277" s="3"/>
      <c r="Z277" s="4"/>
      <c r="AA277" s="3"/>
      <c r="AB277" s="4"/>
      <c r="AC277" s="3"/>
      <c r="AD277" s="4"/>
      <c r="AE277" s="3"/>
      <c r="AF277" s="4"/>
      <c r="AG277" s="3"/>
      <c r="AH277" s="4"/>
      <c r="AI277" s="3"/>
      <c r="AJ277" s="4"/>
      <c r="AK277" s="3"/>
      <c r="AL277" s="4"/>
      <c r="AM277" s="3"/>
      <c r="AN277" s="4"/>
      <c r="AO277" s="3"/>
      <c r="AP277" s="4"/>
      <c r="AQ277" s="3"/>
      <c r="AR277" s="4"/>
      <c r="AS277" s="3"/>
      <c r="AT277" s="4"/>
      <c r="AU277" s="3"/>
      <c r="AV277" s="4"/>
      <c r="AW277" s="3"/>
      <c r="AX277" s="4"/>
      <c r="AY277" s="3"/>
      <c r="AZ277" s="4"/>
      <c r="BA277" s="3"/>
      <c r="BB277" s="4"/>
      <c r="BC277" s="3"/>
      <c r="BD277" s="4"/>
      <c r="BE277" s="3"/>
      <c r="BF277" s="4"/>
      <c r="BG277" s="3"/>
      <c r="BH277" s="4"/>
      <c r="BI277" s="3"/>
      <c r="BJ277" s="4"/>
      <c r="BK277" s="3"/>
      <c r="BL277" s="4"/>
      <c r="BM277" s="3"/>
      <c r="BN277" s="4"/>
      <c r="BO277" s="3"/>
      <c r="BP277" s="4"/>
      <c r="BQ277" s="3"/>
      <c r="BR277" s="4"/>
      <c r="BS277" s="3"/>
      <c r="BT277" s="4"/>
      <c r="BU277" s="3"/>
      <c r="BV277" s="4"/>
      <c r="BW277" s="3"/>
      <c r="BX277" s="4"/>
      <c r="BY277" s="3"/>
      <c r="BZ277" s="4"/>
      <c r="CA277" s="3"/>
      <c r="CB277" s="4"/>
      <c r="CC277" s="3"/>
      <c r="CD277" s="4"/>
    </row>
    <row r="278">
      <c r="A278" s="3"/>
      <c r="B278" s="4"/>
      <c r="C278" s="3"/>
      <c r="D278" s="4"/>
      <c r="E278" s="3"/>
      <c r="F278" s="4"/>
      <c r="G278" s="3"/>
      <c r="H278" s="4"/>
      <c r="I278" s="3"/>
      <c r="J278" s="4"/>
      <c r="K278" s="3"/>
      <c r="L278" s="4"/>
      <c r="M278" s="3"/>
      <c r="N278" s="4"/>
      <c r="O278" s="3"/>
      <c r="P278" s="4"/>
      <c r="Q278" s="3"/>
      <c r="R278" s="4"/>
      <c r="S278" s="3"/>
      <c r="T278" s="4"/>
      <c r="U278" s="3"/>
      <c r="V278" s="4"/>
      <c r="W278" s="3"/>
      <c r="X278" s="4"/>
      <c r="Y278" s="3"/>
      <c r="Z278" s="4"/>
      <c r="AA278" s="3"/>
      <c r="AB278" s="4"/>
      <c r="AC278" s="3"/>
      <c r="AD278" s="4"/>
      <c r="AE278" s="3"/>
      <c r="AF278" s="4"/>
      <c r="AG278" s="3"/>
      <c r="AH278" s="4"/>
      <c r="AI278" s="3"/>
      <c r="AJ278" s="4"/>
      <c r="AK278" s="3"/>
      <c r="AL278" s="4"/>
      <c r="AM278" s="3"/>
      <c r="AN278" s="4"/>
      <c r="AO278" s="3"/>
      <c r="AP278" s="4"/>
      <c r="AQ278" s="3"/>
      <c r="AR278" s="4"/>
      <c r="AS278" s="3"/>
      <c r="AT278" s="4"/>
      <c r="AU278" s="3"/>
      <c r="AV278" s="4"/>
      <c r="AW278" s="3"/>
      <c r="AX278" s="4"/>
      <c r="AY278" s="3"/>
      <c r="AZ278" s="4"/>
      <c r="BA278" s="3"/>
      <c r="BB278" s="4"/>
      <c r="BC278" s="3"/>
      <c r="BD278" s="4"/>
      <c r="BE278" s="3"/>
      <c r="BF278" s="4"/>
      <c r="BG278" s="3"/>
      <c r="BH278" s="4"/>
      <c r="BI278" s="3"/>
      <c r="BJ278" s="4"/>
      <c r="BK278" s="3"/>
      <c r="BL278" s="4"/>
      <c r="BM278" s="3"/>
      <c r="BN278" s="4"/>
      <c r="BO278" s="3"/>
      <c r="BP278" s="4"/>
      <c r="BQ278" s="3"/>
      <c r="BR278" s="4"/>
      <c r="BS278" s="3"/>
      <c r="BT278" s="4"/>
      <c r="BU278" s="3"/>
      <c r="BV278" s="4"/>
      <c r="BW278" s="3"/>
      <c r="BX278" s="4"/>
      <c r="BY278" s="3"/>
      <c r="BZ278" s="4"/>
      <c r="CA278" s="3"/>
      <c r="CB278" s="4"/>
      <c r="CC278" s="3"/>
      <c r="CD278" s="4"/>
    </row>
    <row r="279">
      <c r="A279" s="3"/>
      <c r="B279" s="4"/>
      <c r="C279" s="3"/>
      <c r="D279" s="4"/>
      <c r="E279" s="3"/>
      <c r="F279" s="4"/>
      <c r="G279" s="3"/>
      <c r="H279" s="4"/>
      <c r="I279" s="3"/>
      <c r="J279" s="4"/>
      <c r="K279" s="3"/>
      <c r="L279" s="4"/>
      <c r="M279" s="3"/>
      <c r="N279" s="4"/>
      <c r="O279" s="3"/>
      <c r="P279" s="4"/>
      <c r="Q279" s="3"/>
      <c r="R279" s="4"/>
      <c r="S279" s="3"/>
      <c r="T279" s="4"/>
      <c r="U279" s="3"/>
      <c r="V279" s="4"/>
      <c r="W279" s="3"/>
      <c r="X279" s="4"/>
      <c r="Y279" s="3"/>
      <c r="Z279" s="4"/>
      <c r="AA279" s="3"/>
      <c r="AB279" s="4"/>
      <c r="AC279" s="3"/>
      <c r="AD279" s="4"/>
      <c r="AE279" s="3"/>
      <c r="AF279" s="4"/>
      <c r="AG279" s="3"/>
      <c r="AH279" s="4"/>
      <c r="AI279" s="3"/>
      <c r="AJ279" s="4"/>
      <c r="AK279" s="3"/>
      <c r="AL279" s="4"/>
      <c r="AM279" s="3"/>
      <c r="AN279" s="4"/>
      <c r="AO279" s="3"/>
      <c r="AP279" s="4"/>
      <c r="AQ279" s="3"/>
      <c r="AR279" s="4"/>
      <c r="AS279" s="3"/>
      <c r="AT279" s="4"/>
      <c r="AU279" s="3"/>
      <c r="AV279" s="4"/>
      <c r="AW279" s="3"/>
      <c r="AX279" s="4"/>
      <c r="AY279" s="3"/>
      <c r="AZ279" s="4"/>
      <c r="BA279" s="3"/>
      <c r="BB279" s="4"/>
      <c r="BC279" s="3"/>
      <c r="BD279" s="4"/>
      <c r="BE279" s="3"/>
      <c r="BF279" s="4"/>
      <c r="BG279" s="3"/>
      <c r="BH279" s="4"/>
      <c r="BI279" s="3"/>
      <c r="BJ279" s="4"/>
      <c r="BK279" s="3"/>
      <c r="BL279" s="4"/>
      <c r="BM279" s="3"/>
      <c r="BN279" s="4"/>
      <c r="BO279" s="3"/>
      <c r="BP279" s="4"/>
      <c r="BQ279" s="3"/>
      <c r="BR279" s="4"/>
      <c r="BS279" s="3"/>
      <c r="BT279" s="4"/>
      <c r="BU279" s="3"/>
      <c r="BV279" s="4"/>
      <c r="BW279" s="3"/>
      <c r="BX279" s="4"/>
      <c r="BY279" s="3"/>
      <c r="BZ279" s="4"/>
      <c r="CA279" s="3"/>
      <c r="CB279" s="4"/>
      <c r="CC279" s="3"/>
      <c r="CD279" s="4"/>
    </row>
    <row r="280">
      <c r="A280" s="3"/>
      <c r="B280" s="4"/>
      <c r="C280" s="3"/>
      <c r="D280" s="4"/>
      <c r="E280" s="3"/>
      <c r="F280" s="4"/>
      <c r="G280" s="3"/>
      <c r="H280" s="4"/>
      <c r="I280" s="3"/>
      <c r="J280" s="4"/>
      <c r="K280" s="3"/>
      <c r="L280" s="4"/>
      <c r="M280" s="3"/>
      <c r="N280" s="4"/>
      <c r="O280" s="3"/>
      <c r="P280" s="4"/>
      <c r="Q280" s="3"/>
      <c r="R280" s="4"/>
      <c r="S280" s="3"/>
      <c r="T280" s="4"/>
      <c r="U280" s="3"/>
      <c r="V280" s="4"/>
      <c r="W280" s="3"/>
      <c r="X280" s="4"/>
      <c r="Y280" s="3"/>
      <c r="Z280" s="4"/>
      <c r="AA280" s="3"/>
      <c r="AB280" s="4"/>
      <c r="AC280" s="3"/>
      <c r="AD280" s="4"/>
      <c r="AE280" s="3"/>
      <c r="AF280" s="4"/>
      <c r="AG280" s="3"/>
      <c r="AH280" s="4"/>
      <c r="AI280" s="3"/>
      <c r="AJ280" s="4"/>
      <c r="AK280" s="3"/>
      <c r="AL280" s="4"/>
      <c r="AM280" s="3"/>
      <c r="AN280" s="4"/>
      <c r="AO280" s="3"/>
      <c r="AP280" s="4"/>
      <c r="AQ280" s="3"/>
      <c r="AR280" s="4"/>
      <c r="AS280" s="3"/>
      <c r="AT280" s="4"/>
      <c r="AU280" s="3"/>
      <c r="AV280" s="4"/>
      <c r="AW280" s="3"/>
      <c r="AX280" s="4"/>
      <c r="AY280" s="3"/>
      <c r="AZ280" s="4"/>
      <c r="BA280" s="3"/>
      <c r="BB280" s="4"/>
      <c r="BC280" s="3"/>
      <c r="BD280" s="4"/>
      <c r="BE280" s="3"/>
      <c r="BF280" s="4"/>
      <c r="BG280" s="3"/>
      <c r="BH280" s="4"/>
      <c r="BI280" s="3"/>
      <c r="BJ280" s="4"/>
      <c r="BK280" s="3"/>
      <c r="BL280" s="4"/>
      <c r="BM280" s="3"/>
      <c r="BN280" s="4"/>
      <c r="BO280" s="3"/>
      <c r="BP280" s="4"/>
      <c r="BQ280" s="3"/>
      <c r="BR280" s="4"/>
      <c r="BS280" s="3"/>
      <c r="BT280" s="4"/>
      <c r="BU280" s="3"/>
      <c r="BV280" s="4"/>
      <c r="BW280" s="3"/>
      <c r="BX280" s="4"/>
      <c r="BY280" s="3"/>
      <c r="BZ280" s="4"/>
      <c r="CA280" s="3"/>
      <c r="CB280" s="4"/>
      <c r="CC280" s="3"/>
      <c r="CD280" s="4"/>
    </row>
    <row r="281">
      <c r="A281" s="3"/>
      <c r="B281" s="4"/>
      <c r="C281" s="3"/>
      <c r="D281" s="4"/>
      <c r="E281" s="3"/>
      <c r="F281" s="4"/>
      <c r="G281" s="3"/>
      <c r="H281" s="4"/>
      <c r="I281" s="3"/>
      <c r="J281" s="4"/>
      <c r="K281" s="3"/>
      <c r="L281" s="4"/>
      <c r="M281" s="3"/>
      <c r="N281" s="4"/>
      <c r="O281" s="3"/>
      <c r="P281" s="4"/>
      <c r="Q281" s="3"/>
      <c r="R281" s="4"/>
      <c r="S281" s="3"/>
      <c r="T281" s="4"/>
      <c r="U281" s="3"/>
      <c r="V281" s="4"/>
      <c r="W281" s="3"/>
      <c r="X281" s="4"/>
      <c r="Y281" s="3"/>
      <c r="Z281" s="4"/>
      <c r="AA281" s="3"/>
      <c r="AB281" s="4"/>
      <c r="AC281" s="3"/>
      <c r="AD281" s="4"/>
      <c r="AE281" s="3"/>
      <c r="AF281" s="4"/>
      <c r="AG281" s="3"/>
      <c r="AH281" s="4"/>
      <c r="AI281" s="3"/>
      <c r="AJ281" s="4"/>
      <c r="AK281" s="3"/>
      <c r="AL281" s="4"/>
      <c r="AM281" s="3"/>
      <c r="AN281" s="4"/>
      <c r="AO281" s="3"/>
      <c r="AP281" s="4"/>
      <c r="AQ281" s="3"/>
      <c r="AR281" s="4"/>
      <c r="AS281" s="3"/>
      <c r="AT281" s="4"/>
      <c r="AU281" s="3"/>
      <c r="AV281" s="4"/>
      <c r="AW281" s="3"/>
      <c r="AX281" s="4"/>
      <c r="AY281" s="3"/>
      <c r="AZ281" s="4"/>
      <c r="BA281" s="3"/>
      <c r="BB281" s="4"/>
      <c r="BC281" s="3"/>
      <c r="BD281" s="4"/>
      <c r="BE281" s="3"/>
      <c r="BF281" s="4"/>
      <c r="BG281" s="3"/>
      <c r="BH281" s="4"/>
      <c r="BI281" s="3"/>
      <c r="BJ281" s="4"/>
      <c r="BK281" s="3"/>
      <c r="BL281" s="4"/>
      <c r="BM281" s="3"/>
      <c r="BN281" s="4"/>
      <c r="BO281" s="3"/>
      <c r="BP281" s="4"/>
      <c r="BQ281" s="3"/>
      <c r="BR281" s="4"/>
      <c r="BS281" s="3"/>
      <c r="BT281" s="4"/>
      <c r="BU281" s="3"/>
      <c r="BV281" s="4"/>
      <c r="BW281" s="3"/>
      <c r="BX281" s="4"/>
      <c r="BY281" s="3"/>
      <c r="BZ281" s="4"/>
      <c r="CA281" s="3"/>
      <c r="CB281" s="4"/>
      <c r="CC281" s="3"/>
      <c r="CD281" s="4"/>
    </row>
    <row r="282">
      <c r="A282" s="3"/>
      <c r="B282" s="4"/>
      <c r="C282" s="3"/>
      <c r="D282" s="4"/>
      <c r="E282" s="3"/>
      <c r="F282" s="4"/>
      <c r="G282" s="3"/>
      <c r="H282" s="4"/>
      <c r="I282" s="3"/>
      <c r="J282" s="4"/>
      <c r="K282" s="3"/>
      <c r="L282" s="4"/>
      <c r="M282" s="3"/>
      <c r="N282" s="4"/>
      <c r="O282" s="3"/>
      <c r="P282" s="4"/>
      <c r="Q282" s="3"/>
      <c r="R282" s="4"/>
      <c r="S282" s="3"/>
      <c r="T282" s="4"/>
      <c r="U282" s="3"/>
      <c r="V282" s="4"/>
      <c r="W282" s="3"/>
      <c r="X282" s="4"/>
      <c r="Y282" s="3"/>
      <c r="Z282" s="4"/>
      <c r="AA282" s="3"/>
      <c r="AB282" s="4"/>
      <c r="AC282" s="3"/>
      <c r="AD282" s="4"/>
      <c r="AE282" s="3"/>
      <c r="AF282" s="4"/>
      <c r="AG282" s="3"/>
      <c r="AH282" s="4"/>
      <c r="AI282" s="3"/>
      <c r="AJ282" s="4"/>
      <c r="AK282" s="3"/>
      <c r="AL282" s="4"/>
      <c r="AM282" s="3"/>
      <c r="AN282" s="4"/>
      <c r="AO282" s="3"/>
      <c r="AP282" s="4"/>
      <c r="AQ282" s="3"/>
      <c r="AR282" s="4"/>
      <c r="AS282" s="3"/>
      <c r="AT282" s="4"/>
      <c r="AU282" s="3"/>
      <c r="AV282" s="4"/>
      <c r="AW282" s="3"/>
      <c r="AX282" s="4"/>
      <c r="AY282" s="3"/>
      <c r="AZ282" s="4"/>
      <c r="BA282" s="3"/>
      <c r="BB282" s="4"/>
      <c r="BC282" s="3"/>
      <c r="BD282" s="4"/>
      <c r="BE282" s="3"/>
      <c r="BF282" s="4"/>
      <c r="BG282" s="3"/>
      <c r="BH282" s="4"/>
      <c r="BI282" s="3"/>
      <c r="BJ282" s="4"/>
      <c r="BK282" s="3"/>
      <c r="BL282" s="4"/>
      <c r="BM282" s="3"/>
      <c r="BN282" s="4"/>
      <c r="BO282" s="3"/>
      <c r="BP282" s="4"/>
      <c r="BQ282" s="3"/>
      <c r="BR282" s="4"/>
      <c r="BS282" s="3"/>
      <c r="BT282" s="4"/>
      <c r="BU282" s="3"/>
      <c r="BV282" s="4"/>
      <c r="BW282" s="3"/>
      <c r="BX282" s="4"/>
      <c r="BY282" s="3"/>
      <c r="BZ282" s="4"/>
      <c r="CA282" s="3"/>
      <c r="CB282" s="4"/>
      <c r="CC282" s="3"/>
      <c r="CD282" s="4"/>
    </row>
    <row r="283">
      <c r="A283" s="3"/>
      <c r="B283" s="4"/>
      <c r="C283" s="3"/>
      <c r="D283" s="4"/>
      <c r="E283" s="3"/>
      <c r="F283" s="4"/>
      <c r="G283" s="3"/>
      <c r="H283" s="4"/>
      <c r="I283" s="3"/>
      <c r="J283" s="4"/>
      <c r="K283" s="3"/>
      <c r="L283" s="4"/>
      <c r="M283" s="3"/>
      <c r="N283" s="4"/>
      <c r="O283" s="3"/>
      <c r="P283" s="4"/>
      <c r="Q283" s="3"/>
      <c r="R283" s="4"/>
      <c r="S283" s="3"/>
      <c r="T283" s="4"/>
      <c r="U283" s="3"/>
      <c r="V283" s="4"/>
      <c r="W283" s="3"/>
      <c r="X283" s="4"/>
      <c r="Y283" s="3"/>
      <c r="Z283" s="4"/>
      <c r="AA283" s="3"/>
      <c r="AB283" s="4"/>
      <c r="AC283" s="3"/>
      <c r="AD283" s="4"/>
      <c r="AE283" s="3"/>
      <c r="AF283" s="4"/>
      <c r="AG283" s="3"/>
      <c r="AH283" s="4"/>
      <c r="AI283" s="3"/>
      <c r="AJ283" s="4"/>
      <c r="AK283" s="3"/>
      <c r="AL283" s="4"/>
      <c r="AM283" s="3"/>
      <c r="AN283" s="4"/>
      <c r="AO283" s="3"/>
      <c r="AP283" s="4"/>
      <c r="AQ283" s="3"/>
      <c r="AR283" s="4"/>
      <c r="AS283" s="3"/>
      <c r="AT283" s="4"/>
      <c r="AU283" s="3"/>
      <c r="AV283" s="4"/>
      <c r="AW283" s="3"/>
      <c r="AX283" s="4"/>
      <c r="AY283" s="3"/>
      <c r="AZ283" s="4"/>
      <c r="BA283" s="3"/>
      <c r="BB283" s="4"/>
      <c r="BC283" s="3"/>
      <c r="BD283" s="4"/>
      <c r="BE283" s="3"/>
      <c r="BF283" s="4"/>
      <c r="BG283" s="3"/>
      <c r="BH283" s="4"/>
      <c r="BI283" s="3"/>
      <c r="BJ283" s="4"/>
      <c r="BK283" s="3"/>
      <c r="BL283" s="4"/>
      <c r="BM283" s="3"/>
      <c r="BN283" s="4"/>
      <c r="BO283" s="3"/>
      <c r="BP283" s="4"/>
      <c r="BQ283" s="3"/>
      <c r="BR283" s="4"/>
      <c r="BS283" s="3"/>
      <c r="BT283" s="4"/>
      <c r="BU283" s="3"/>
      <c r="BV283" s="4"/>
      <c r="BW283" s="3"/>
      <c r="BX283" s="4"/>
      <c r="BY283" s="3"/>
      <c r="BZ283" s="4"/>
      <c r="CA283" s="3"/>
      <c r="CB283" s="4"/>
      <c r="CC283" s="3"/>
      <c r="CD283" s="4"/>
    </row>
    <row r="284">
      <c r="A284" s="3"/>
      <c r="B284" s="4"/>
      <c r="C284" s="3"/>
      <c r="D284" s="4"/>
      <c r="E284" s="3"/>
      <c r="F284" s="4"/>
      <c r="G284" s="3"/>
      <c r="H284" s="4"/>
      <c r="I284" s="3"/>
      <c r="J284" s="4"/>
      <c r="K284" s="3"/>
      <c r="L284" s="4"/>
      <c r="M284" s="3"/>
      <c r="N284" s="4"/>
      <c r="O284" s="3"/>
      <c r="P284" s="4"/>
      <c r="Q284" s="3"/>
      <c r="R284" s="4"/>
      <c r="S284" s="3"/>
      <c r="T284" s="4"/>
      <c r="U284" s="3"/>
      <c r="V284" s="4"/>
      <c r="W284" s="3"/>
      <c r="X284" s="4"/>
      <c r="Y284" s="3"/>
      <c r="Z284" s="4"/>
      <c r="AA284" s="3"/>
      <c r="AB284" s="4"/>
      <c r="AC284" s="3"/>
      <c r="AD284" s="4"/>
      <c r="AE284" s="3"/>
      <c r="AF284" s="4"/>
      <c r="AG284" s="3"/>
      <c r="AH284" s="4"/>
      <c r="AI284" s="3"/>
      <c r="AJ284" s="4"/>
      <c r="AK284" s="3"/>
      <c r="AL284" s="4"/>
      <c r="AM284" s="3"/>
      <c r="AN284" s="4"/>
      <c r="AO284" s="3"/>
      <c r="AP284" s="4"/>
      <c r="AQ284" s="3"/>
      <c r="AR284" s="4"/>
      <c r="AS284" s="3"/>
      <c r="AT284" s="4"/>
      <c r="AU284" s="3"/>
      <c r="AV284" s="4"/>
      <c r="AW284" s="3"/>
      <c r="AX284" s="4"/>
      <c r="AY284" s="3"/>
      <c r="AZ284" s="4"/>
      <c r="BA284" s="3"/>
      <c r="BB284" s="4"/>
      <c r="BC284" s="3"/>
      <c r="BD284" s="4"/>
      <c r="BE284" s="3"/>
      <c r="BF284" s="4"/>
      <c r="BG284" s="3"/>
      <c r="BH284" s="4"/>
      <c r="BI284" s="3"/>
      <c r="BJ284" s="4"/>
      <c r="BK284" s="3"/>
      <c r="BL284" s="4"/>
      <c r="BM284" s="3"/>
      <c r="BN284" s="4"/>
      <c r="BO284" s="3"/>
      <c r="BP284" s="4"/>
      <c r="BQ284" s="3"/>
      <c r="BR284" s="4"/>
      <c r="BS284" s="3"/>
      <c r="BT284" s="4"/>
      <c r="BU284" s="3"/>
      <c r="BV284" s="4"/>
      <c r="BW284" s="3"/>
      <c r="BX284" s="4"/>
      <c r="BY284" s="3"/>
      <c r="BZ284" s="4"/>
      <c r="CA284" s="3"/>
      <c r="CB284" s="4"/>
      <c r="CC284" s="3"/>
      <c r="CD284" s="4"/>
    </row>
    <row r="285">
      <c r="A285" s="3"/>
      <c r="B285" s="4"/>
      <c r="C285" s="3"/>
      <c r="D285" s="4"/>
      <c r="E285" s="3"/>
      <c r="F285" s="4"/>
      <c r="G285" s="3"/>
      <c r="H285" s="4"/>
      <c r="I285" s="3"/>
      <c r="J285" s="4"/>
      <c r="K285" s="3"/>
      <c r="L285" s="4"/>
      <c r="M285" s="3"/>
      <c r="N285" s="4"/>
      <c r="O285" s="3"/>
      <c r="P285" s="4"/>
      <c r="Q285" s="3"/>
      <c r="R285" s="4"/>
      <c r="S285" s="3"/>
      <c r="T285" s="4"/>
      <c r="U285" s="3"/>
      <c r="V285" s="4"/>
      <c r="W285" s="3"/>
      <c r="X285" s="4"/>
      <c r="Y285" s="3"/>
      <c r="Z285" s="4"/>
      <c r="AA285" s="3"/>
      <c r="AB285" s="4"/>
      <c r="AC285" s="3"/>
      <c r="AD285" s="4"/>
      <c r="AE285" s="3"/>
      <c r="AF285" s="4"/>
      <c r="AG285" s="3"/>
      <c r="AH285" s="4"/>
      <c r="AI285" s="3"/>
      <c r="AJ285" s="4"/>
      <c r="AK285" s="3"/>
      <c r="AL285" s="4"/>
      <c r="AM285" s="3"/>
      <c r="AN285" s="4"/>
      <c r="AO285" s="3"/>
      <c r="AP285" s="4"/>
      <c r="AQ285" s="3"/>
      <c r="AR285" s="4"/>
      <c r="AS285" s="3"/>
      <c r="AT285" s="4"/>
      <c r="AU285" s="3"/>
      <c r="AV285" s="4"/>
      <c r="AW285" s="3"/>
      <c r="AX285" s="4"/>
      <c r="AY285" s="3"/>
      <c r="AZ285" s="4"/>
      <c r="BA285" s="3"/>
      <c r="BB285" s="4"/>
      <c r="BC285" s="3"/>
      <c r="BD285" s="4"/>
      <c r="BE285" s="3"/>
      <c r="BF285" s="4"/>
      <c r="BG285" s="3"/>
      <c r="BH285" s="4"/>
      <c r="BI285" s="3"/>
      <c r="BJ285" s="4"/>
      <c r="BK285" s="3"/>
      <c r="BL285" s="4"/>
      <c r="BM285" s="3"/>
      <c r="BN285" s="4"/>
      <c r="BO285" s="3"/>
      <c r="BP285" s="4"/>
      <c r="BQ285" s="3"/>
      <c r="BR285" s="4"/>
      <c r="BS285" s="3"/>
      <c r="BT285" s="4"/>
      <c r="BU285" s="3"/>
      <c r="BV285" s="4"/>
      <c r="BW285" s="3"/>
      <c r="BX285" s="4"/>
      <c r="BY285" s="3"/>
      <c r="BZ285" s="4"/>
      <c r="CA285" s="3"/>
      <c r="CB285" s="4"/>
      <c r="CC285" s="3"/>
      <c r="CD285" s="4"/>
    </row>
    <row r="286">
      <c r="A286" s="3"/>
      <c r="B286" s="4"/>
      <c r="C286" s="3"/>
      <c r="D286" s="4"/>
      <c r="E286" s="3"/>
      <c r="F286" s="4"/>
      <c r="G286" s="3"/>
      <c r="H286" s="4"/>
      <c r="I286" s="3"/>
      <c r="J286" s="4"/>
      <c r="K286" s="3"/>
      <c r="L286" s="4"/>
      <c r="M286" s="3"/>
      <c r="N286" s="4"/>
      <c r="O286" s="3"/>
      <c r="P286" s="4"/>
      <c r="Q286" s="3"/>
      <c r="R286" s="4"/>
      <c r="S286" s="3"/>
      <c r="T286" s="4"/>
      <c r="U286" s="3"/>
      <c r="V286" s="4"/>
      <c r="W286" s="3"/>
      <c r="X286" s="4"/>
      <c r="Y286" s="3"/>
      <c r="Z286" s="4"/>
      <c r="AA286" s="3"/>
      <c r="AB286" s="4"/>
      <c r="AC286" s="3"/>
      <c r="AD286" s="4"/>
      <c r="AE286" s="3"/>
      <c r="AF286" s="4"/>
      <c r="AG286" s="3"/>
      <c r="AH286" s="4"/>
      <c r="AI286" s="3"/>
      <c r="AJ286" s="4"/>
      <c r="AK286" s="3"/>
      <c r="AL286" s="4"/>
      <c r="AM286" s="3"/>
      <c r="AN286" s="4"/>
      <c r="AO286" s="3"/>
      <c r="AP286" s="4"/>
      <c r="AQ286" s="3"/>
      <c r="AR286" s="4"/>
      <c r="AS286" s="3"/>
      <c r="AT286" s="4"/>
      <c r="AU286" s="3"/>
      <c r="AV286" s="4"/>
      <c r="AW286" s="3"/>
      <c r="AX286" s="4"/>
      <c r="AY286" s="3"/>
      <c r="AZ286" s="4"/>
      <c r="BA286" s="3"/>
      <c r="BB286" s="4"/>
      <c r="BC286" s="3"/>
      <c r="BD286" s="4"/>
      <c r="BE286" s="3"/>
      <c r="BF286" s="4"/>
      <c r="BG286" s="3"/>
      <c r="BH286" s="4"/>
      <c r="BI286" s="3"/>
      <c r="BJ286" s="4"/>
      <c r="BK286" s="3"/>
      <c r="BL286" s="4"/>
      <c r="BM286" s="3"/>
      <c r="BN286" s="4"/>
      <c r="BO286" s="3"/>
      <c r="BP286" s="4"/>
      <c r="BQ286" s="3"/>
      <c r="BR286" s="4"/>
      <c r="BS286" s="3"/>
      <c r="BT286" s="4"/>
      <c r="BU286" s="3"/>
      <c r="BV286" s="4"/>
      <c r="BW286" s="3"/>
      <c r="BX286" s="4"/>
      <c r="BY286" s="3"/>
      <c r="BZ286" s="4"/>
      <c r="CA286" s="3"/>
      <c r="CB286" s="4"/>
      <c r="CC286" s="3"/>
      <c r="CD286" s="4"/>
    </row>
    <row r="287">
      <c r="A287" s="3"/>
      <c r="B287" s="4"/>
      <c r="C287" s="3"/>
      <c r="D287" s="4"/>
      <c r="E287" s="3"/>
      <c r="F287" s="4"/>
      <c r="G287" s="3"/>
      <c r="H287" s="4"/>
      <c r="I287" s="3"/>
      <c r="J287" s="4"/>
      <c r="K287" s="3"/>
      <c r="L287" s="4"/>
      <c r="M287" s="3"/>
      <c r="N287" s="4"/>
      <c r="O287" s="3"/>
      <c r="P287" s="4"/>
      <c r="Q287" s="3"/>
      <c r="R287" s="4"/>
      <c r="S287" s="3"/>
      <c r="T287" s="4"/>
      <c r="U287" s="3"/>
      <c r="V287" s="4"/>
      <c r="W287" s="3"/>
      <c r="X287" s="4"/>
      <c r="Y287" s="3"/>
      <c r="Z287" s="4"/>
      <c r="AA287" s="3"/>
      <c r="AB287" s="4"/>
      <c r="AC287" s="3"/>
      <c r="AD287" s="4"/>
      <c r="AE287" s="3"/>
      <c r="AF287" s="4"/>
      <c r="AG287" s="3"/>
      <c r="AH287" s="4"/>
      <c r="AI287" s="3"/>
      <c r="AJ287" s="4"/>
      <c r="AK287" s="3"/>
      <c r="AL287" s="4"/>
      <c r="AM287" s="3"/>
      <c r="AN287" s="4"/>
      <c r="AO287" s="3"/>
      <c r="AP287" s="4"/>
      <c r="AQ287" s="3"/>
      <c r="AR287" s="4"/>
      <c r="AS287" s="3"/>
      <c r="AT287" s="4"/>
      <c r="AU287" s="3"/>
      <c r="AV287" s="4"/>
      <c r="AW287" s="3"/>
      <c r="AX287" s="4"/>
      <c r="AY287" s="3"/>
      <c r="AZ287" s="4"/>
      <c r="BA287" s="3"/>
      <c r="BB287" s="4"/>
      <c r="BC287" s="3"/>
      <c r="BD287" s="4"/>
      <c r="BE287" s="3"/>
      <c r="BF287" s="4"/>
      <c r="BG287" s="3"/>
      <c r="BH287" s="4"/>
      <c r="BI287" s="3"/>
      <c r="BJ287" s="4"/>
      <c r="BK287" s="3"/>
      <c r="BL287" s="4"/>
      <c r="BM287" s="3"/>
      <c r="BN287" s="4"/>
      <c r="BO287" s="3"/>
      <c r="BP287" s="4"/>
      <c r="BQ287" s="3"/>
      <c r="BR287" s="4"/>
      <c r="BS287" s="3"/>
      <c r="BT287" s="4"/>
      <c r="BU287" s="3"/>
      <c r="BV287" s="4"/>
      <c r="BW287" s="3"/>
      <c r="BX287" s="4"/>
      <c r="BY287" s="3"/>
      <c r="BZ287" s="4"/>
      <c r="CA287" s="3"/>
      <c r="CB287" s="4"/>
      <c r="CC287" s="3"/>
      <c r="CD287" s="4"/>
    </row>
    <row r="288">
      <c r="A288" s="3"/>
      <c r="B288" s="4"/>
      <c r="C288" s="3"/>
      <c r="D288" s="4"/>
      <c r="E288" s="3"/>
      <c r="F288" s="4"/>
      <c r="G288" s="3"/>
      <c r="H288" s="4"/>
      <c r="I288" s="3"/>
      <c r="J288" s="4"/>
      <c r="K288" s="3"/>
      <c r="L288" s="4"/>
      <c r="M288" s="3"/>
      <c r="N288" s="4"/>
      <c r="O288" s="3"/>
      <c r="P288" s="4"/>
      <c r="Q288" s="3"/>
      <c r="R288" s="4"/>
      <c r="S288" s="3"/>
      <c r="T288" s="4"/>
      <c r="U288" s="3"/>
      <c r="V288" s="4"/>
      <c r="W288" s="3"/>
      <c r="X288" s="4"/>
      <c r="Y288" s="3"/>
      <c r="Z288" s="4"/>
      <c r="AA288" s="3"/>
      <c r="AB288" s="4"/>
      <c r="AC288" s="3"/>
      <c r="AD288" s="4"/>
      <c r="AE288" s="3"/>
      <c r="AF288" s="4"/>
      <c r="AG288" s="3"/>
      <c r="AH288" s="4"/>
      <c r="AI288" s="3"/>
      <c r="AJ288" s="4"/>
      <c r="AK288" s="3"/>
      <c r="AL288" s="4"/>
      <c r="AM288" s="3"/>
      <c r="AN288" s="4"/>
      <c r="AO288" s="3"/>
      <c r="AP288" s="4"/>
      <c r="AQ288" s="3"/>
      <c r="AR288" s="4"/>
      <c r="AS288" s="3"/>
      <c r="AT288" s="4"/>
      <c r="AU288" s="3"/>
      <c r="AV288" s="4"/>
      <c r="AW288" s="3"/>
      <c r="AX288" s="4"/>
      <c r="AY288" s="3"/>
      <c r="AZ288" s="4"/>
      <c r="BA288" s="3"/>
      <c r="BB288" s="4"/>
      <c r="BC288" s="3"/>
      <c r="BD288" s="4"/>
      <c r="BE288" s="3"/>
      <c r="BF288" s="4"/>
      <c r="BG288" s="3"/>
      <c r="BH288" s="4"/>
      <c r="BI288" s="3"/>
      <c r="BJ288" s="4"/>
      <c r="BK288" s="3"/>
      <c r="BL288" s="4"/>
      <c r="BM288" s="3"/>
      <c r="BN288" s="4"/>
      <c r="BO288" s="3"/>
      <c r="BP288" s="4"/>
      <c r="BQ288" s="3"/>
      <c r="BR288" s="4"/>
      <c r="BS288" s="3"/>
      <c r="BT288" s="4"/>
      <c r="BU288" s="3"/>
      <c r="BV288" s="4"/>
      <c r="BW288" s="3"/>
      <c r="BX288" s="4"/>
      <c r="BY288" s="3"/>
      <c r="BZ288" s="4"/>
      <c r="CA288" s="3"/>
      <c r="CB288" s="4"/>
      <c r="CC288" s="3"/>
      <c r="CD288" s="4"/>
    </row>
    <row r="289">
      <c r="A289" s="3"/>
      <c r="B289" s="4"/>
      <c r="C289" s="3"/>
      <c r="D289" s="4"/>
      <c r="E289" s="3"/>
      <c r="F289" s="4"/>
      <c r="G289" s="3"/>
      <c r="H289" s="4"/>
      <c r="I289" s="3"/>
      <c r="J289" s="4"/>
      <c r="K289" s="3"/>
      <c r="L289" s="4"/>
      <c r="M289" s="3"/>
      <c r="N289" s="4"/>
      <c r="O289" s="3"/>
      <c r="P289" s="4"/>
      <c r="Q289" s="3"/>
      <c r="R289" s="4"/>
      <c r="S289" s="3"/>
      <c r="T289" s="4"/>
      <c r="U289" s="3"/>
      <c r="V289" s="4"/>
      <c r="W289" s="3"/>
      <c r="X289" s="4"/>
      <c r="Y289" s="3"/>
      <c r="Z289" s="4"/>
      <c r="AA289" s="3"/>
      <c r="AB289" s="4"/>
      <c r="AC289" s="3"/>
      <c r="AD289" s="4"/>
      <c r="AE289" s="3"/>
      <c r="AF289" s="4"/>
      <c r="AG289" s="3"/>
      <c r="AH289" s="4"/>
      <c r="AI289" s="3"/>
      <c r="AJ289" s="4"/>
      <c r="AK289" s="3"/>
      <c r="AL289" s="4"/>
      <c r="AM289" s="3"/>
      <c r="AN289" s="4"/>
      <c r="AO289" s="3"/>
      <c r="AP289" s="4"/>
      <c r="AQ289" s="3"/>
      <c r="AR289" s="4"/>
      <c r="AS289" s="3"/>
      <c r="AT289" s="4"/>
      <c r="AU289" s="3"/>
      <c r="AV289" s="4"/>
      <c r="AW289" s="3"/>
      <c r="AX289" s="4"/>
      <c r="AY289" s="3"/>
      <c r="AZ289" s="4"/>
      <c r="BA289" s="3"/>
      <c r="BB289" s="4"/>
      <c r="BC289" s="3"/>
      <c r="BD289" s="4"/>
      <c r="BE289" s="3"/>
      <c r="BF289" s="4"/>
      <c r="BG289" s="3"/>
      <c r="BH289" s="4"/>
      <c r="BI289" s="3"/>
      <c r="BJ289" s="4"/>
      <c r="BK289" s="3"/>
      <c r="BL289" s="4"/>
      <c r="BM289" s="3"/>
      <c r="BN289" s="4"/>
      <c r="BO289" s="3"/>
      <c r="BP289" s="4"/>
      <c r="BQ289" s="3"/>
      <c r="BR289" s="4"/>
      <c r="BS289" s="3"/>
      <c r="BT289" s="4"/>
      <c r="BU289" s="3"/>
      <c r="BV289" s="4"/>
      <c r="BW289" s="3"/>
      <c r="BX289" s="4"/>
      <c r="BY289" s="3"/>
      <c r="BZ289" s="4"/>
      <c r="CA289" s="3"/>
      <c r="CB289" s="4"/>
      <c r="CC289" s="3"/>
      <c r="CD289" s="4"/>
    </row>
    <row r="290">
      <c r="A290" s="3"/>
      <c r="B290" s="4"/>
      <c r="C290" s="3"/>
      <c r="D290" s="4"/>
      <c r="E290" s="3"/>
      <c r="F290" s="4"/>
      <c r="G290" s="3"/>
      <c r="H290" s="4"/>
      <c r="I290" s="3"/>
      <c r="J290" s="4"/>
      <c r="K290" s="3"/>
      <c r="L290" s="4"/>
      <c r="M290" s="3"/>
      <c r="N290" s="4"/>
      <c r="O290" s="3"/>
      <c r="P290" s="4"/>
      <c r="Q290" s="3"/>
      <c r="R290" s="4"/>
      <c r="S290" s="3"/>
      <c r="T290" s="4"/>
      <c r="U290" s="3"/>
      <c r="V290" s="4"/>
      <c r="W290" s="3"/>
      <c r="X290" s="4"/>
      <c r="Y290" s="3"/>
      <c r="Z290" s="4"/>
      <c r="AA290" s="3"/>
      <c r="AB290" s="4"/>
      <c r="AC290" s="3"/>
      <c r="AD290" s="4"/>
      <c r="AE290" s="3"/>
      <c r="AF290" s="4"/>
      <c r="AG290" s="3"/>
      <c r="AH290" s="4"/>
      <c r="AI290" s="3"/>
      <c r="AJ290" s="4"/>
      <c r="AK290" s="3"/>
      <c r="AL290" s="4"/>
      <c r="AM290" s="3"/>
      <c r="AN290" s="4"/>
      <c r="AO290" s="3"/>
      <c r="AP290" s="4"/>
      <c r="AQ290" s="3"/>
      <c r="AR290" s="4"/>
      <c r="AS290" s="3"/>
      <c r="AT290" s="4"/>
      <c r="AU290" s="3"/>
      <c r="AV290" s="4"/>
      <c r="AW290" s="3"/>
      <c r="AX290" s="4"/>
      <c r="AY290" s="3"/>
      <c r="AZ290" s="4"/>
      <c r="BA290" s="3"/>
      <c r="BB290" s="4"/>
      <c r="BC290" s="3"/>
      <c r="BD290" s="4"/>
      <c r="BE290" s="3"/>
      <c r="BF290" s="4"/>
      <c r="BG290" s="3"/>
      <c r="BH290" s="4"/>
      <c r="BI290" s="3"/>
      <c r="BJ290" s="4"/>
      <c r="BK290" s="3"/>
      <c r="BL290" s="4"/>
      <c r="BM290" s="3"/>
      <c r="BN290" s="4"/>
      <c r="BO290" s="3"/>
      <c r="BP290" s="4"/>
      <c r="BQ290" s="3"/>
      <c r="BR290" s="4"/>
      <c r="BS290" s="3"/>
      <c r="BT290" s="4"/>
      <c r="BU290" s="3"/>
      <c r="BV290" s="4"/>
      <c r="BW290" s="3"/>
      <c r="BX290" s="4"/>
      <c r="BY290" s="3"/>
      <c r="BZ290" s="4"/>
      <c r="CA290" s="3"/>
      <c r="CB290" s="4"/>
      <c r="CC290" s="3"/>
      <c r="CD290" s="4"/>
    </row>
    <row r="291">
      <c r="A291" s="3"/>
      <c r="B291" s="4"/>
      <c r="C291" s="3"/>
      <c r="D291" s="4"/>
      <c r="E291" s="3"/>
      <c r="F291" s="4"/>
      <c r="G291" s="3"/>
      <c r="H291" s="4"/>
      <c r="I291" s="3"/>
      <c r="J291" s="4"/>
      <c r="K291" s="3"/>
      <c r="L291" s="4"/>
      <c r="M291" s="3"/>
      <c r="N291" s="4"/>
      <c r="O291" s="3"/>
      <c r="P291" s="4"/>
      <c r="Q291" s="3"/>
      <c r="R291" s="4"/>
      <c r="S291" s="3"/>
      <c r="T291" s="4"/>
      <c r="U291" s="3"/>
      <c r="V291" s="4"/>
      <c r="W291" s="3"/>
      <c r="X291" s="4"/>
      <c r="Y291" s="3"/>
      <c r="Z291" s="4"/>
      <c r="AA291" s="3"/>
      <c r="AB291" s="4"/>
      <c r="AC291" s="3"/>
      <c r="AD291" s="4"/>
      <c r="AE291" s="3"/>
      <c r="AF291" s="4"/>
      <c r="AG291" s="3"/>
      <c r="AH291" s="4"/>
      <c r="AI291" s="3"/>
      <c r="AJ291" s="4"/>
      <c r="AK291" s="3"/>
      <c r="AL291" s="4"/>
      <c r="AM291" s="3"/>
      <c r="AN291" s="4"/>
      <c r="AO291" s="3"/>
      <c r="AP291" s="4"/>
      <c r="AQ291" s="3"/>
      <c r="AR291" s="4"/>
      <c r="AS291" s="3"/>
      <c r="AT291" s="4"/>
      <c r="AU291" s="3"/>
      <c r="AV291" s="4"/>
      <c r="AW291" s="3"/>
      <c r="AX291" s="4"/>
      <c r="AY291" s="3"/>
      <c r="AZ291" s="4"/>
      <c r="BA291" s="3"/>
      <c r="BB291" s="4"/>
      <c r="BC291" s="3"/>
      <c r="BD291" s="4"/>
      <c r="BE291" s="3"/>
      <c r="BF291" s="4"/>
      <c r="BG291" s="3"/>
      <c r="BH291" s="4"/>
      <c r="BI291" s="3"/>
      <c r="BJ291" s="4"/>
      <c r="BK291" s="3"/>
      <c r="BL291" s="4"/>
      <c r="BM291" s="3"/>
      <c r="BN291" s="4"/>
      <c r="BO291" s="3"/>
      <c r="BP291" s="4"/>
      <c r="BQ291" s="3"/>
      <c r="BR291" s="4"/>
      <c r="BS291" s="3"/>
      <c r="BT291" s="4"/>
      <c r="BU291" s="3"/>
      <c r="BV291" s="4"/>
      <c r="BW291" s="3"/>
      <c r="BX291" s="4"/>
      <c r="BY291" s="3"/>
      <c r="BZ291" s="4"/>
      <c r="CA291" s="3"/>
      <c r="CB291" s="4"/>
      <c r="CC291" s="3"/>
      <c r="CD291" s="4"/>
    </row>
    <row r="292">
      <c r="A292" s="3"/>
      <c r="B292" s="4"/>
      <c r="C292" s="3"/>
      <c r="D292" s="4"/>
      <c r="E292" s="3"/>
      <c r="F292" s="4"/>
      <c r="G292" s="3"/>
      <c r="H292" s="4"/>
      <c r="I292" s="3"/>
      <c r="J292" s="4"/>
      <c r="K292" s="3"/>
      <c r="L292" s="4"/>
      <c r="M292" s="3"/>
      <c r="N292" s="4"/>
      <c r="O292" s="3"/>
      <c r="P292" s="4"/>
      <c r="Q292" s="3"/>
      <c r="R292" s="4"/>
      <c r="S292" s="3"/>
      <c r="T292" s="4"/>
      <c r="U292" s="3"/>
      <c r="V292" s="4"/>
      <c r="W292" s="3"/>
      <c r="X292" s="4"/>
      <c r="Y292" s="3"/>
      <c r="Z292" s="4"/>
      <c r="AA292" s="3"/>
      <c r="AB292" s="4"/>
      <c r="AC292" s="3"/>
      <c r="AD292" s="4"/>
      <c r="AE292" s="3"/>
      <c r="AF292" s="4"/>
      <c r="AG292" s="3"/>
      <c r="AH292" s="4"/>
      <c r="AI292" s="3"/>
      <c r="AJ292" s="4"/>
      <c r="AK292" s="3"/>
      <c r="AL292" s="4"/>
      <c r="AM292" s="3"/>
      <c r="AN292" s="4"/>
      <c r="AO292" s="3"/>
      <c r="AP292" s="4"/>
      <c r="AQ292" s="3"/>
      <c r="AR292" s="4"/>
      <c r="AS292" s="3"/>
      <c r="AT292" s="4"/>
      <c r="AU292" s="3"/>
      <c r="AV292" s="4"/>
      <c r="AW292" s="3"/>
      <c r="AX292" s="4"/>
      <c r="AY292" s="3"/>
      <c r="AZ292" s="4"/>
      <c r="BA292" s="3"/>
      <c r="BB292" s="4"/>
      <c r="BC292" s="3"/>
      <c r="BD292" s="4"/>
      <c r="BE292" s="3"/>
      <c r="BF292" s="4"/>
      <c r="BG292" s="3"/>
      <c r="BH292" s="4"/>
      <c r="BI292" s="3"/>
      <c r="BJ292" s="4"/>
      <c r="BK292" s="3"/>
      <c r="BL292" s="4"/>
      <c r="BM292" s="3"/>
      <c r="BN292" s="4"/>
      <c r="BO292" s="3"/>
      <c r="BP292" s="4"/>
      <c r="BQ292" s="3"/>
      <c r="BR292" s="4"/>
      <c r="BS292" s="3"/>
      <c r="BT292" s="4"/>
      <c r="BU292" s="3"/>
      <c r="BV292" s="4"/>
      <c r="BW292" s="3"/>
      <c r="BX292" s="4"/>
      <c r="BY292" s="3"/>
      <c r="BZ292" s="4"/>
      <c r="CA292" s="3"/>
      <c r="CB292" s="4"/>
      <c r="CC292" s="3"/>
      <c r="CD292" s="4"/>
    </row>
    <row r="293">
      <c r="A293" s="3"/>
      <c r="B293" s="4"/>
      <c r="C293" s="3"/>
      <c r="D293" s="4"/>
      <c r="E293" s="3"/>
      <c r="F293" s="4"/>
      <c r="G293" s="3"/>
      <c r="H293" s="4"/>
      <c r="I293" s="3"/>
      <c r="J293" s="4"/>
      <c r="K293" s="3"/>
      <c r="L293" s="4"/>
      <c r="M293" s="3"/>
      <c r="N293" s="4"/>
      <c r="O293" s="3"/>
      <c r="P293" s="4"/>
      <c r="Q293" s="3"/>
      <c r="R293" s="4"/>
      <c r="S293" s="3"/>
      <c r="T293" s="4"/>
      <c r="U293" s="3"/>
      <c r="V293" s="4"/>
      <c r="W293" s="3"/>
      <c r="X293" s="4"/>
      <c r="Y293" s="3"/>
      <c r="Z293" s="4"/>
      <c r="AA293" s="3"/>
      <c r="AB293" s="4"/>
      <c r="AC293" s="3"/>
      <c r="AD293" s="4"/>
      <c r="AE293" s="3"/>
      <c r="AF293" s="4"/>
      <c r="AG293" s="3"/>
      <c r="AH293" s="4"/>
      <c r="AI293" s="3"/>
      <c r="AJ293" s="4"/>
      <c r="AK293" s="3"/>
      <c r="AL293" s="4"/>
      <c r="AM293" s="3"/>
      <c r="AN293" s="4"/>
      <c r="AO293" s="3"/>
      <c r="AP293" s="4"/>
      <c r="AQ293" s="3"/>
      <c r="AR293" s="4"/>
      <c r="AS293" s="3"/>
      <c r="AT293" s="4"/>
      <c r="AU293" s="3"/>
      <c r="AV293" s="4"/>
      <c r="AW293" s="3"/>
      <c r="AX293" s="4"/>
      <c r="AY293" s="3"/>
      <c r="AZ293" s="4"/>
      <c r="BA293" s="3"/>
      <c r="BB293" s="4"/>
      <c r="BC293" s="3"/>
      <c r="BD293" s="4"/>
      <c r="BE293" s="3"/>
      <c r="BF293" s="4"/>
      <c r="BG293" s="3"/>
      <c r="BH293" s="4"/>
      <c r="BI293" s="3"/>
      <c r="BJ293" s="4"/>
      <c r="BK293" s="3"/>
      <c r="BL293" s="4"/>
      <c r="BM293" s="3"/>
      <c r="BN293" s="4"/>
      <c r="BO293" s="3"/>
      <c r="BP293" s="4"/>
      <c r="BQ293" s="3"/>
      <c r="BR293" s="4"/>
      <c r="BS293" s="3"/>
      <c r="BT293" s="4"/>
      <c r="BU293" s="3"/>
      <c r="BV293" s="4"/>
      <c r="BW293" s="3"/>
      <c r="BX293" s="4"/>
      <c r="BY293" s="3"/>
      <c r="BZ293" s="4"/>
      <c r="CA293" s="3"/>
      <c r="CB293" s="4"/>
      <c r="CC293" s="3"/>
      <c r="CD293" s="4"/>
    </row>
    <row r="294">
      <c r="A294" s="3"/>
      <c r="B294" s="4"/>
      <c r="C294" s="3"/>
      <c r="D294" s="4"/>
      <c r="E294" s="3"/>
      <c r="F294" s="4"/>
      <c r="G294" s="3"/>
      <c r="H294" s="4"/>
      <c r="I294" s="3"/>
      <c r="J294" s="4"/>
      <c r="K294" s="3"/>
      <c r="L294" s="4"/>
      <c r="M294" s="3"/>
      <c r="N294" s="4"/>
      <c r="O294" s="3"/>
      <c r="P294" s="4"/>
      <c r="Q294" s="3"/>
      <c r="R294" s="4"/>
      <c r="S294" s="3"/>
      <c r="T294" s="4"/>
      <c r="U294" s="3"/>
      <c r="V294" s="4"/>
      <c r="W294" s="3"/>
      <c r="X294" s="4"/>
      <c r="Y294" s="3"/>
      <c r="Z294" s="4"/>
      <c r="AA294" s="3"/>
      <c r="AB294" s="4"/>
      <c r="AC294" s="3"/>
      <c r="AD294" s="4"/>
      <c r="AE294" s="3"/>
      <c r="AF294" s="4"/>
      <c r="AG294" s="3"/>
      <c r="AH294" s="4"/>
      <c r="AI294" s="3"/>
      <c r="AJ294" s="4"/>
      <c r="AK294" s="3"/>
      <c r="AL294" s="4"/>
      <c r="AM294" s="3"/>
      <c r="AN294" s="4"/>
      <c r="AO294" s="3"/>
      <c r="AP294" s="4"/>
      <c r="AQ294" s="3"/>
      <c r="AR294" s="4"/>
      <c r="AS294" s="3"/>
      <c r="AT294" s="4"/>
      <c r="AU294" s="3"/>
      <c r="AV294" s="4"/>
      <c r="AW294" s="3"/>
      <c r="AX294" s="4"/>
      <c r="AY294" s="3"/>
      <c r="AZ294" s="4"/>
      <c r="BA294" s="3"/>
      <c r="BB294" s="4"/>
      <c r="BC294" s="3"/>
      <c r="BD294" s="4"/>
      <c r="BE294" s="3"/>
      <c r="BF294" s="4"/>
      <c r="BG294" s="3"/>
      <c r="BH294" s="4"/>
      <c r="BI294" s="3"/>
      <c r="BJ294" s="4"/>
      <c r="BK294" s="3"/>
      <c r="BL294" s="4"/>
      <c r="BM294" s="3"/>
      <c r="BN294" s="4"/>
      <c r="BO294" s="3"/>
      <c r="BP294" s="4"/>
      <c r="BQ294" s="3"/>
      <c r="BR294" s="4"/>
      <c r="BS294" s="3"/>
      <c r="BT294" s="4"/>
      <c r="BU294" s="3"/>
      <c r="BV294" s="4"/>
      <c r="BW294" s="3"/>
      <c r="BX294" s="4"/>
      <c r="BY294" s="3"/>
      <c r="BZ294" s="4"/>
      <c r="CA294" s="3"/>
      <c r="CB294" s="4"/>
      <c r="CC294" s="3"/>
      <c r="CD294" s="4"/>
    </row>
    <row r="295">
      <c r="A295" s="3"/>
      <c r="B295" s="4"/>
      <c r="C295" s="3"/>
      <c r="D295" s="4"/>
      <c r="E295" s="3"/>
      <c r="F295" s="4"/>
      <c r="G295" s="3"/>
      <c r="H295" s="4"/>
      <c r="I295" s="3"/>
      <c r="J295" s="4"/>
      <c r="K295" s="3"/>
      <c r="L295" s="4"/>
      <c r="M295" s="3"/>
      <c r="N295" s="4"/>
      <c r="O295" s="3"/>
      <c r="P295" s="4"/>
      <c r="Q295" s="3"/>
      <c r="R295" s="4"/>
      <c r="S295" s="3"/>
      <c r="T295" s="4"/>
      <c r="U295" s="3"/>
      <c r="V295" s="4"/>
      <c r="W295" s="3"/>
      <c r="X295" s="4"/>
      <c r="Y295" s="3"/>
      <c r="Z295" s="4"/>
      <c r="AA295" s="3"/>
      <c r="AB295" s="4"/>
      <c r="AC295" s="3"/>
      <c r="AD295" s="4"/>
      <c r="AE295" s="3"/>
      <c r="AF295" s="4"/>
      <c r="AG295" s="3"/>
      <c r="AH295" s="4"/>
      <c r="AI295" s="3"/>
      <c r="AJ295" s="4"/>
      <c r="AK295" s="3"/>
      <c r="AL295" s="4"/>
      <c r="AM295" s="3"/>
      <c r="AN295" s="4"/>
      <c r="AO295" s="3"/>
      <c r="AP295" s="4"/>
      <c r="AQ295" s="3"/>
      <c r="AR295" s="4"/>
      <c r="AS295" s="3"/>
      <c r="AT295" s="4"/>
      <c r="AU295" s="3"/>
      <c r="AV295" s="4"/>
      <c r="AW295" s="3"/>
      <c r="AX295" s="4"/>
      <c r="AY295" s="3"/>
      <c r="AZ295" s="4"/>
      <c r="BA295" s="3"/>
      <c r="BB295" s="4"/>
      <c r="BC295" s="3"/>
      <c r="BD295" s="4"/>
      <c r="BE295" s="3"/>
      <c r="BF295" s="4"/>
      <c r="BG295" s="3"/>
      <c r="BH295" s="4"/>
      <c r="BI295" s="3"/>
      <c r="BJ295" s="4"/>
      <c r="BK295" s="3"/>
      <c r="BL295" s="4"/>
      <c r="BM295" s="3"/>
      <c r="BN295" s="4"/>
      <c r="BO295" s="3"/>
      <c r="BP295" s="4"/>
      <c r="BQ295" s="3"/>
      <c r="BR295" s="4"/>
      <c r="BS295" s="3"/>
      <c r="BT295" s="4"/>
      <c r="BU295" s="3"/>
      <c r="BV295" s="4"/>
      <c r="BW295" s="3"/>
      <c r="BX295" s="4"/>
      <c r="BY295" s="3"/>
      <c r="BZ295" s="4"/>
      <c r="CA295" s="3"/>
      <c r="CB295" s="4"/>
      <c r="CC295" s="3"/>
      <c r="CD295" s="4"/>
    </row>
    <row r="296">
      <c r="A296" s="3"/>
      <c r="B296" s="4"/>
      <c r="C296" s="3"/>
      <c r="D296" s="4"/>
      <c r="E296" s="3"/>
      <c r="F296" s="4"/>
      <c r="G296" s="3"/>
      <c r="H296" s="4"/>
      <c r="I296" s="3"/>
      <c r="J296" s="4"/>
      <c r="K296" s="3"/>
      <c r="L296" s="4"/>
      <c r="M296" s="3"/>
      <c r="N296" s="4"/>
      <c r="O296" s="3"/>
      <c r="P296" s="4"/>
      <c r="Q296" s="3"/>
      <c r="R296" s="4"/>
      <c r="S296" s="3"/>
      <c r="T296" s="4"/>
      <c r="U296" s="3"/>
      <c r="V296" s="4"/>
      <c r="W296" s="3"/>
      <c r="X296" s="4"/>
      <c r="Y296" s="3"/>
      <c r="Z296" s="4"/>
      <c r="AA296" s="3"/>
      <c r="AB296" s="4"/>
      <c r="AC296" s="3"/>
      <c r="AD296" s="4"/>
      <c r="AE296" s="3"/>
      <c r="AF296" s="4"/>
      <c r="AG296" s="3"/>
      <c r="AH296" s="4"/>
      <c r="AI296" s="3"/>
      <c r="AJ296" s="4"/>
      <c r="AK296" s="3"/>
      <c r="AL296" s="4"/>
      <c r="AM296" s="3"/>
      <c r="AN296" s="4"/>
      <c r="AO296" s="3"/>
      <c r="AP296" s="4"/>
      <c r="AQ296" s="3"/>
      <c r="AR296" s="4"/>
      <c r="AS296" s="3"/>
      <c r="AT296" s="4"/>
      <c r="AU296" s="3"/>
      <c r="AV296" s="4"/>
      <c r="AW296" s="3"/>
      <c r="AX296" s="4"/>
      <c r="AY296" s="3"/>
      <c r="AZ296" s="4"/>
      <c r="BA296" s="3"/>
      <c r="BB296" s="4"/>
      <c r="BC296" s="3"/>
      <c r="BD296" s="4"/>
      <c r="BE296" s="3"/>
      <c r="BF296" s="4"/>
      <c r="BG296" s="3"/>
      <c r="BH296" s="4"/>
      <c r="BI296" s="3"/>
      <c r="BJ296" s="4"/>
      <c r="BK296" s="3"/>
      <c r="BL296" s="4"/>
      <c r="BM296" s="3"/>
      <c r="BN296" s="4"/>
      <c r="BO296" s="3"/>
      <c r="BP296" s="4"/>
      <c r="BQ296" s="3"/>
      <c r="BR296" s="4"/>
      <c r="BS296" s="3"/>
      <c r="BT296" s="4"/>
      <c r="BU296" s="3"/>
      <c r="BV296" s="4"/>
      <c r="BW296" s="3"/>
      <c r="BX296" s="4"/>
      <c r="BY296" s="3"/>
      <c r="BZ296" s="4"/>
      <c r="CA296" s="3"/>
      <c r="CB296" s="4"/>
      <c r="CC296" s="3"/>
      <c r="CD296" s="4"/>
    </row>
    <row r="297">
      <c r="A297" s="3"/>
      <c r="B297" s="4"/>
      <c r="C297" s="3"/>
      <c r="D297" s="4"/>
      <c r="E297" s="3"/>
      <c r="F297" s="4"/>
      <c r="G297" s="3"/>
      <c r="H297" s="4"/>
      <c r="I297" s="3"/>
      <c r="J297" s="4"/>
      <c r="K297" s="3"/>
      <c r="L297" s="4"/>
      <c r="M297" s="3"/>
      <c r="N297" s="4"/>
      <c r="O297" s="3"/>
      <c r="P297" s="4"/>
      <c r="Q297" s="3"/>
      <c r="R297" s="4"/>
      <c r="S297" s="3"/>
      <c r="T297" s="4"/>
      <c r="U297" s="3"/>
      <c r="V297" s="4"/>
      <c r="W297" s="3"/>
      <c r="X297" s="4"/>
      <c r="Y297" s="3"/>
      <c r="Z297" s="4"/>
      <c r="AA297" s="3"/>
      <c r="AB297" s="4"/>
      <c r="AC297" s="3"/>
      <c r="AD297" s="4"/>
      <c r="AE297" s="3"/>
      <c r="AF297" s="4"/>
      <c r="AG297" s="3"/>
      <c r="AH297" s="4"/>
      <c r="AI297" s="3"/>
      <c r="AJ297" s="4"/>
      <c r="AK297" s="3"/>
      <c r="AL297" s="4"/>
      <c r="AM297" s="3"/>
      <c r="AN297" s="4"/>
      <c r="AO297" s="3"/>
      <c r="AP297" s="4"/>
      <c r="AQ297" s="3"/>
      <c r="AR297" s="4"/>
      <c r="AS297" s="3"/>
      <c r="AT297" s="4"/>
      <c r="AU297" s="3"/>
      <c r="AV297" s="4"/>
      <c r="AW297" s="3"/>
      <c r="AX297" s="4"/>
      <c r="AY297" s="3"/>
      <c r="AZ297" s="4"/>
      <c r="BA297" s="3"/>
      <c r="BB297" s="4"/>
      <c r="BC297" s="3"/>
      <c r="BD297" s="4"/>
      <c r="BE297" s="3"/>
      <c r="BF297" s="4"/>
      <c r="BG297" s="3"/>
      <c r="BH297" s="4"/>
      <c r="BI297" s="3"/>
      <c r="BJ297" s="4"/>
      <c r="BK297" s="3"/>
      <c r="BL297" s="4"/>
      <c r="BM297" s="3"/>
      <c r="BN297" s="4"/>
      <c r="BO297" s="3"/>
      <c r="BP297" s="4"/>
      <c r="BQ297" s="3"/>
      <c r="BR297" s="4"/>
      <c r="BS297" s="3"/>
      <c r="BT297" s="4"/>
      <c r="BU297" s="3"/>
      <c r="BV297" s="4"/>
      <c r="BW297" s="3"/>
      <c r="BX297" s="4"/>
      <c r="BY297" s="3"/>
      <c r="BZ297" s="4"/>
      <c r="CA297" s="3"/>
      <c r="CB297" s="4"/>
      <c r="CC297" s="3"/>
      <c r="CD297" s="4"/>
    </row>
    <row r="298">
      <c r="A298" s="3"/>
      <c r="B298" s="4"/>
      <c r="C298" s="3"/>
      <c r="D298" s="4"/>
      <c r="E298" s="3"/>
      <c r="F298" s="4"/>
      <c r="G298" s="3"/>
      <c r="H298" s="4"/>
      <c r="I298" s="3"/>
      <c r="J298" s="4"/>
      <c r="K298" s="3"/>
      <c r="L298" s="4"/>
      <c r="M298" s="3"/>
      <c r="N298" s="4"/>
      <c r="O298" s="3"/>
      <c r="P298" s="4"/>
      <c r="Q298" s="3"/>
      <c r="R298" s="4"/>
      <c r="S298" s="3"/>
      <c r="T298" s="4"/>
      <c r="U298" s="3"/>
      <c r="V298" s="4"/>
      <c r="W298" s="3"/>
      <c r="X298" s="4"/>
      <c r="Y298" s="3"/>
      <c r="Z298" s="4"/>
      <c r="AA298" s="3"/>
      <c r="AB298" s="4"/>
      <c r="AC298" s="3"/>
      <c r="AD298" s="4"/>
      <c r="AE298" s="3"/>
      <c r="AF298" s="4"/>
      <c r="AG298" s="3"/>
      <c r="AH298" s="4"/>
      <c r="AI298" s="3"/>
      <c r="AJ298" s="4"/>
      <c r="AK298" s="3"/>
      <c r="AL298" s="4"/>
      <c r="AM298" s="3"/>
      <c r="AN298" s="4"/>
      <c r="AO298" s="3"/>
      <c r="AP298" s="4"/>
      <c r="AQ298" s="3"/>
      <c r="AR298" s="4"/>
      <c r="AS298" s="3"/>
      <c r="AT298" s="4"/>
      <c r="AU298" s="3"/>
      <c r="AV298" s="4"/>
      <c r="AW298" s="3"/>
      <c r="AX298" s="4"/>
      <c r="AY298" s="3"/>
      <c r="AZ298" s="4"/>
      <c r="BA298" s="3"/>
      <c r="BB298" s="4"/>
      <c r="BC298" s="3"/>
      <c r="BD298" s="4"/>
      <c r="BE298" s="3"/>
      <c r="BF298" s="4"/>
      <c r="BG298" s="3"/>
      <c r="BH298" s="4"/>
      <c r="BI298" s="3"/>
      <c r="BJ298" s="4"/>
      <c r="BK298" s="3"/>
      <c r="BL298" s="4"/>
      <c r="BM298" s="3"/>
      <c r="BN298" s="4"/>
      <c r="BO298" s="3"/>
      <c r="BP298" s="4"/>
      <c r="BQ298" s="3"/>
      <c r="BR298" s="4"/>
      <c r="BS298" s="3"/>
      <c r="BT298" s="4"/>
      <c r="BU298" s="3"/>
      <c r="BV298" s="4"/>
      <c r="BW298" s="3"/>
      <c r="BX298" s="4"/>
      <c r="BY298" s="3"/>
      <c r="BZ298" s="4"/>
      <c r="CA298" s="3"/>
      <c r="CB298" s="4"/>
      <c r="CC298" s="3"/>
      <c r="CD298" s="4"/>
    </row>
    <row r="299">
      <c r="A299" s="3"/>
      <c r="B299" s="4"/>
      <c r="C299" s="3"/>
      <c r="D299" s="4"/>
      <c r="E299" s="3"/>
      <c r="F299" s="4"/>
      <c r="G299" s="3"/>
      <c r="H299" s="4"/>
      <c r="I299" s="3"/>
      <c r="J299" s="4"/>
      <c r="K299" s="3"/>
      <c r="L299" s="4"/>
      <c r="M299" s="3"/>
      <c r="N299" s="4"/>
      <c r="O299" s="3"/>
      <c r="P299" s="4"/>
      <c r="Q299" s="3"/>
      <c r="R299" s="4"/>
      <c r="S299" s="3"/>
      <c r="T299" s="4"/>
      <c r="U299" s="3"/>
      <c r="V299" s="4"/>
      <c r="W299" s="3"/>
      <c r="X299" s="4"/>
      <c r="Y299" s="3"/>
      <c r="Z299" s="4"/>
      <c r="AA299" s="3"/>
      <c r="AB299" s="4"/>
      <c r="AC299" s="3"/>
      <c r="AD299" s="4"/>
      <c r="AE299" s="3"/>
      <c r="AF299" s="4"/>
      <c r="AG299" s="3"/>
      <c r="AH299" s="4"/>
      <c r="AI299" s="3"/>
      <c r="AJ299" s="4"/>
      <c r="AK299" s="3"/>
      <c r="AL299" s="4"/>
      <c r="AM299" s="3"/>
      <c r="AN299" s="4"/>
      <c r="AO299" s="3"/>
      <c r="AP299" s="4"/>
      <c r="AQ299" s="3"/>
      <c r="AR299" s="4"/>
      <c r="AS299" s="3"/>
      <c r="AT299" s="4"/>
      <c r="AU299" s="3"/>
      <c r="AV299" s="4"/>
      <c r="AW299" s="3"/>
      <c r="AX299" s="4"/>
      <c r="AY299" s="3"/>
      <c r="AZ299" s="4"/>
      <c r="BA299" s="3"/>
      <c r="BB299" s="4"/>
      <c r="BC299" s="3"/>
      <c r="BD299" s="4"/>
      <c r="BE299" s="3"/>
      <c r="BF299" s="4"/>
      <c r="BG299" s="3"/>
      <c r="BH299" s="4"/>
      <c r="BI299" s="3"/>
      <c r="BJ299" s="4"/>
      <c r="BK299" s="3"/>
      <c r="BL299" s="4"/>
      <c r="BM299" s="3"/>
      <c r="BN299" s="4"/>
      <c r="BO299" s="3"/>
      <c r="BP299" s="4"/>
      <c r="BQ299" s="3"/>
      <c r="BR299" s="4"/>
      <c r="BS299" s="3"/>
      <c r="BT299" s="4"/>
      <c r="BU299" s="3"/>
      <c r="BV299" s="4"/>
      <c r="BW299" s="3"/>
      <c r="BX299" s="4"/>
      <c r="BY299" s="3"/>
      <c r="BZ299" s="4"/>
      <c r="CA299" s="3"/>
      <c r="CB299" s="4"/>
      <c r="CC299" s="3"/>
      <c r="CD299" s="4"/>
    </row>
    <row r="300">
      <c r="A300" s="3"/>
      <c r="B300" s="4"/>
      <c r="C300" s="3"/>
      <c r="D300" s="4"/>
      <c r="E300" s="3"/>
      <c r="F300" s="4"/>
      <c r="G300" s="3"/>
      <c r="H300" s="4"/>
      <c r="I300" s="3"/>
      <c r="J300" s="4"/>
      <c r="K300" s="3"/>
      <c r="L300" s="4"/>
      <c r="M300" s="3"/>
      <c r="N300" s="4"/>
      <c r="O300" s="3"/>
      <c r="P300" s="4"/>
      <c r="Q300" s="3"/>
      <c r="R300" s="4"/>
      <c r="S300" s="3"/>
      <c r="T300" s="4"/>
      <c r="U300" s="3"/>
      <c r="V300" s="4"/>
      <c r="W300" s="3"/>
      <c r="X300" s="4"/>
      <c r="Y300" s="3"/>
      <c r="Z300" s="4"/>
      <c r="AA300" s="3"/>
      <c r="AB300" s="4"/>
      <c r="AC300" s="3"/>
      <c r="AD300" s="4"/>
      <c r="AE300" s="3"/>
      <c r="AF300" s="4"/>
      <c r="AG300" s="3"/>
      <c r="AH300" s="4"/>
      <c r="AI300" s="3"/>
      <c r="AJ300" s="4"/>
      <c r="AK300" s="3"/>
      <c r="AL300" s="4"/>
      <c r="AM300" s="3"/>
      <c r="AN300" s="4"/>
      <c r="AO300" s="3"/>
      <c r="AP300" s="4"/>
      <c r="AQ300" s="3"/>
      <c r="AR300" s="4"/>
      <c r="AS300" s="3"/>
      <c r="AT300" s="4"/>
      <c r="AU300" s="3"/>
      <c r="AV300" s="4"/>
      <c r="AW300" s="3"/>
      <c r="AX300" s="4"/>
      <c r="AY300" s="3"/>
      <c r="AZ300" s="4"/>
      <c r="BA300" s="3"/>
      <c r="BB300" s="4"/>
      <c r="BC300" s="3"/>
      <c r="BD300" s="4"/>
      <c r="BE300" s="3"/>
      <c r="BF300" s="4"/>
      <c r="BG300" s="3"/>
      <c r="BH300" s="4"/>
      <c r="BI300" s="3"/>
      <c r="BJ300" s="4"/>
      <c r="BK300" s="3"/>
      <c r="BL300" s="4"/>
      <c r="BM300" s="3"/>
      <c r="BN300" s="4"/>
      <c r="BO300" s="3"/>
      <c r="BP300" s="4"/>
      <c r="BQ300" s="3"/>
      <c r="BR300" s="4"/>
      <c r="BS300" s="3"/>
      <c r="BT300" s="4"/>
      <c r="BU300" s="3"/>
      <c r="BV300" s="4"/>
      <c r="BW300" s="3"/>
      <c r="BX300" s="4"/>
      <c r="BY300" s="3"/>
      <c r="BZ300" s="4"/>
      <c r="CA300" s="3"/>
      <c r="CB300" s="4"/>
      <c r="CC300" s="3"/>
      <c r="CD300" s="4"/>
    </row>
    <row r="301">
      <c r="A301" s="3"/>
      <c r="B301" s="4"/>
      <c r="C301" s="3"/>
      <c r="D301" s="4"/>
      <c r="E301" s="3"/>
      <c r="F301" s="4"/>
      <c r="G301" s="3"/>
      <c r="H301" s="4"/>
      <c r="I301" s="3"/>
      <c r="J301" s="4"/>
      <c r="K301" s="3"/>
      <c r="L301" s="4"/>
      <c r="M301" s="3"/>
      <c r="N301" s="4"/>
      <c r="O301" s="3"/>
      <c r="P301" s="4"/>
      <c r="Q301" s="3"/>
      <c r="R301" s="4"/>
      <c r="S301" s="3"/>
      <c r="T301" s="4"/>
      <c r="U301" s="3"/>
      <c r="V301" s="4"/>
      <c r="W301" s="3"/>
      <c r="X301" s="4"/>
      <c r="Y301" s="3"/>
      <c r="Z301" s="4"/>
      <c r="AA301" s="3"/>
      <c r="AB301" s="4"/>
      <c r="AC301" s="3"/>
      <c r="AD301" s="4"/>
      <c r="AE301" s="3"/>
      <c r="AF301" s="4"/>
      <c r="AG301" s="3"/>
      <c r="AH301" s="4"/>
      <c r="AI301" s="3"/>
      <c r="AJ301" s="4"/>
      <c r="AK301" s="3"/>
      <c r="AL301" s="4"/>
      <c r="AM301" s="3"/>
      <c r="AN301" s="4"/>
      <c r="AO301" s="3"/>
      <c r="AP301" s="4"/>
      <c r="AQ301" s="3"/>
      <c r="AR301" s="4"/>
      <c r="AS301" s="3"/>
      <c r="AT301" s="4"/>
      <c r="AU301" s="3"/>
      <c r="AV301" s="4"/>
      <c r="AW301" s="3"/>
      <c r="AX301" s="4"/>
      <c r="AY301" s="3"/>
      <c r="AZ301" s="4"/>
      <c r="BA301" s="3"/>
      <c r="BB301" s="4"/>
      <c r="BC301" s="3"/>
      <c r="BD301" s="4"/>
      <c r="BE301" s="3"/>
      <c r="BF301" s="4"/>
      <c r="BG301" s="3"/>
      <c r="BH301" s="4"/>
      <c r="BI301" s="3"/>
      <c r="BJ301" s="4"/>
      <c r="BK301" s="3"/>
      <c r="BL301" s="4"/>
      <c r="BM301" s="3"/>
      <c r="BN301" s="4"/>
      <c r="BO301" s="3"/>
      <c r="BP301" s="4"/>
      <c r="BQ301" s="3"/>
      <c r="BR301" s="4"/>
      <c r="BS301" s="3"/>
      <c r="BT301" s="4"/>
      <c r="BU301" s="3"/>
      <c r="BV301" s="4"/>
      <c r="BW301" s="3"/>
      <c r="BX301" s="4"/>
      <c r="BY301" s="3"/>
      <c r="BZ301" s="4"/>
      <c r="CA301" s="3"/>
      <c r="CB301" s="4"/>
      <c r="CC301" s="3"/>
      <c r="CD301" s="4"/>
    </row>
    <row r="302">
      <c r="A302" s="3"/>
      <c r="B302" s="4"/>
      <c r="C302" s="3"/>
      <c r="D302" s="4"/>
      <c r="E302" s="3"/>
      <c r="F302" s="4"/>
      <c r="G302" s="3"/>
      <c r="H302" s="4"/>
      <c r="I302" s="3"/>
      <c r="J302" s="4"/>
      <c r="K302" s="3"/>
      <c r="L302" s="4"/>
      <c r="M302" s="3"/>
      <c r="N302" s="4"/>
      <c r="O302" s="3"/>
      <c r="P302" s="4"/>
      <c r="Q302" s="3"/>
      <c r="R302" s="4"/>
      <c r="S302" s="3"/>
      <c r="T302" s="4"/>
      <c r="U302" s="3"/>
      <c r="V302" s="4"/>
      <c r="W302" s="3"/>
      <c r="X302" s="4"/>
      <c r="Y302" s="3"/>
      <c r="Z302" s="4"/>
      <c r="AA302" s="3"/>
      <c r="AB302" s="4"/>
      <c r="AC302" s="3"/>
      <c r="AD302" s="4"/>
      <c r="AE302" s="3"/>
      <c r="AF302" s="4"/>
      <c r="AG302" s="3"/>
      <c r="AH302" s="4"/>
      <c r="AI302" s="3"/>
      <c r="AJ302" s="4"/>
      <c r="AK302" s="3"/>
      <c r="AL302" s="4"/>
      <c r="AM302" s="3"/>
      <c r="AN302" s="4"/>
      <c r="AO302" s="3"/>
      <c r="AP302" s="4"/>
      <c r="AQ302" s="3"/>
      <c r="AR302" s="4"/>
      <c r="AS302" s="3"/>
      <c r="AT302" s="4"/>
      <c r="AU302" s="3"/>
      <c r="AV302" s="4"/>
      <c r="AW302" s="3"/>
      <c r="AX302" s="4"/>
      <c r="AY302" s="3"/>
      <c r="AZ302" s="4"/>
      <c r="BA302" s="3"/>
      <c r="BB302" s="4"/>
      <c r="BC302" s="3"/>
      <c r="BD302" s="4"/>
      <c r="BE302" s="3"/>
      <c r="BF302" s="4"/>
      <c r="BG302" s="3"/>
      <c r="BH302" s="4"/>
      <c r="BI302" s="3"/>
      <c r="BJ302" s="4"/>
      <c r="BK302" s="3"/>
      <c r="BL302" s="4"/>
      <c r="BM302" s="3"/>
      <c r="BN302" s="4"/>
      <c r="BO302" s="3"/>
      <c r="BP302" s="4"/>
      <c r="BQ302" s="3"/>
      <c r="BR302" s="4"/>
      <c r="BS302" s="3"/>
      <c r="BT302" s="4"/>
      <c r="BU302" s="3"/>
      <c r="BV302" s="4"/>
      <c r="BW302" s="3"/>
      <c r="BX302" s="4"/>
      <c r="BY302" s="3"/>
      <c r="BZ302" s="4"/>
      <c r="CA302" s="3"/>
      <c r="CB302" s="4"/>
      <c r="CC302" s="3"/>
      <c r="CD302" s="4"/>
    </row>
    <row r="303">
      <c r="A303" s="3"/>
      <c r="B303" s="4"/>
      <c r="C303" s="3"/>
      <c r="D303" s="4"/>
      <c r="E303" s="3"/>
      <c r="F303" s="4"/>
      <c r="G303" s="3"/>
      <c r="H303" s="4"/>
      <c r="I303" s="3"/>
      <c r="J303" s="4"/>
      <c r="K303" s="3"/>
      <c r="L303" s="4"/>
      <c r="M303" s="3"/>
      <c r="N303" s="4"/>
      <c r="O303" s="3"/>
      <c r="P303" s="4"/>
      <c r="Q303" s="3"/>
      <c r="R303" s="4"/>
      <c r="S303" s="3"/>
      <c r="T303" s="4"/>
      <c r="U303" s="3"/>
      <c r="V303" s="4"/>
      <c r="W303" s="3"/>
      <c r="X303" s="4"/>
      <c r="Y303" s="3"/>
      <c r="Z303" s="4"/>
      <c r="AA303" s="3"/>
      <c r="AB303" s="4"/>
      <c r="AC303" s="3"/>
      <c r="AD303" s="4"/>
      <c r="AE303" s="3"/>
      <c r="AF303" s="4"/>
      <c r="AG303" s="3"/>
      <c r="AH303" s="4"/>
      <c r="AI303" s="3"/>
      <c r="AJ303" s="4"/>
      <c r="AK303" s="3"/>
      <c r="AL303" s="4"/>
      <c r="AM303" s="3"/>
      <c r="AN303" s="4"/>
      <c r="AO303" s="3"/>
      <c r="AP303" s="4"/>
      <c r="AQ303" s="3"/>
      <c r="AR303" s="4"/>
      <c r="AS303" s="3"/>
      <c r="AT303" s="4"/>
      <c r="AU303" s="3"/>
      <c r="AV303" s="4"/>
      <c r="AW303" s="3"/>
      <c r="AX303" s="4"/>
      <c r="AY303" s="3"/>
      <c r="AZ303" s="4"/>
      <c r="BA303" s="3"/>
      <c r="BB303" s="4"/>
      <c r="BC303" s="3"/>
      <c r="BD303" s="4"/>
      <c r="BE303" s="3"/>
      <c r="BF303" s="4"/>
      <c r="BG303" s="3"/>
      <c r="BH303" s="4"/>
      <c r="BI303" s="3"/>
      <c r="BJ303" s="4"/>
      <c r="BK303" s="3"/>
      <c r="BL303" s="4"/>
      <c r="BM303" s="3"/>
      <c r="BN303" s="4"/>
      <c r="BO303" s="3"/>
      <c r="BP303" s="4"/>
      <c r="BQ303" s="3"/>
      <c r="BR303" s="4"/>
      <c r="BS303" s="3"/>
      <c r="BT303" s="4"/>
      <c r="BU303" s="3"/>
      <c r="BV303" s="4"/>
      <c r="BW303" s="3"/>
      <c r="BX303" s="4"/>
      <c r="BY303" s="3"/>
      <c r="BZ303" s="4"/>
      <c r="CA303" s="3"/>
      <c r="CB303" s="4"/>
      <c r="CC303" s="3"/>
      <c r="CD303" s="4"/>
    </row>
    <row r="304">
      <c r="A304" s="3"/>
      <c r="B304" s="4"/>
      <c r="C304" s="3"/>
      <c r="D304" s="4"/>
      <c r="E304" s="3"/>
      <c r="F304" s="4"/>
      <c r="G304" s="3"/>
      <c r="H304" s="4"/>
      <c r="I304" s="3"/>
      <c r="J304" s="4"/>
      <c r="K304" s="3"/>
      <c r="L304" s="4"/>
      <c r="M304" s="3"/>
      <c r="N304" s="4"/>
      <c r="O304" s="3"/>
      <c r="P304" s="4"/>
      <c r="Q304" s="3"/>
      <c r="R304" s="4"/>
      <c r="S304" s="3"/>
      <c r="T304" s="4"/>
      <c r="U304" s="3"/>
      <c r="V304" s="4"/>
      <c r="W304" s="3"/>
      <c r="X304" s="4"/>
      <c r="Y304" s="3"/>
      <c r="Z304" s="4"/>
      <c r="AA304" s="3"/>
      <c r="AB304" s="4"/>
      <c r="AC304" s="3"/>
      <c r="AD304" s="4"/>
      <c r="AE304" s="3"/>
      <c r="AF304" s="4"/>
      <c r="AG304" s="3"/>
      <c r="AH304" s="4"/>
      <c r="AI304" s="3"/>
      <c r="AJ304" s="4"/>
      <c r="AK304" s="3"/>
      <c r="AL304" s="4"/>
      <c r="AM304" s="3"/>
      <c r="AN304" s="4"/>
      <c r="AO304" s="3"/>
      <c r="AP304" s="4"/>
      <c r="AQ304" s="3"/>
      <c r="AR304" s="4"/>
      <c r="AS304" s="3"/>
      <c r="AT304" s="4"/>
      <c r="AU304" s="3"/>
      <c r="AV304" s="4"/>
      <c r="AW304" s="3"/>
      <c r="AX304" s="4"/>
      <c r="AY304" s="3"/>
      <c r="AZ304" s="4"/>
      <c r="BA304" s="3"/>
      <c r="BB304" s="4"/>
      <c r="BC304" s="3"/>
      <c r="BD304" s="4"/>
      <c r="BE304" s="3"/>
      <c r="BF304" s="4"/>
      <c r="BG304" s="3"/>
      <c r="BH304" s="4"/>
      <c r="BI304" s="3"/>
      <c r="BJ304" s="4"/>
      <c r="BK304" s="3"/>
      <c r="BL304" s="4"/>
      <c r="BM304" s="3"/>
      <c r="BN304" s="4"/>
      <c r="BO304" s="3"/>
      <c r="BP304" s="4"/>
      <c r="BQ304" s="3"/>
      <c r="BR304" s="4"/>
      <c r="BS304" s="3"/>
      <c r="BT304" s="4"/>
      <c r="BU304" s="3"/>
      <c r="BV304" s="4"/>
      <c r="BW304" s="3"/>
      <c r="BX304" s="4"/>
      <c r="BY304" s="3"/>
      <c r="BZ304" s="4"/>
      <c r="CA304" s="3"/>
      <c r="CB304" s="4"/>
      <c r="CC304" s="3"/>
      <c r="CD304" s="4"/>
    </row>
    <row r="305">
      <c r="A305" s="3"/>
      <c r="B305" s="4"/>
      <c r="C305" s="3"/>
      <c r="D305" s="4"/>
      <c r="E305" s="3"/>
      <c r="F305" s="4"/>
      <c r="G305" s="3"/>
      <c r="H305" s="4"/>
      <c r="I305" s="3"/>
      <c r="J305" s="4"/>
      <c r="K305" s="3"/>
      <c r="L305" s="4"/>
      <c r="M305" s="3"/>
      <c r="N305" s="4"/>
      <c r="O305" s="3"/>
      <c r="P305" s="4"/>
      <c r="Q305" s="3"/>
      <c r="R305" s="4"/>
      <c r="S305" s="3"/>
      <c r="T305" s="4"/>
      <c r="U305" s="3"/>
      <c r="V305" s="4"/>
      <c r="W305" s="3"/>
      <c r="X305" s="4"/>
      <c r="Y305" s="3"/>
      <c r="Z305" s="4"/>
      <c r="AA305" s="3"/>
      <c r="AB305" s="4"/>
      <c r="AC305" s="3"/>
      <c r="AD305" s="4"/>
      <c r="AE305" s="3"/>
      <c r="AF305" s="4"/>
      <c r="AG305" s="3"/>
      <c r="AH305" s="4"/>
      <c r="AI305" s="3"/>
      <c r="AJ305" s="4"/>
      <c r="AK305" s="3"/>
      <c r="AL305" s="4"/>
      <c r="AM305" s="3"/>
      <c r="AN305" s="4"/>
      <c r="AO305" s="3"/>
      <c r="AP305" s="4"/>
      <c r="AQ305" s="3"/>
      <c r="AR305" s="4"/>
      <c r="AS305" s="3"/>
      <c r="AT305" s="4"/>
      <c r="AU305" s="3"/>
      <c r="AV305" s="4"/>
      <c r="AW305" s="3"/>
      <c r="AX305" s="4"/>
      <c r="AY305" s="3"/>
      <c r="AZ305" s="4"/>
      <c r="BA305" s="3"/>
      <c r="BB305" s="4"/>
      <c r="BC305" s="3"/>
      <c r="BD305" s="4"/>
      <c r="BE305" s="3"/>
      <c r="BF305" s="4"/>
      <c r="BG305" s="3"/>
      <c r="BH305" s="4"/>
      <c r="BI305" s="3"/>
      <c r="BJ305" s="4"/>
      <c r="BK305" s="3"/>
      <c r="BL305" s="4"/>
      <c r="BM305" s="3"/>
      <c r="BN305" s="4"/>
      <c r="BO305" s="3"/>
      <c r="BP305" s="4"/>
      <c r="BQ305" s="3"/>
      <c r="BR305" s="4"/>
      <c r="BS305" s="3"/>
      <c r="BT305" s="4"/>
      <c r="BU305" s="3"/>
      <c r="BV305" s="4"/>
      <c r="BW305" s="3"/>
      <c r="BX305" s="4"/>
      <c r="BY305" s="3"/>
      <c r="BZ305" s="4"/>
      <c r="CA305" s="3"/>
      <c r="CB305" s="4"/>
      <c r="CC305" s="3"/>
      <c r="CD305" s="4"/>
    </row>
    <row r="306">
      <c r="A306" s="3"/>
      <c r="B306" s="4"/>
      <c r="C306" s="3"/>
      <c r="D306" s="4"/>
      <c r="E306" s="3"/>
      <c r="F306" s="4"/>
      <c r="G306" s="3"/>
      <c r="H306" s="4"/>
      <c r="I306" s="3"/>
      <c r="J306" s="4"/>
      <c r="K306" s="3"/>
      <c r="L306" s="4"/>
      <c r="M306" s="3"/>
      <c r="N306" s="4"/>
      <c r="O306" s="3"/>
      <c r="P306" s="4"/>
      <c r="Q306" s="3"/>
      <c r="R306" s="4"/>
      <c r="S306" s="3"/>
      <c r="T306" s="4"/>
      <c r="U306" s="3"/>
      <c r="V306" s="4"/>
      <c r="W306" s="3"/>
      <c r="X306" s="4"/>
      <c r="Y306" s="3"/>
      <c r="Z306" s="4"/>
      <c r="AA306" s="3"/>
      <c r="AB306" s="4"/>
      <c r="AC306" s="3"/>
      <c r="AD306" s="4"/>
      <c r="AE306" s="3"/>
      <c r="AF306" s="4"/>
      <c r="AG306" s="3"/>
      <c r="AH306" s="4"/>
      <c r="AI306" s="3"/>
      <c r="AJ306" s="4"/>
      <c r="AK306" s="3"/>
      <c r="AL306" s="4"/>
      <c r="AM306" s="3"/>
      <c r="AN306" s="4"/>
      <c r="AO306" s="3"/>
      <c r="AP306" s="4"/>
      <c r="AQ306" s="3"/>
      <c r="AR306" s="4"/>
      <c r="AS306" s="3"/>
      <c r="AT306" s="4"/>
      <c r="AU306" s="3"/>
      <c r="AV306" s="4"/>
      <c r="AW306" s="3"/>
      <c r="AX306" s="4"/>
      <c r="AY306" s="3"/>
      <c r="AZ306" s="4"/>
      <c r="BA306" s="3"/>
      <c r="BB306" s="4"/>
      <c r="BC306" s="3"/>
      <c r="BD306" s="4"/>
      <c r="BE306" s="3"/>
      <c r="BF306" s="4"/>
      <c r="BG306" s="3"/>
      <c r="BH306" s="4"/>
      <c r="BI306" s="3"/>
      <c r="BJ306" s="4"/>
      <c r="BK306" s="3"/>
      <c r="BL306" s="4"/>
      <c r="BM306" s="3"/>
      <c r="BN306" s="4"/>
      <c r="BO306" s="3"/>
      <c r="BP306" s="4"/>
      <c r="BQ306" s="3"/>
      <c r="BR306" s="4"/>
      <c r="BS306" s="3"/>
      <c r="BT306" s="4"/>
      <c r="BU306" s="3"/>
      <c r="BV306" s="4"/>
      <c r="BW306" s="3"/>
      <c r="BX306" s="4"/>
      <c r="BY306" s="3"/>
      <c r="BZ306" s="4"/>
      <c r="CA306" s="3"/>
      <c r="CB306" s="4"/>
      <c r="CC306" s="3"/>
      <c r="CD306" s="4"/>
    </row>
    <row r="307">
      <c r="A307" s="3"/>
      <c r="B307" s="4"/>
      <c r="C307" s="3"/>
      <c r="D307" s="4"/>
      <c r="E307" s="3"/>
      <c r="F307" s="4"/>
      <c r="G307" s="3"/>
      <c r="H307" s="4"/>
      <c r="I307" s="3"/>
      <c r="J307" s="4"/>
      <c r="K307" s="3"/>
      <c r="L307" s="4"/>
      <c r="M307" s="3"/>
      <c r="N307" s="4"/>
      <c r="O307" s="3"/>
      <c r="P307" s="4"/>
      <c r="Q307" s="3"/>
      <c r="R307" s="4"/>
      <c r="S307" s="3"/>
      <c r="T307" s="4"/>
      <c r="U307" s="3"/>
      <c r="V307" s="4"/>
      <c r="W307" s="3"/>
      <c r="X307" s="4"/>
      <c r="Y307" s="3"/>
      <c r="Z307" s="4"/>
      <c r="AA307" s="3"/>
      <c r="AB307" s="4"/>
      <c r="AC307" s="3"/>
      <c r="AD307" s="4"/>
      <c r="AE307" s="3"/>
      <c r="AF307" s="4"/>
      <c r="AG307" s="3"/>
      <c r="AH307" s="4"/>
      <c r="AI307" s="3"/>
      <c r="AJ307" s="4"/>
      <c r="AK307" s="3"/>
      <c r="AL307" s="4"/>
      <c r="AM307" s="3"/>
      <c r="AN307" s="4"/>
      <c r="AO307" s="3"/>
      <c r="AP307" s="4"/>
      <c r="AQ307" s="3"/>
      <c r="AR307" s="4"/>
      <c r="AS307" s="3"/>
      <c r="AT307" s="4"/>
      <c r="AU307" s="3"/>
      <c r="AV307" s="4"/>
      <c r="AW307" s="3"/>
      <c r="AX307" s="4"/>
      <c r="AY307" s="3"/>
      <c r="AZ307" s="4"/>
      <c r="BA307" s="3"/>
      <c r="BB307" s="4"/>
      <c r="BC307" s="3"/>
      <c r="BD307" s="4"/>
      <c r="BE307" s="3"/>
      <c r="BF307" s="4"/>
      <c r="BG307" s="3"/>
      <c r="BH307" s="4"/>
      <c r="BI307" s="3"/>
      <c r="BJ307" s="4"/>
      <c r="BK307" s="3"/>
      <c r="BL307" s="4"/>
      <c r="BM307" s="3"/>
      <c r="BN307" s="4"/>
      <c r="BO307" s="3"/>
      <c r="BP307" s="4"/>
      <c r="BQ307" s="3"/>
      <c r="BR307" s="4"/>
      <c r="BS307" s="3"/>
      <c r="BT307" s="4"/>
      <c r="BU307" s="3"/>
      <c r="BV307" s="4"/>
      <c r="BW307" s="3"/>
      <c r="BX307" s="4"/>
      <c r="BY307" s="3"/>
      <c r="BZ307" s="4"/>
      <c r="CA307" s="3"/>
      <c r="CB307" s="4"/>
      <c r="CC307" s="3"/>
      <c r="CD307" s="4"/>
    </row>
    <row r="308">
      <c r="A308" s="3"/>
      <c r="B308" s="4"/>
      <c r="C308" s="3"/>
      <c r="D308" s="4"/>
      <c r="E308" s="3"/>
      <c r="F308" s="4"/>
      <c r="G308" s="3"/>
      <c r="H308" s="4"/>
      <c r="I308" s="3"/>
      <c r="J308" s="4"/>
      <c r="K308" s="3"/>
      <c r="L308" s="4"/>
      <c r="M308" s="3"/>
      <c r="N308" s="4"/>
      <c r="O308" s="3"/>
      <c r="P308" s="4"/>
      <c r="Q308" s="3"/>
      <c r="R308" s="4"/>
      <c r="S308" s="3"/>
      <c r="T308" s="4"/>
      <c r="U308" s="3"/>
      <c r="V308" s="4"/>
      <c r="W308" s="3"/>
      <c r="X308" s="4"/>
      <c r="Y308" s="3"/>
      <c r="Z308" s="4"/>
      <c r="AA308" s="3"/>
      <c r="AB308" s="4"/>
      <c r="AC308" s="3"/>
      <c r="AD308" s="4"/>
      <c r="AE308" s="3"/>
      <c r="AF308" s="4"/>
      <c r="AG308" s="3"/>
      <c r="AH308" s="4"/>
      <c r="AI308" s="3"/>
      <c r="AJ308" s="4"/>
      <c r="AK308" s="3"/>
      <c r="AL308" s="4"/>
      <c r="AM308" s="3"/>
      <c r="AN308" s="4"/>
      <c r="AO308" s="3"/>
      <c r="AP308" s="4"/>
      <c r="AQ308" s="3"/>
      <c r="AR308" s="4"/>
      <c r="AS308" s="3"/>
      <c r="AT308" s="4"/>
      <c r="AU308" s="3"/>
      <c r="AV308" s="4"/>
      <c r="AW308" s="3"/>
      <c r="AX308" s="4"/>
      <c r="AY308" s="3"/>
      <c r="AZ308" s="4"/>
      <c r="BA308" s="3"/>
      <c r="BB308" s="4"/>
      <c r="BC308" s="3"/>
      <c r="BD308" s="4"/>
      <c r="BE308" s="3"/>
      <c r="BF308" s="4"/>
      <c r="BG308" s="3"/>
      <c r="BH308" s="4"/>
      <c r="BI308" s="3"/>
      <c r="BJ308" s="4"/>
      <c r="BK308" s="3"/>
      <c r="BL308" s="4"/>
      <c r="BM308" s="3"/>
      <c r="BN308" s="4"/>
      <c r="BO308" s="3"/>
      <c r="BP308" s="4"/>
      <c r="BQ308" s="3"/>
      <c r="BR308" s="4"/>
      <c r="BS308" s="3"/>
      <c r="BT308" s="4"/>
      <c r="BU308" s="3"/>
      <c r="BV308" s="4"/>
      <c r="BW308" s="3"/>
      <c r="BX308" s="4"/>
      <c r="BY308" s="3"/>
      <c r="BZ308" s="4"/>
      <c r="CA308" s="3"/>
      <c r="CB308" s="4"/>
      <c r="CC308" s="3"/>
      <c r="CD308" s="4"/>
    </row>
    <row r="309">
      <c r="A309" s="3"/>
      <c r="B309" s="4"/>
      <c r="C309" s="3"/>
      <c r="D309" s="4"/>
      <c r="E309" s="3"/>
      <c r="F309" s="4"/>
      <c r="G309" s="3"/>
      <c r="H309" s="4"/>
      <c r="I309" s="3"/>
      <c r="J309" s="4"/>
      <c r="K309" s="3"/>
      <c r="L309" s="4"/>
      <c r="M309" s="3"/>
      <c r="N309" s="4"/>
      <c r="O309" s="3"/>
      <c r="P309" s="4"/>
      <c r="Q309" s="3"/>
      <c r="R309" s="4"/>
      <c r="S309" s="3"/>
      <c r="T309" s="4"/>
      <c r="U309" s="3"/>
      <c r="V309" s="4"/>
      <c r="W309" s="3"/>
      <c r="X309" s="4"/>
      <c r="Y309" s="3"/>
      <c r="Z309" s="4"/>
      <c r="AA309" s="3"/>
      <c r="AB309" s="4"/>
      <c r="AC309" s="3"/>
      <c r="AD309" s="4"/>
      <c r="AE309" s="3"/>
      <c r="AF309" s="4"/>
      <c r="AG309" s="3"/>
      <c r="AH309" s="4"/>
      <c r="AI309" s="3"/>
      <c r="AJ309" s="4"/>
      <c r="AK309" s="3"/>
      <c r="AL309" s="4"/>
      <c r="AM309" s="3"/>
      <c r="AN309" s="4"/>
      <c r="AO309" s="3"/>
      <c r="AP309" s="4"/>
      <c r="AQ309" s="3"/>
      <c r="AR309" s="4"/>
      <c r="AS309" s="3"/>
      <c r="AT309" s="4"/>
      <c r="AU309" s="3"/>
      <c r="AV309" s="4"/>
      <c r="AW309" s="3"/>
      <c r="AX309" s="4"/>
      <c r="AY309" s="3"/>
      <c r="AZ309" s="4"/>
      <c r="BA309" s="3"/>
      <c r="BB309" s="4"/>
      <c r="BC309" s="3"/>
      <c r="BD309" s="4"/>
      <c r="BE309" s="3"/>
      <c r="BF309" s="4"/>
      <c r="BG309" s="3"/>
      <c r="BH309" s="4"/>
      <c r="BI309" s="3"/>
      <c r="BJ309" s="4"/>
      <c r="BK309" s="3"/>
      <c r="BL309" s="4"/>
      <c r="BM309" s="3"/>
      <c r="BN309" s="4"/>
      <c r="BO309" s="3"/>
      <c r="BP309" s="4"/>
      <c r="BQ309" s="3"/>
      <c r="BR309" s="4"/>
      <c r="BS309" s="3"/>
      <c r="BT309" s="4"/>
      <c r="BU309" s="3"/>
      <c r="BV309" s="4"/>
      <c r="BW309" s="3"/>
      <c r="BX309" s="4"/>
      <c r="BY309" s="3"/>
      <c r="BZ309" s="4"/>
      <c r="CA309" s="3"/>
      <c r="CB309" s="4"/>
      <c r="CC309" s="3"/>
      <c r="CD309" s="4"/>
    </row>
    <row r="310">
      <c r="A310" s="3"/>
      <c r="B310" s="4"/>
      <c r="C310" s="3"/>
      <c r="D310" s="4"/>
      <c r="E310" s="3"/>
      <c r="F310" s="4"/>
      <c r="G310" s="3"/>
      <c r="H310" s="4"/>
      <c r="I310" s="3"/>
      <c r="J310" s="4"/>
      <c r="K310" s="3"/>
      <c r="L310" s="4"/>
      <c r="M310" s="3"/>
      <c r="N310" s="4"/>
      <c r="O310" s="3"/>
      <c r="P310" s="4"/>
      <c r="Q310" s="3"/>
      <c r="R310" s="4"/>
      <c r="S310" s="3"/>
      <c r="T310" s="4"/>
      <c r="U310" s="3"/>
      <c r="V310" s="4"/>
      <c r="W310" s="3"/>
      <c r="X310" s="4"/>
      <c r="Y310" s="3"/>
      <c r="Z310" s="4"/>
      <c r="AA310" s="3"/>
      <c r="AB310" s="4"/>
      <c r="AC310" s="3"/>
      <c r="AD310" s="4"/>
      <c r="AE310" s="3"/>
      <c r="AF310" s="4"/>
      <c r="AG310" s="3"/>
      <c r="AH310" s="4"/>
      <c r="AI310" s="3"/>
      <c r="AJ310" s="4"/>
      <c r="AK310" s="3"/>
      <c r="AL310" s="4"/>
      <c r="AM310" s="3"/>
      <c r="AN310" s="4"/>
      <c r="AO310" s="3"/>
      <c r="AP310" s="4"/>
      <c r="AQ310" s="3"/>
      <c r="AR310" s="4"/>
      <c r="AS310" s="3"/>
      <c r="AT310" s="4"/>
      <c r="AU310" s="3"/>
      <c r="AV310" s="4"/>
      <c r="AW310" s="3"/>
      <c r="AX310" s="4"/>
      <c r="AY310" s="3"/>
      <c r="AZ310" s="4"/>
      <c r="BA310" s="3"/>
      <c r="BB310" s="4"/>
      <c r="BC310" s="3"/>
      <c r="BD310" s="4"/>
      <c r="BE310" s="3"/>
      <c r="BF310" s="4"/>
      <c r="BG310" s="3"/>
      <c r="BH310" s="4"/>
      <c r="BI310" s="3"/>
      <c r="BJ310" s="4"/>
      <c r="BK310" s="3"/>
      <c r="BL310" s="4"/>
      <c r="BM310" s="3"/>
      <c r="BN310" s="4"/>
      <c r="BO310" s="3"/>
      <c r="BP310" s="4"/>
      <c r="BQ310" s="3"/>
      <c r="BR310" s="4"/>
      <c r="BS310" s="3"/>
      <c r="BT310" s="4"/>
      <c r="BU310" s="3"/>
      <c r="BV310" s="4"/>
      <c r="BW310" s="3"/>
      <c r="BX310" s="4"/>
      <c r="BY310" s="3"/>
      <c r="BZ310" s="4"/>
      <c r="CA310" s="3"/>
      <c r="CB310" s="4"/>
      <c r="CC310" s="3"/>
      <c r="CD310" s="4"/>
    </row>
    <row r="311">
      <c r="A311" s="3"/>
      <c r="B311" s="4"/>
      <c r="C311" s="3"/>
      <c r="D311" s="4"/>
      <c r="E311" s="3"/>
      <c r="F311" s="4"/>
      <c r="G311" s="3"/>
      <c r="H311" s="4"/>
      <c r="I311" s="3"/>
      <c r="J311" s="4"/>
      <c r="K311" s="3"/>
      <c r="L311" s="4"/>
      <c r="M311" s="3"/>
      <c r="N311" s="4"/>
      <c r="O311" s="3"/>
      <c r="P311" s="4"/>
      <c r="Q311" s="3"/>
      <c r="R311" s="4"/>
      <c r="S311" s="3"/>
      <c r="T311" s="4"/>
      <c r="U311" s="3"/>
      <c r="V311" s="4"/>
      <c r="W311" s="3"/>
      <c r="X311" s="4"/>
      <c r="Y311" s="3"/>
      <c r="Z311" s="4"/>
      <c r="AA311" s="3"/>
      <c r="AB311" s="4"/>
      <c r="AC311" s="3"/>
      <c r="AD311" s="4"/>
      <c r="AE311" s="3"/>
      <c r="AF311" s="4"/>
      <c r="AG311" s="3"/>
      <c r="AH311" s="4"/>
      <c r="AI311" s="3"/>
      <c r="AJ311" s="4"/>
      <c r="AK311" s="3"/>
      <c r="AL311" s="4"/>
      <c r="AM311" s="3"/>
      <c r="AN311" s="4"/>
      <c r="AO311" s="3"/>
      <c r="AP311" s="4"/>
      <c r="AQ311" s="3"/>
      <c r="AR311" s="4"/>
      <c r="AS311" s="3"/>
      <c r="AT311" s="4"/>
      <c r="AU311" s="3"/>
      <c r="AV311" s="4"/>
      <c r="AW311" s="3"/>
      <c r="AX311" s="4"/>
      <c r="AY311" s="3"/>
      <c r="AZ311" s="4"/>
      <c r="BA311" s="3"/>
      <c r="BB311" s="4"/>
      <c r="BC311" s="3"/>
      <c r="BD311" s="4"/>
      <c r="BE311" s="3"/>
      <c r="BF311" s="4"/>
      <c r="BG311" s="3"/>
      <c r="BH311" s="4"/>
      <c r="BI311" s="3"/>
      <c r="BJ311" s="4"/>
      <c r="BK311" s="3"/>
      <c r="BL311" s="4"/>
      <c r="BM311" s="3"/>
      <c r="BN311" s="4"/>
      <c r="BO311" s="3"/>
      <c r="BP311" s="4"/>
      <c r="BQ311" s="3"/>
      <c r="BR311" s="4"/>
      <c r="BS311" s="3"/>
      <c r="BT311" s="4"/>
      <c r="BU311" s="3"/>
      <c r="BV311" s="4"/>
      <c r="BW311" s="3"/>
      <c r="BX311" s="4"/>
      <c r="BY311" s="3"/>
      <c r="BZ311" s="4"/>
      <c r="CA311" s="3"/>
      <c r="CB311" s="4"/>
      <c r="CC311" s="3"/>
      <c r="CD311" s="4"/>
    </row>
    <row r="312">
      <c r="A312" s="3"/>
      <c r="B312" s="4"/>
      <c r="C312" s="3"/>
      <c r="D312" s="4"/>
      <c r="E312" s="3"/>
      <c r="F312" s="4"/>
      <c r="G312" s="3"/>
      <c r="H312" s="4"/>
      <c r="I312" s="3"/>
      <c r="J312" s="4"/>
      <c r="K312" s="3"/>
      <c r="L312" s="4"/>
      <c r="M312" s="3"/>
      <c r="N312" s="4"/>
      <c r="O312" s="3"/>
      <c r="P312" s="4"/>
      <c r="Q312" s="3"/>
      <c r="R312" s="4"/>
      <c r="S312" s="3"/>
      <c r="T312" s="4"/>
      <c r="U312" s="3"/>
      <c r="V312" s="4"/>
      <c r="W312" s="3"/>
      <c r="X312" s="4"/>
      <c r="Y312" s="3"/>
      <c r="Z312" s="4"/>
      <c r="AA312" s="3"/>
      <c r="AB312" s="4"/>
      <c r="AC312" s="3"/>
      <c r="AD312" s="4"/>
      <c r="AE312" s="3"/>
      <c r="AF312" s="4"/>
      <c r="AG312" s="3"/>
      <c r="AH312" s="4"/>
      <c r="AI312" s="3"/>
      <c r="AJ312" s="4"/>
      <c r="AK312" s="3"/>
      <c r="AL312" s="4"/>
      <c r="AM312" s="3"/>
      <c r="AN312" s="4"/>
      <c r="AO312" s="3"/>
      <c r="AP312" s="4"/>
      <c r="AQ312" s="3"/>
      <c r="AR312" s="4"/>
      <c r="AS312" s="3"/>
      <c r="AT312" s="4"/>
      <c r="AU312" s="3"/>
      <c r="AV312" s="4"/>
      <c r="AW312" s="3"/>
      <c r="AX312" s="4"/>
      <c r="AY312" s="3"/>
      <c r="AZ312" s="4"/>
      <c r="BA312" s="3"/>
      <c r="BB312" s="4"/>
      <c r="BC312" s="3"/>
      <c r="BD312" s="4"/>
      <c r="BE312" s="3"/>
      <c r="BF312" s="4"/>
      <c r="BG312" s="3"/>
      <c r="BH312" s="4"/>
      <c r="BI312" s="3"/>
      <c r="BJ312" s="4"/>
      <c r="BK312" s="3"/>
      <c r="BL312" s="4"/>
      <c r="BM312" s="3"/>
      <c r="BN312" s="4"/>
      <c r="BO312" s="3"/>
      <c r="BP312" s="4"/>
      <c r="BQ312" s="3"/>
      <c r="BR312" s="4"/>
      <c r="BS312" s="3"/>
      <c r="BT312" s="4"/>
      <c r="BU312" s="3"/>
      <c r="BV312" s="4"/>
      <c r="BW312" s="3"/>
      <c r="BX312" s="4"/>
      <c r="BY312" s="3"/>
      <c r="BZ312" s="4"/>
      <c r="CA312" s="3"/>
      <c r="CB312" s="4"/>
      <c r="CC312" s="3"/>
      <c r="CD312" s="4"/>
    </row>
    <row r="313">
      <c r="A313" s="3"/>
      <c r="B313" s="4"/>
      <c r="C313" s="3"/>
      <c r="D313" s="4"/>
      <c r="E313" s="3"/>
      <c r="F313" s="4"/>
      <c r="G313" s="3"/>
      <c r="H313" s="4"/>
      <c r="I313" s="3"/>
      <c r="J313" s="4"/>
      <c r="K313" s="3"/>
      <c r="L313" s="4"/>
      <c r="M313" s="3"/>
      <c r="N313" s="4"/>
      <c r="O313" s="3"/>
      <c r="P313" s="4"/>
      <c r="Q313" s="3"/>
      <c r="R313" s="4"/>
      <c r="S313" s="3"/>
      <c r="T313" s="4"/>
      <c r="U313" s="3"/>
      <c r="V313" s="4"/>
      <c r="W313" s="3"/>
      <c r="X313" s="4"/>
      <c r="Y313" s="3"/>
      <c r="Z313" s="4"/>
      <c r="AA313" s="3"/>
      <c r="AB313" s="4"/>
      <c r="AC313" s="3"/>
      <c r="AD313" s="4"/>
      <c r="AE313" s="3"/>
      <c r="AF313" s="4"/>
      <c r="AG313" s="3"/>
      <c r="AH313" s="4"/>
      <c r="AI313" s="3"/>
      <c r="AJ313" s="4"/>
      <c r="AK313" s="3"/>
      <c r="AL313" s="4"/>
      <c r="AM313" s="3"/>
      <c r="AN313" s="4"/>
      <c r="AO313" s="3"/>
      <c r="AP313" s="4"/>
      <c r="AQ313" s="3"/>
      <c r="AR313" s="4"/>
      <c r="AS313" s="3"/>
      <c r="AT313" s="4"/>
      <c r="AU313" s="3"/>
      <c r="AV313" s="4"/>
      <c r="AW313" s="3"/>
      <c r="AX313" s="4"/>
      <c r="AY313" s="3"/>
      <c r="AZ313" s="4"/>
      <c r="BA313" s="3"/>
      <c r="BB313" s="4"/>
      <c r="BC313" s="3"/>
      <c r="BD313" s="4"/>
      <c r="BE313" s="3"/>
      <c r="BF313" s="4"/>
      <c r="BG313" s="3"/>
      <c r="BH313" s="4"/>
      <c r="BI313" s="3"/>
      <c r="BJ313" s="4"/>
      <c r="BK313" s="3"/>
      <c r="BL313" s="4"/>
      <c r="BM313" s="3"/>
      <c r="BN313" s="4"/>
      <c r="BO313" s="3"/>
      <c r="BP313" s="4"/>
      <c r="BQ313" s="3"/>
      <c r="BR313" s="4"/>
      <c r="BS313" s="3"/>
      <c r="BT313" s="4"/>
      <c r="BU313" s="3"/>
      <c r="BV313" s="4"/>
      <c r="BW313" s="3"/>
      <c r="BX313" s="4"/>
      <c r="BY313" s="3"/>
      <c r="BZ313" s="4"/>
      <c r="CA313" s="3"/>
      <c r="CB313" s="4"/>
      <c r="CC313" s="3"/>
      <c r="CD313" s="4"/>
    </row>
    <row r="314">
      <c r="A314" s="3"/>
      <c r="B314" s="4"/>
      <c r="C314" s="3"/>
      <c r="D314" s="4"/>
      <c r="E314" s="3"/>
      <c r="F314" s="4"/>
      <c r="G314" s="3"/>
      <c r="H314" s="4"/>
      <c r="I314" s="3"/>
      <c r="J314" s="4"/>
      <c r="K314" s="3"/>
      <c r="L314" s="4"/>
      <c r="M314" s="3"/>
      <c r="N314" s="4"/>
      <c r="O314" s="3"/>
      <c r="P314" s="4"/>
      <c r="Q314" s="3"/>
      <c r="R314" s="4"/>
      <c r="S314" s="3"/>
      <c r="T314" s="4"/>
      <c r="U314" s="3"/>
      <c r="V314" s="4"/>
      <c r="W314" s="3"/>
      <c r="X314" s="4"/>
      <c r="Y314" s="3"/>
      <c r="Z314" s="4"/>
      <c r="AA314" s="3"/>
      <c r="AB314" s="4"/>
      <c r="AC314" s="3"/>
      <c r="AD314" s="4"/>
      <c r="AE314" s="3"/>
      <c r="AF314" s="4"/>
      <c r="AG314" s="3"/>
      <c r="AH314" s="4"/>
      <c r="AI314" s="3"/>
      <c r="AJ314" s="4"/>
      <c r="AK314" s="3"/>
      <c r="AL314" s="4"/>
      <c r="AM314" s="3"/>
      <c r="AN314" s="4"/>
      <c r="AO314" s="3"/>
      <c r="AP314" s="4"/>
      <c r="AQ314" s="3"/>
      <c r="AR314" s="4"/>
      <c r="AS314" s="3"/>
      <c r="AT314" s="4"/>
      <c r="AU314" s="3"/>
      <c r="AV314" s="4"/>
      <c r="AW314" s="3"/>
      <c r="AX314" s="4"/>
      <c r="AY314" s="3"/>
      <c r="AZ314" s="4"/>
      <c r="BA314" s="3"/>
      <c r="BB314" s="4"/>
      <c r="BC314" s="3"/>
      <c r="BD314" s="4"/>
      <c r="BE314" s="3"/>
      <c r="BF314" s="4"/>
      <c r="BG314" s="3"/>
      <c r="BH314" s="4"/>
      <c r="BI314" s="3"/>
      <c r="BJ314" s="4"/>
      <c r="BK314" s="3"/>
      <c r="BL314" s="4"/>
      <c r="BM314" s="3"/>
      <c r="BN314" s="4"/>
      <c r="BO314" s="3"/>
      <c r="BP314" s="4"/>
      <c r="BQ314" s="3"/>
      <c r="BR314" s="4"/>
      <c r="BS314" s="3"/>
      <c r="BT314" s="4"/>
      <c r="BU314" s="3"/>
      <c r="BV314" s="4"/>
      <c r="BW314" s="3"/>
      <c r="BX314" s="4"/>
      <c r="BY314" s="3"/>
      <c r="BZ314" s="4"/>
      <c r="CA314" s="3"/>
      <c r="CB314" s="4"/>
      <c r="CC314" s="3"/>
      <c r="CD314" s="4"/>
    </row>
    <row r="315">
      <c r="A315" s="3"/>
      <c r="B315" s="4"/>
      <c r="C315" s="3"/>
      <c r="D315" s="4"/>
      <c r="E315" s="3"/>
      <c r="F315" s="4"/>
      <c r="G315" s="3"/>
      <c r="H315" s="4"/>
      <c r="I315" s="3"/>
      <c r="J315" s="4"/>
      <c r="K315" s="3"/>
      <c r="L315" s="4"/>
      <c r="M315" s="3"/>
      <c r="N315" s="4"/>
      <c r="O315" s="3"/>
      <c r="P315" s="4"/>
      <c r="Q315" s="3"/>
      <c r="R315" s="4"/>
      <c r="S315" s="3"/>
      <c r="T315" s="4"/>
      <c r="U315" s="3"/>
      <c r="V315" s="4"/>
      <c r="W315" s="3"/>
      <c r="X315" s="4"/>
      <c r="Y315" s="3"/>
      <c r="Z315" s="4"/>
      <c r="AA315" s="3"/>
      <c r="AB315" s="4"/>
      <c r="AC315" s="3"/>
      <c r="AD315" s="4"/>
      <c r="AE315" s="3"/>
      <c r="AF315" s="4"/>
      <c r="AG315" s="3"/>
      <c r="AH315" s="4"/>
      <c r="AI315" s="3"/>
      <c r="AJ315" s="4"/>
      <c r="AK315" s="3"/>
      <c r="AL315" s="4"/>
      <c r="AM315" s="3"/>
      <c r="AN315" s="4"/>
      <c r="AO315" s="3"/>
      <c r="AP315" s="4"/>
      <c r="AQ315" s="3"/>
      <c r="AR315" s="4"/>
      <c r="AS315" s="3"/>
      <c r="AT315" s="4"/>
      <c r="AU315" s="3"/>
      <c r="AV315" s="4"/>
      <c r="AW315" s="3"/>
      <c r="AX315" s="4"/>
      <c r="AY315" s="3"/>
      <c r="AZ315" s="4"/>
      <c r="BA315" s="3"/>
      <c r="BB315" s="4"/>
      <c r="BC315" s="3"/>
      <c r="BD315" s="4"/>
      <c r="BE315" s="3"/>
      <c r="BF315" s="4"/>
      <c r="BG315" s="3"/>
      <c r="BH315" s="4"/>
      <c r="BI315" s="3"/>
      <c r="BJ315" s="4"/>
      <c r="BK315" s="3"/>
      <c r="BL315" s="4"/>
      <c r="BM315" s="3"/>
      <c r="BN315" s="4"/>
      <c r="BO315" s="3"/>
      <c r="BP315" s="4"/>
      <c r="BQ315" s="3"/>
      <c r="BR315" s="4"/>
      <c r="BS315" s="3"/>
      <c r="BT315" s="4"/>
      <c r="BU315" s="3"/>
      <c r="BV315" s="4"/>
      <c r="BW315" s="3"/>
      <c r="BX315" s="4"/>
      <c r="BY315" s="3"/>
      <c r="BZ315" s="4"/>
      <c r="CA315" s="3"/>
      <c r="CB315" s="4"/>
      <c r="CC315" s="3"/>
      <c r="CD315" s="4"/>
    </row>
    <row r="316">
      <c r="A316" s="3"/>
      <c r="B316" s="4"/>
      <c r="C316" s="3"/>
      <c r="D316" s="4"/>
      <c r="E316" s="3"/>
      <c r="F316" s="4"/>
      <c r="G316" s="3"/>
      <c r="H316" s="4"/>
      <c r="I316" s="3"/>
      <c r="J316" s="4"/>
      <c r="K316" s="3"/>
      <c r="L316" s="4"/>
      <c r="M316" s="3"/>
      <c r="N316" s="4"/>
      <c r="O316" s="3"/>
      <c r="P316" s="4"/>
      <c r="Q316" s="3"/>
      <c r="R316" s="4"/>
      <c r="S316" s="3"/>
      <c r="T316" s="4"/>
      <c r="U316" s="3"/>
      <c r="V316" s="4"/>
      <c r="W316" s="3"/>
      <c r="X316" s="4"/>
      <c r="Y316" s="3"/>
      <c r="Z316" s="4"/>
      <c r="AA316" s="3"/>
      <c r="AB316" s="4"/>
      <c r="AC316" s="3"/>
      <c r="AD316" s="4"/>
      <c r="AE316" s="3"/>
      <c r="AF316" s="4"/>
      <c r="AG316" s="3"/>
      <c r="AH316" s="4"/>
      <c r="AI316" s="3"/>
      <c r="AJ316" s="4"/>
      <c r="AK316" s="3"/>
      <c r="AL316" s="4"/>
      <c r="AM316" s="3"/>
      <c r="AN316" s="4"/>
      <c r="AO316" s="3"/>
      <c r="AP316" s="4"/>
      <c r="AQ316" s="3"/>
      <c r="AR316" s="4"/>
      <c r="AS316" s="3"/>
      <c r="AT316" s="4"/>
      <c r="AU316" s="3"/>
      <c r="AV316" s="4"/>
      <c r="AW316" s="3"/>
      <c r="AX316" s="4"/>
      <c r="AY316" s="3"/>
      <c r="AZ316" s="4"/>
      <c r="BA316" s="3"/>
      <c r="BB316" s="4"/>
      <c r="BC316" s="3"/>
      <c r="BD316" s="4"/>
      <c r="BE316" s="3"/>
      <c r="BF316" s="4"/>
      <c r="BG316" s="3"/>
      <c r="BH316" s="4"/>
      <c r="BI316" s="3"/>
      <c r="BJ316" s="4"/>
      <c r="BK316" s="3"/>
      <c r="BL316" s="4"/>
      <c r="BM316" s="3"/>
      <c r="BN316" s="4"/>
      <c r="BO316" s="3"/>
      <c r="BP316" s="4"/>
      <c r="BQ316" s="3"/>
      <c r="BR316" s="4"/>
      <c r="BS316" s="3"/>
      <c r="BT316" s="4"/>
      <c r="BU316" s="3"/>
      <c r="BV316" s="4"/>
      <c r="BW316" s="3"/>
      <c r="BX316" s="4"/>
      <c r="BY316" s="3"/>
      <c r="BZ316" s="4"/>
      <c r="CA316" s="3"/>
      <c r="CB316" s="4"/>
      <c r="CC316" s="3"/>
      <c r="CD316" s="4"/>
    </row>
    <row r="317">
      <c r="A317" s="3"/>
      <c r="B317" s="4"/>
      <c r="C317" s="3"/>
      <c r="D317" s="4"/>
      <c r="E317" s="3"/>
      <c r="F317" s="4"/>
      <c r="G317" s="3"/>
      <c r="H317" s="4"/>
      <c r="I317" s="3"/>
      <c r="J317" s="4"/>
      <c r="K317" s="3"/>
      <c r="L317" s="4"/>
      <c r="M317" s="3"/>
      <c r="N317" s="4"/>
      <c r="O317" s="3"/>
      <c r="P317" s="4"/>
      <c r="Q317" s="3"/>
      <c r="R317" s="4"/>
      <c r="S317" s="3"/>
      <c r="T317" s="4"/>
      <c r="U317" s="3"/>
      <c r="V317" s="4"/>
      <c r="W317" s="3"/>
      <c r="X317" s="4"/>
      <c r="Y317" s="3"/>
      <c r="Z317" s="4"/>
      <c r="AA317" s="3"/>
      <c r="AB317" s="4"/>
      <c r="AC317" s="3"/>
      <c r="AD317" s="4"/>
      <c r="AE317" s="3"/>
      <c r="AF317" s="4"/>
      <c r="AG317" s="3"/>
      <c r="AH317" s="4"/>
      <c r="AI317" s="3"/>
      <c r="AJ317" s="4"/>
      <c r="AK317" s="3"/>
      <c r="AL317" s="4"/>
      <c r="AM317" s="3"/>
      <c r="AN317" s="4"/>
      <c r="AO317" s="3"/>
      <c r="AP317" s="4"/>
      <c r="AQ317" s="3"/>
      <c r="AR317" s="4"/>
      <c r="AS317" s="3"/>
      <c r="AT317" s="4"/>
      <c r="AU317" s="3"/>
      <c r="AV317" s="4"/>
      <c r="AW317" s="3"/>
      <c r="AX317" s="4"/>
      <c r="AY317" s="3"/>
      <c r="AZ317" s="4"/>
      <c r="BA317" s="3"/>
      <c r="BB317" s="4"/>
      <c r="BC317" s="3"/>
      <c r="BD317" s="4"/>
      <c r="BE317" s="3"/>
      <c r="BF317" s="4"/>
      <c r="BG317" s="3"/>
      <c r="BH317" s="4"/>
      <c r="BI317" s="3"/>
      <c r="BJ317" s="4"/>
      <c r="BK317" s="3"/>
      <c r="BL317" s="4"/>
      <c r="BM317" s="3"/>
      <c r="BN317" s="4"/>
      <c r="BO317" s="3"/>
      <c r="BP317" s="4"/>
      <c r="BQ317" s="3"/>
      <c r="BR317" s="4"/>
      <c r="BS317" s="3"/>
      <c r="BT317" s="4"/>
      <c r="BU317" s="3"/>
      <c r="BV317" s="4"/>
      <c r="BW317" s="3"/>
      <c r="BX317" s="4"/>
      <c r="BY317" s="3"/>
      <c r="BZ317" s="4"/>
      <c r="CA317" s="3"/>
      <c r="CB317" s="4"/>
      <c r="CC317" s="3"/>
      <c r="CD317" s="4"/>
    </row>
    <row r="318">
      <c r="A318" s="3"/>
      <c r="B318" s="4"/>
      <c r="C318" s="3"/>
      <c r="D318" s="4"/>
      <c r="E318" s="3"/>
      <c r="F318" s="4"/>
      <c r="G318" s="3"/>
      <c r="H318" s="4"/>
      <c r="I318" s="3"/>
      <c r="J318" s="4"/>
      <c r="K318" s="3"/>
      <c r="L318" s="4"/>
      <c r="M318" s="3"/>
      <c r="N318" s="4"/>
      <c r="O318" s="3"/>
      <c r="P318" s="4"/>
      <c r="Q318" s="3"/>
      <c r="R318" s="4"/>
      <c r="S318" s="3"/>
      <c r="T318" s="4"/>
      <c r="U318" s="3"/>
      <c r="V318" s="4"/>
      <c r="W318" s="3"/>
      <c r="X318" s="4"/>
      <c r="Y318" s="3"/>
      <c r="Z318" s="4"/>
      <c r="AA318" s="3"/>
      <c r="AB318" s="4"/>
      <c r="AC318" s="3"/>
      <c r="AD318" s="4"/>
      <c r="AE318" s="3"/>
      <c r="AF318" s="4"/>
      <c r="AG318" s="3"/>
      <c r="AH318" s="4"/>
      <c r="AI318" s="3"/>
      <c r="AJ318" s="4"/>
      <c r="AK318" s="3"/>
      <c r="AL318" s="4"/>
      <c r="AM318" s="3"/>
      <c r="AN318" s="4"/>
      <c r="AO318" s="3"/>
      <c r="AP318" s="4"/>
      <c r="AQ318" s="3"/>
      <c r="AR318" s="4"/>
      <c r="AS318" s="3"/>
      <c r="AT318" s="4"/>
      <c r="AU318" s="3"/>
      <c r="AV318" s="4"/>
      <c r="AW318" s="3"/>
      <c r="AX318" s="4"/>
      <c r="AY318" s="3"/>
      <c r="AZ318" s="4"/>
      <c r="BA318" s="3"/>
      <c r="BB318" s="4"/>
      <c r="BC318" s="3"/>
      <c r="BD318" s="4"/>
      <c r="BE318" s="3"/>
      <c r="BF318" s="4"/>
      <c r="BG318" s="3"/>
      <c r="BH318" s="4"/>
      <c r="BI318" s="3"/>
      <c r="BJ318" s="4"/>
      <c r="BK318" s="3"/>
      <c r="BL318" s="4"/>
      <c r="BM318" s="3"/>
      <c r="BN318" s="4"/>
      <c r="BO318" s="3"/>
      <c r="BP318" s="4"/>
      <c r="BQ318" s="3"/>
      <c r="BR318" s="4"/>
      <c r="BS318" s="3"/>
      <c r="BT318" s="4"/>
      <c r="BU318" s="3"/>
      <c r="BV318" s="4"/>
      <c r="BW318" s="3"/>
      <c r="BX318" s="4"/>
      <c r="BY318" s="3"/>
      <c r="BZ318" s="4"/>
      <c r="CA318" s="3"/>
      <c r="CB318" s="4"/>
      <c r="CC318" s="3"/>
      <c r="CD318" s="4"/>
    </row>
    <row r="319">
      <c r="A319" s="3"/>
      <c r="B319" s="4"/>
      <c r="C319" s="3"/>
      <c r="D319" s="4"/>
      <c r="E319" s="3"/>
      <c r="F319" s="4"/>
      <c r="G319" s="3"/>
      <c r="H319" s="4"/>
      <c r="I319" s="3"/>
      <c r="J319" s="4"/>
      <c r="K319" s="3"/>
      <c r="L319" s="4"/>
      <c r="M319" s="3"/>
      <c r="N319" s="4"/>
      <c r="O319" s="3"/>
      <c r="P319" s="4"/>
      <c r="Q319" s="3"/>
      <c r="R319" s="4"/>
      <c r="S319" s="3"/>
      <c r="T319" s="4"/>
      <c r="U319" s="3"/>
      <c r="V319" s="4"/>
      <c r="W319" s="3"/>
      <c r="X319" s="4"/>
      <c r="Y319" s="3"/>
      <c r="Z319" s="4"/>
      <c r="AA319" s="3"/>
      <c r="AB319" s="4"/>
      <c r="AC319" s="3"/>
      <c r="AD319" s="4"/>
      <c r="AE319" s="3"/>
      <c r="AF319" s="4"/>
      <c r="AG319" s="3"/>
      <c r="AH319" s="4"/>
      <c r="AI319" s="3"/>
      <c r="AJ319" s="4"/>
      <c r="AK319" s="3"/>
      <c r="AL319" s="4"/>
      <c r="AM319" s="3"/>
      <c r="AN319" s="4"/>
      <c r="AO319" s="3"/>
      <c r="AP319" s="4"/>
      <c r="AQ319" s="3"/>
      <c r="AR319" s="4"/>
      <c r="AS319" s="3"/>
      <c r="AT319" s="4"/>
      <c r="AU319" s="3"/>
      <c r="AV319" s="4"/>
      <c r="AW319" s="3"/>
      <c r="AX319" s="4"/>
      <c r="AY319" s="3"/>
      <c r="AZ319" s="4"/>
      <c r="BA319" s="3"/>
      <c r="BB319" s="4"/>
      <c r="BC319" s="3"/>
      <c r="BD319" s="4"/>
      <c r="BE319" s="3"/>
      <c r="BF319" s="4"/>
      <c r="BG319" s="3"/>
      <c r="BH319" s="4"/>
      <c r="BI319" s="3"/>
      <c r="BJ319" s="4"/>
      <c r="BK319" s="3"/>
      <c r="BL319" s="4"/>
      <c r="BM319" s="3"/>
      <c r="BN319" s="4"/>
      <c r="BO319" s="3"/>
      <c r="BP319" s="4"/>
      <c r="BQ319" s="3"/>
      <c r="BR319" s="4"/>
      <c r="BS319" s="3"/>
      <c r="BT319" s="4"/>
      <c r="BU319" s="3"/>
      <c r="BV319" s="4"/>
      <c r="BW319" s="3"/>
      <c r="BX319" s="4"/>
      <c r="BY319" s="3"/>
      <c r="BZ319" s="4"/>
      <c r="CA319" s="3"/>
      <c r="CB319" s="4"/>
      <c r="CC319" s="3"/>
      <c r="CD319" s="4"/>
    </row>
    <row r="320">
      <c r="A320" s="3"/>
      <c r="B320" s="4"/>
      <c r="C320" s="3"/>
      <c r="D320" s="4"/>
      <c r="E320" s="3"/>
      <c r="F320" s="4"/>
      <c r="G320" s="3"/>
      <c r="H320" s="4"/>
      <c r="I320" s="3"/>
      <c r="J320" s="4"/>
      <c r="K320" s="3"/>
      <c r="L320" s="4"/>
      <c r="M320" s="3"/>
      <c r="N320" s="4"/>
      <c r="O320" s="3"/>
      <c r="P320" s="4"/>
      <c r="Q320" s="3"/>
      <c r="R320" s="4"/>
      <c r="S320" s="3"/>
      <c r="T320" s="4"/>
      <c r="U320" s="3"/>
      <c r="V320" s="4"/>
      <c r="W320" s="3"/>
      <c r="X320" s="4"/>
      <c r="Y320" s="3"/>
      <c r="Z320" s="4"/>
      <c r="AA320" s="3"/>
      <c r="AB320" s="4"/>
      <c r="AC320" s="3"/>
      <c r="AD320" s="4"/>
      <c r="AE320" s="3"/>
      <c r="AF320" s="4"/>
      <c r="AG320" s="3"/>
      <c r="AH320" s="4"/>
      <c r="AI320" s="3"/>
      <c r="AJ320" s="4"/>
      <c r="AK320" s="3"/>
      <c r="AL320" s="4"/>
      <c r="AM320" s="3"/>
      <c r="AN320" s="4"/>
      <c r="AO320" s="3"/>
      <c r="AP320" s="4"/>
      <c r="AQ320" s="3"/>
      <c r="AR320" s="4"/>
      <c r="AS320" s="3"/>
      <c r="AT320" s="4"/>
      <c r="AU320" s="3"/>
      <c r="AV320" s="4"/>
      <c r="AW320" s="3"/>
      <c r="AX320" s="4"/>
      <c r="AY320" s="3"/>
      <c r="AZ320" s="4"/>
      <c r="BA320" s="3"/>
      <c r="BB320" s="4"/>
      <c r="BC320" s="3"/>
      <c r="BD320" s="4"/>
      <c r="BE320" s="3"/>
      <c r="BF320" s="4"/>
      <c r="BG320" s="3"/>
      <c r="BH320" s="4"/>
      <c r="BI320" s="3"/>
      <c r="BJ320" s="4"/>
      <c r="BK320" s="3"/>
      <c r="BL320" s="4"/>
      <c r="BM320" s="3"/>
      <c r="BN320" s="4"/>
      <c r="BO320" s="3"/>
      <c r="BP320" s="4"/>
      <c r="BQ320" s="3"/>
      <c r="BR320" s="4"/>
      <c r="BS320" s="3"/>
      <c r="BT320" s="4"/>
      <c r="BU320" s="3"/>
      <c r="BV320" s="4"/>
      <c r="BW320" s="3"/>
      <c r="BX320" s="4"/>
      <c r="BY320" s="3"/>
      <c r="BZ320" s="4"/>
      <c r="CA320" s="3"/>
      <c r="CB320" s="4"/>
      <c r="CC320" s="3"/>
      <c r="CD320" s="4"/>
    </row>
    <row r="321">
      <c r="A321" s="3"/>
      <c r="B321" s="4"/>
      <c r="C321" s="3"/>
      <c r="D321" s="4"/>
      <c r="E321" s="3"/>
      <c r="F321" s="4"/>
      <c r="G321" s="3"/>
      <c r="H321" s="4"/>
      <c r="I321" s="3"/>
      <c r="J321" s="4"/>
      <c r="K321" s="3"/>
      <c r="L321" s="4"/>
      <c r="M321" s="3"/>
      <c r="N321" s="4"/>
      <c r="O321" s="3"/>
      <c r="P321" s="4"/>
      <c r="Q321" s="3"/>
      <c r="R321" s="4"/>
      <c r="S321" s="3"/>
      <c r="T321" s="4"/>
      <c r="U321" s="3"/>
      <c r="V321" s="4"/>
      <c r="W321" s="3"/>
      <c r="X321" s="4"/>
      <c r="Y321" s="3"/>
      <c r="Z321" s="4"/>
      <c r="AA321" s="3"/>
      <c r="AB321" s="4"/>
      <c r="AC321" s="3"/>
      <c r="AD321" s="4"/>
      <c r="AE321" s="3"/>
      <c r="AF321" s="4"/>
      <c r="AG321" s="3"/>
      <c r="AH321" s="4"/>
      <c r="AI321" s="3"/>
      <c r="AJ321" s="4"/>
      <c r="AK321" s="3"/>
      <c r="AL321" s="4"/>
      <c r="AM321" s="3"/>
      <c r="AN321" s="4"/>
      <c r="AO321" s="3"/>
      <c r="AP321" s="4"/>
      <c r="AQ321" s="3"/>
      <c r="AR321" s="4"/>
      <c r="AS321" s="3"/>
      <c r="AT321" s="4"/>
      <c r="AU321" s="3"/>
      <c r="AV321" s="4"/>
      <c r="AW321" s="3"/>
      <c r="AX321" s="4"/>
      <c r="AY321" s="3"/>
      <c r="AZ321" s="4"/>
      <c r="BA321" s="3"/>
      <c r="BB321" s="4"/>
      <c r="BC321" s="3"/>
      <c r="BD321" s="4"/>
      <c r="BE321" s="3"/>
      <c r="BF321" s="4"/>
      <c r="BG321" s="3"/>
      <c r="BH321" s="4"/>
      <c r="BI321" s="3"/>
      <c r="BJ321" s="4"/>
      <c r="BK321" s="3"/>
      <c r="BL321" s="4"/>
      <c r="BM321" s="3"/>
      <c r="BN321" s="4"/>
      <c r="BO321" s="3"/>
      <c r="BP321" s="4"/>
      <c r="BQ321" s="3"/>
      <c r="BR321" s="4"/>
      <c r="BS321" s="3"/>
      <c r="BT321" s="4"/>
      <c r="BU321" s="3"/>
      <c r="BV321" s="4"/>
      <c r="BW321" s="3"/>
      <c r="BX321" s="4"/>
      <c r="BY321" s="3"/>
      <c r="BZ321" s="4"/>
      <c r="CA321" s="3"/>
      <c r="CB321" s="4"/>
      <c r="CC321" s="3"/>
      <c r="CD321" s="4"/>
    </row>
    <row r="322">
      <c r="A322" s="3"/>
      <c r="B322" s="4"/>
      <c r="C322" s="3"/>
      <c r="D322" s="4"/>
      <c r="E322" s="3"/>
      <c r="F322" s="4"/>
      <c r="G322" s="3"/>
      <c r="H322" s="4"/>
      <c r="I322" s="3"/>
      <c r="J322" s="4"/>
      <c r="K322" s="3"/>
      <c r="L322" s="4"/>
      <c r="M322" s="3"/>
      <c r="N322" s="4"/>
      <c r="O322" s="3"/>
      <c r="P322" s="4"/>
      <c r="Q322" s="3"/>
      <c r="R322" s="4"/>
      <c r="S322" s="3"/>
      <c r="T322" s="4"/>
      <c r="U322" s="3"/>
      <c r="V322" s="4"/>
      <c r="W322" s="3"/>
      <c r="X322" s="4"/>
      <c r="Y322" s="3"/>
      <c r="Z322" s="4"/>
      <c r="AA322" s="3"/>
      <c r="AB322" s="4"/>
      <c r="AC322" s="3"/>
      <c r="AD322" s="4"/>
      <c r="AE322" s="3"/>
      <c r="AF322" s="4"/>
      <c r="AG322" s="3"/>
      <c r="AH322" s="4"/>
      <c r="AI322" s="3"/>
      <c r="AJ322" s="4"/>
      <c r="AK322" s="3"/>
      <c r="AL322" s="4"/>
      <c r="AM322" s="3"/>
      <c r="AN322" s="4"/>
      <c r="AO322" s="3"/>
      <c r="AP322" s="4"/>
      <c r="AQ322" s="3"/>
      <c r="AR322" s="4"/>
      <c r="AS322" s="3"/>
      <c r="AT322" s="4"/>
      <c r="AU322" s="3"/>
      <c r="AV322" s="4"/>
      <c r="AW322" s="3"/>
      <c r="AX322" s="4"/>
      <c r="AY322" s="3"/>
      <c r="AZ322" s="4"/>
      <c r="BA322" s="3"/>
      <c r="BB322" s="4"/>
      <c r="BC322" s="3"/>
      <c r="BD322" s="4"/>
      <c r="BE322" s="3"/>
      <c r="BF322" s="4"/>
      <c r="BG322" s="3"/>
      <c r="BH322" s="4"/>
      <c r="BI322" s="3"/>
      <c r="BJ322" s="4"/>
      <c r="BK322" s="3"/>
      <c r="BL322" s="4"/>
      <c r="BM322" s="3"/>
      <c r="BN322" s="4"/>
      <c r="BO322" s="3"/>
      <c r="BP322" s="4"/>
      <c r="BQ322" s="3"/>
      <c r="BR322" s="4"/>
      <c r="BS322" s="3"/>
      <c r="BT322" s="4"/>
      <c r="BU322" s="3"/>
      <c r="BV322" s="4"/>
      <c r="BW322" s="3"/>
      <c r="BX322" s="4"/>
      <c r="BY322" s="3"/>
      <c r="BZ322" s="4"/>
      <c r="CA322" s="3"/>
      <c r="CB322" s="4"/>
      <c r="CC322" s="3"/>
      <c r="CD322" s="4"/>
    </row>
    <row r="323">
      <c r="A323" s="3"/>
      <c r="B323" s="4"/>
      <c r="C323" s="3"/>
      <c r="D323" s="4"/>
      <c r="E323" s="3"/>
      <c r="F323" s="4"/>
      <c r="G323" s="3"/>
      <c r="H323" s="4"/>
      <c r="I323" s="3"/>
      <c r="J323" s="4"/>
      <c r="K323" s="3"/>
      <c r="L323" s="4"/>
      <c r="M323" s="3"/>
      <c r="N323" s="4"/>
      <c r="O323" s="3"/>
      <c r="P323" s="4"/>
      <c r="Q323" s="3"/>
      <c r="R323" s="4"/>
      <c r="S323" s="3"/>
      <c r="T323" s="4"/>
      <c r="U323" s="3"/>
      <c r="V323" s="4"/>
      <c r="W323" s="3"/>
      <c r="X323" s="4"/>
      <c r="Y323" s="3"/>
      <c r="Z323" s="4"/>
      <c r="AA323" s="3"/>
      <c r="AB323" s="4"/>
      <c r="AC323" s="3"/>
      <c r="AD323" s="4"/>
      <c r="AE323" s="3"/>
      <c r="AF323" s="4"/>
      <c r="AG323" s="3"/>
      <c r="AH323" s="4"/>
      <c r="AI323" s="3"/>
      <c r="AJ323" s="4"/>
      <c r="AK323" s="3"/>
      <c r="AL323" s="4"/>
      <c r="AM323" s="3"/>
      <c r="AN323" s="4"/>
      <c r="AO323" s="3"/>
      <c r="AP323" s="4"/>
      <c r="AQ323" s="3"/>
      <c r="AR323" s="4"/>
      <c r="AS323" s="3"/>
      <c r="AT323" s="4"/>
      <c r="AU323" s="3"/>
      <c r="AV323" s="4"/>
      <c r="AW323" s="3"/>
      <c r="AX323" s="4"/>
      <c r="AY323" s="3"/>
      <c r="AZ323" s="4"/>
      <c r="BA323" s="3"/>
      <c r="BB323" s="4"/>
      <c r="BC323" s="3"/>
      <c r="BD323" s="4"/>
      <c r="BE323" s="3"/>
      <c r="BF323" s="4"/>
      <c r="BG323" s="3"/>
      <c r="BH323" s="4"/>
      <c r="BI323" s="3"/>
      <c r="BJ323" s="4"/>
      <c r="BK323" s="3"/>
      <c r="BL323" s="4"/>
      <c r="BM323" s="3"/>
      <c r="BN323" s="4"/>
      <c r="BO323" s="3"/>
      <c r="BP323" s="4"/>
      <c r="BQ323" s="3"/>
      <c r="BR323" s="4"/>
      <c r="BS323" s="3"/>
      <c r="BT323" s="4"/>
      <c r="BU323" s="3"/>
      <c r="BV323" s="4"/>
      <c r="BW323" s="3"/>
      <c r="BX323" s="4"/>
      <c r="BY323" s="3"/>
      <c r="BZ323" s="4"/>
      <c r="CA323" s="3"/>
      <c r="CB323" s="4"/>
      <c r="CC323" s="3"/>
      <c r="CD323" s="4"/>
    </row>
    <row r="324">
      <c r="A324" s="3"/>
      <c r="B324" s="4"/>
      <c r="C324" s="3"/>
      <c r="D324" s="4"/>
      <c r="E324" s="3"/>
      <c r="F324" s="4"/>
      <c r="G324" s="3"/>
      <c r="H324" s="4"/>
      <c r="I324" s="3"/>
      <c r="J324" s="4"/>
      <c r="K324" s="3"/>
      <c r="L324" s="4"/>
      <c r="M324" s="3"/>
      <c r="N324" s="4"/>
      <c r="O324" s="3"/>
      <c r="P324" s="4"/>
      <c r="Q324" s="3"/>
      <c r="R324" s="4"/>
      <c r="S324" s="3"/>
      <c r="T324" s="4"/>
      <c r="U324" s="3"/>
      <c r="V324" s="4"/>
      <c r="W324" s="3"/>
      <c r="X324" s="4"/>
      <c r="Y324" s="3"/>
      <c r="Z324" s="4"/>
      <c r="AA324" s="3"/>
      <c r="AB324" s="4"/>
      <c r="AC324" s="3"/>
      <c r="AD324" s="4"/>
      <c r="AE324" s="3"/>
      <c r="AF324" s="4"/>
      <c r="AG324" s="3"/>
      <c r="AH324" s="4"/>
      <c r="AI324" s="3"/>
      <c r="AJ324" s="4"/>
      <c r="AK324" s="3"/>
      <c r="AL324" s="4"/>
      <c r="AM324" s="3"/>
      <c r="AN324" s="4"/>
      <c r="AO324" s="3"/>
      <c r="AP324" s="4"/>
      <c r="AQ324" s="3"/>
      <c r="AR324" s="4"/>
      <c r="AS324" s="3"/>
      <c r="AT324" s="4"/>
      <c r="AU324" s="3"/>
      <c r="AV324" s="4"/>
      <c r="AW324" s="3"/>
      <c r="AX324" s="4"/>
      <c r="AY324" s="3"/>
      <c r="AZ324" s="4"/>
      <c r="BA324" s="3"/>
      <c r="BB324" s="4"/>
      <c r="BC324" s="3"/>
      <c r="BD324" s="4"/>
      <c r="BE324" s="3"/>
      <c r="BF324" s="4"/>
      <c r="BG324" s="3"/>
      <c r="BH324" s="4"/>
      <c r="BI324" s="3"/>
      <c r="BJ324" s="4"/>
      <c r="BK324" s="3"/>
      <c r="BL324" s="4"/>
      <c r="BM324" s="3"/>
      <c r="BN324" s="4"/>
      <c r="BO324" s="3"/>
      <c r="BP324" s="4"/>
      <c r="BQ324" s="3"/>
      <c r="BR324" s="4"/>
      <c r="BS324" s="3"/>
      <c r="BT324" s="4"/>
      <c r="BU324" s="3"/>
      <c r="BV324" s="4"/>
      <c r="BW324" s="3"/>
      <c r="BX324" s="4"/>
      <c r="BY324" s="3"/>
      <c r="BZ324" s="4"/>
      <c r="CA324" s="3"/>
      <c r="CB324" s="4"/>
      <c r="CC324" s="3"/>
      <c r="CD324" s="4"/>
    </row>
    <row r="325">
      <c r="A325" s="3"/>
      <c r="B325" s="4"/>
      <c r="C325" s="3"/>
      <c r="D325" s="4"/>
      <c r="E325" s="3"/>
      <c r="F325" s="4"/>
      <c r="G325" s="3"/>
      <c r="H325" s="4"/>
      <c r="I325" s="3"/>
      <c r="J325" s="4"/>
      <c r="K325" s="3"/>
      <c r="L325" s="4"/>
      <c r="M325" s="3"/>
      <c r="N325" s="4"/>
      <c r="O325" s="3"/>
      <c r="P325" s="4"/>
      <c r="Q325" s="3"/>
      <c r="R325" s="4"/>
      <c r="S325" s="3"/>
      <c r="T325" s="4"/>
      <c r="U325" s="3"/>
      <c r="V325" s="4"/>
      <c r="W325" s="3"/>
      <c r="X325" s="4"/>
      <c r="Y325" s="3"/>
      <c r="Z325" s="4"/>
      <c r="AA325" s="3"/>
      <c r="AB325" s="4"/>
      <c r="AC325" s="3"/>
      <c r="AD325" s="4"/>
      <c r="AE325" s="3"/>
      <c r="AF325" s="4"/>
      <c r="AG325" s="3"/>
      <c r="AH325" s="4"/>
      <c r="AI325" s="3"/>
      <c r="AJ325" s="4"/>
      <c r="AK325" s="3"/>
      <c r="AL325" s="4"/>
      <c r="AM325" s="3"/>
      <c r="AN325" s="4"/>
      <c r="AO325" s="3"/>
      <c r="AP325" s="4"/>
      <c r="AQ325" s="3"/>
      <c r="AR325" s="4"/>
      <c r="AS325" s="3"/>
      <c r="AT325" s="4"/>
      <c r="AU325" s="3"/>
      <c r="AV325" s="4"/>
      <c r="AW325" s="3"/>
      <c r="AX325" s="4"/>
      <c r="AY325" s="3"/>
      <c r="AZ325" s="4"/>
      <c r="BA325" s="3"/>
      <c r="BB325" s="4"/>
      <c r="BC325" s="3"/>
      <c r="BD325" s="4"/>
      <c r="BE325" s="3"/>
      <c r="BF325" s="4"/>
      <c r="BG325" s="3"/>
      <c r="BH325" s="4"/>
      <c r="BI325" s="3"/>
      <c r="BJ325" s="4"/>
      <c r="BK325" s="3"/>
      <c r="BL325" s="4"/>
      <c r="BM325" s="3"/>
      <c r="BN325" s="4"/>
      <c r="BO325" s="3"/>
      <c r="BP325" s="4"/>
      <c r="BQ325" s="3"/>
      <c r="BR325" s="4"/>
      <c r="BS325" s="3"/>
      <c r="BT325" s="4"/>
      <c r="BU325" s="3"/>
      <c r="BV325" s="4"/>
      <c r="BW325" s="3"/>
      <c r="BX325" s="4"/>
      <c r="BY325" s="3"/>
      <c r="BZ325" s="4"/>
      <c r="CA325" s="3"/>
      <c r="CB325" s="4"/>
      <c r="CC325" s="3"/>
      <c r="CD325" s="4"/>
    </row>
    <row r="326">
      <c r="A326" s="3"/>
      <c r="B326" s="4"/>
      <c r="C326" s="3"/>
      <c r="D326" s="4"/>
      <c r="E326" s="3"/>
      <c r="F326" s="4"/>
      <c r="G326" s="3"/>
      <c r="H326" s="4"/>
      <c r="I326" s="3"/>
      <c r="J326" s="4"/>
      <c r="K326" s="3"/>
      <c r="L326" s="4"/>
      <c r="M326" s="3"/>
      <c r="N326" s="4"/>
      <c r="O326" s="3"/>
      <c r="P326" s="4"/>
      <c r="Q326" s="3"/>
      <c r="R326" s="4"/>
      <c r="S326" s="3"/>
      <c r="T326" s="4"/>
      <c r="U326" s="3"/>
      <c r="V326" s="4"/>
      <c r="W326" s="3"/>
      <c r="X326" s="4"/>
      <c r="Y326" s="3"/>
      <c r="Z326" s="4"/>
      <c r="AA326" s="3"/>
      <c r="AB326" s="4"/>
      <c r="AC326" s="3"/>
      <c r="AD326" s="4"/>
      <c r="AE326" s="3"/>
      <c r="AF326" s="4"/>
      <c r="AG326" s="3"/>
      <c r="AH326" s="4"/>
      <c r="AI326" s="3"/>
      <c r="AJ326" s="4"/>
      <c r="AK326" s="3"/>
      <c r="AL326" s="4"/>
      <c r="AM326" s="3"/>
      <c r="AN326" s="4"/>
      <c r="AO326" s="3"/>
      <c r="AP326" s="4"/>
      <c r="AQ326" s="3"/>
      <c r="AR326" s="4"/>
      <c r="AS326" s="3"/>
      <c r="AT326" s="4"/>
      <c r="AU326" s="3"/>
      <c r="AV326" s="4"/>
      <c r="AW326" s="3"/>
      <c r="AX326" s="4"/>
      <c r="AY326" s="3"/>
      <c r="AZ326" s="4"/>
      <c r="BA326" s="3"/>
      <c r="BB326" s="4"/>
      <c r="BC326" s="3"/>
      <c r="BD326" s="4"/>
      <c r="BE326" s="3"/>
      <c r="BF326" s="4"/>
      <c r="BG326" s="3"/>
      <c r="BH326" s="4"/>
      <c r="BI326" s="3"/>
      <c r="BJ326" s="4"/>
      <c r="BK326" s="3"/>
      <c r="BL326" s="4"/>
      <c r="BM326" s="3"/>
      <c r="BN326" s="4"/>
      <c r="BO326" s="3"/>
      <c r="BP326" s="4"/>
      <c r="BQ326" s="3"/>
      <c r="BR326" s="4"/>
      <c r="BS326" s="3"/>
      <c r="BT326" s="4"/>
      <c r="BU326" s="3"/>
      <c r="BV326" s="4"/>
      <c r="BW326" s="3"/>
      <c r="BX326" s="4"/>
      <c r="BY326" s="3"/>
      <c r="BZ326" s="4"/>
      <c r="CA326" s="3"/>
      <c r="CB326" s="4"/>
      <c r="CC326" s="3"/>
      <c r="CD326" s="4"/>
    </row>
    <row r="327">
      <c r="A327" s="3"/>
      <c r="B327" s="4"/>
      <c r="C327" s="3"/>
      <c r="D327" s="4"/>
      <c r="E327" s="3"/>
      <c r="F327" s="4"/>
      <c r="G327" s="3"/>
      <c r="H327" s="4"/>
      <c r="I327" s="3"/>
      <c r="J327" s="4"/>
      <c r="K327" s="3"/>
      <c r="L327" s="4"/>
      <c r="M327" s="3"/>
      <c r="N327" s="4"/>
      <c r="O327" s="3"/>
      <c r="P327" s="4"/>
      <c r="Q327" s="3"/>
      <c r="R327" s="4"/>
      <c r="S327" s="3"/>
      <c r="T327" s="4"/>
      <c r="U327" s="3"/>
      <c r="V327" s="4"/>
      <c r="W327" s="3"/>
      <c r="X327" s="4"/>
      <c r="Y327" s="3"/>
      <c r="Z327" s="4"/>
      <c r="AA327" s="3"/>
      <c r="AB327" s="4"/>
      <c r="AC327" s="3"/>
      <c r="AD327" s="4"/>
      <c r="AE327" s="3"/>
      <c r="AF327" s="4"/>
      <c r="AG327" s="3"/>
      <c r="AH327" s="4"/>
      <c r="AI327" s="3"/>
      <c r="AJ327" s="4"/>
      <c r="AK327" s="3"/>
      <c r="AL327" s="4"/>
      <c r="AM327" s="3"/>
      <c r="AN327" s="4"/>
      <c r="AO327" s="3"/>
      <c r="AP327" s="4"/>
      <c r="AQ327" s="3"/>
      <c r="AR327" s="4"/>
      <c r="AS327" s="3"/>
      <c r="AT327" s="4"/>
      <c r="AU327" s="3"/>
      <c r="AV327" s="4"/>
      <c r="AW327" s="3"/>
      <c r="AX327" s="4"/>
      <c r="AY327" s="3"/>
      <c r="AZ327" s="4"/>
      <c r="BA327" s="3"/>
      <c r="BB327" s="4"/>
      <c r="BC327" s="3"/>
      <c r="BD327" s="4"/>
      <c r="BE327" s="3"/>
      <c r="BF327" s="4"/>
      <c r="BG327" s="3"/>
      <c r="BH327" s="4"/>
      <c r="BI327" s="3"/>
      <c r="BJ327" s="4"/>
      <c r="BK327" s="3"/>
      <c r="BL327" s="4"/>
      <c r="BM327" s="3"/>
      <c r="BN327" s="4"/>
      <c r="BO327" s="3"/>
      <c r="BP327" s="4"/>
      <c r="BQ327" s="3"/>
      <c r="BR327" s="4"/>
      <c r="BS327" s="3"/>
      <c r="BT327" s="4"/>
      <c r="BU327" s="3"/>
      <c r="BV327" s="4"/>
      <c r="BW327" s="3"/>
      <c r="BX327" s="4"/>
      <c r="BY327" s="3"/>
      <c r="BZ327" s="4"/>
      <c r="CA327" s="3"/>
      <c r="CB327" s="4"/>
      <c r="CC327" s="3"/>
      <c r="CD327" s="4"/>
    </row>
    <row r="328">
      <c r="A328" s="3"/>
      <c r="B328" s="4"/>
      <c r="C328" s="3"/>
      <c r="D328" s="4"/>
      <c r="E328" s="3"/>
      <c r="F328" s="4"/>
      <c r="G328" s="3"/>
      <c r="H328" s="4"/>
      <c r="I328" s="3"/>
      <c r="J328" s="4"/>
      <c r="K328" s="3"/>
      <c r="L328" s="4"/>
      <c r="M328" s="3"/>
      <c r="N328" s="4"/>
      <c r="O328" s="3"/>
      <c r="P328" s="4"/>
      <c r="Q328" s="3"/>
      <c r="R328" s="4"/>
      <c r="S328" s="3"/>
      <c r="T328" s="4"/>
      <c r="U328" s="3"/>
      <c r="V328" s="4"/>
      <c r="W328" s="3"/>
      <c r="X328" s="4"/>
      <c r="Y328" s="3"/>
      <c r="Z328" s="4"/>
      <c r="AA328" s="3"/>
      <c r="AB328" s="4"/>
      <c r="AC328" s="3"/>
      <c r="AD328" s="4"/>
      <c r="AE328" s="3"/>
      <c r="AF328" s="4"/>
      <c r="AG328" s="3"/>
      <c r="AH328" s="4"/>
      <c r="AI328" s="3"/>
      <c r="AJ328" s="4"/>
      <c r="AK328" s="3"/>
      <c r="AL328" s="4"/>
      <c r="AM328" s="3"/>
      <c r="AN328" s="4"/>
      <c r="AO328" s="3"/>
      <c r="AP328" s="4"/>
      <c r="AQ328" s="3"/>
      <c r="AR328" s="4"/>
      <c r="AS328" s="3"/>
      <c r="AT328" s="4"/>
      <c r="AU328" s="3"/>
      <c r="AV328" s="4"/>
      <c r="AW328" s="3"/>
      <c r="AX328" s="4"/>
      <c r="AY328" s="3"/>
      <c r="AZ328" s="4"/>
      <c r="BA328" s="3"/>
      <c r="BB328" s="4"/>
      <c r="BC328" s="3"/>
      <c r="BD328" s="4"/>
      <c r="BE328" s="3"/>
      <c r="BF328" s="4"/>
      <c r="BG328" s="3"/>
      <c r="BH328" s="4"/>
      <c r="BI328" s="3"/>
      <c r="BJ328" s="4"/>
      <c r="BK328" s="3"/>
      <c r="BL328" s="4"/>
      <c r="BM328" s="3"/>
      <c r="BN328" s="4"/>
      <c r="BO328" s="3"/>
      <c r="BP328" s="4"/>
      <c r="BQ328" s="3"/>
      <c r="BR328" s="4"/>
      <c r="BS328" s="3"/>
      <c r="BT328" s="4"/>
      <c r="BU328" s="3"/>
      <c r="BV328" s="4"/>
      <c r="BW328" s="3"/>
      <c r="BX328" s="4"/>
      <c r="BY328" s="3"/>
      <c r="BZ328" s="4"/>
      <c r="CA328" s="3"/>
      <c r="CB328" s="4"/>
      <c r="CC328" s="3"/>
      <c r="CD328" s="4"/>
    </row>
    <row r="329">
      <c r="A329" s="3"/>
      <c r="B329" s="4"/>
      <c r="C329" s="3"/>
      <c r="D329" s="4"/>
      <c r="E329" s="3"/>
      <c r="F329" s="4"/>
      <c r="G329" s="3"/>
      <c r="H329" s="4"/>
      <c r="I329" s="3"/>
      <c r="J329" s="4"/>
      <c r="K329" s="3"/>
      <c r="L329" s="4"/>
      <c r="M329" s="3"/>
      <c r="N329" s="4"/>
      <c r="O329" s="3"/>
      <c r="P329" s="4"/>
      <c r="Q329" s="3"/>
      <c r="R329" s="4"/>
      <c r="S329" s="3"/>
      <c r="T329" s="4"/>
      <c r="U329" s="3"/>
      <c r="V329" s="4"/>
      <c r="W329" s="3"/>
      <c r="X329" s="4"/>
      <c r="Y329" s="3"/>
      <c r="Z329" s="4"/>
      <c r="AA329" s="3"/>
      <c r="AB329" s="4"/>
      <c r="AC329" s="3"/>
      <c r="AD329" s="4"/>
      <c r="AE329" s="3"/>
      <c r="AF329" s="4"/>
      <c r="AG329" s="3"/>
      <c r="AH329" s="4"/>
      <c r="AI329" s="3"/>
      <c r="AJ329" s="4"/>
      <c r="AK329" s="3"/>
      <c r="AL329" s="4"/>
      <c r="AM329" s="3"/>
      <c r="AN329" s="4"/>
      <c r="AO329" s="3"/>
      <c r="AP329" s="4"/>
      <c r="AQ329" s="3"/>
      <c r="AR329" s="4"/>
      <c r="AS329" s="3"/>
      <c r="AT329" s="4"/>
      <c r="AU329" s="3"/>
      <c r="AV329" s="4"/>
      <c r="AW329" s="3"/>
      <c r="AX329" s="4"/>
      <c r="AY329" s="3"/>
      <c r="AZ329" s="4"/>
      <c r="BA329" s="3"/>
      <c r="BB329" s="4"/>
      <c r="BC329" s="3"/>
      <c r="BD329" s="4"/>
      <c r="BE329" s="3"/>
      <c r="BF329" s="4"/>
      <c r="BG329" s="3"/>
      <c r="BH329" s="4"/>
      <c r="BI329" s="3"/>
      <c r="BJ329" s="4"/>
      <c r="BK329" s="3"/>
      <c r="BL329" s="4"/>
      <c r="BM329" s="3"/>
      <c r="BN329" s="4"/>
      <c r="BO329" s="3"/>
      <c r="BP329" s="4"/>
      <c r="BQ329" s="3"/>
      <c r="BR329" s="4"/>
      <c r="BS329" s="3"/>
      <c r="BT329" s="4"/>
      <c r="BU329" s="3"/>
      <c r="BV329" s="4"/>
      <c r="BW329" s="3"/>
      <c r="BX329" s="4"/>
      <c r="BY329" s="3"/>
      <c r="BZ329" s="4"/>
      <c r="CA329" s="3"/>
      <c r="CB329" s="4"/>
      <c r="CC329" s="3"/>
      <c r="CD329" s="4"/>
    </row>
    <row r="330">
      <c r="A330" s="3"/>
      <c r="B330" s="4"/>
      <c r="C330" s="3"/>
      <c r="D330" s="4"/>
      <c r="E330" s="3"/>
      <c r="F330" s="4"/>
      <c r="G330" s="3"/>
      <c r="H330" s="4"/>
      <c r="I330" s="3"/>
      <c r="J330" s="4"/>
      <c r="K330" s="3"/>
      <c r="L330" s="4"/>
      <c r="M330" s="3"/>
      <c r="N330" s="4"/>
      <c r="O330" s="3"/>
      <c r="P330" s="4"/>
      <c r="Q330" s="3"/>
      <c r="R330" s="4"/>
      <c r="S330" s="3"/>
      <c r="T330" s="4"/>
      <c r="U330" s="3"/>
      <c r="V330" s="4"/>
      <c r="W330" s="3"/>
      <c r="X330" s="4"/>
      <c r="Y330" s="3"/>
      <c r="Z330" s="4"/>
      <c r="AA330" s="3"/>
      <c r="AB330" s="4"/>
      <c r="AC330" s="3"/>
      <c r="AD330" s="4"/>
      <c r="AE330" s="3"/>
      <c r="AF330" s="4"/>
      <c r="AG330" s="3"/>
      <c r="AH330" s="4"/>
      <c r="AI330" s="3"/>
      <c r="AJ330" s="4"/>
      <c r="AK330" s="3"/>
      <c r="AL330" s="4"/>
      <c r="AM330" s="3"/>
      <c r="AN330" s="4"/>
      <c r="AO330" s="3"/>
      <c r="AP330" s="4"/>
      <c r="AQ330" s="3"/>
      <c r="AR330" s="4"/>
      <c r="AS330" s="3"/>
      <c r="AT330" s="4"/>
      <c r="AU330" s="3"/>
      <c r="AV330" s="4"/>
      <c r="AW330" s="3"/>
      <c r="AX330" s="4"/>
      <c r="AY330" s="3"/>
      <c r="AZ330" s="4"/>
      <c r="BA330" s="3"/>
      <c r="BB330" s="4"/>
      <c r="BC330" s="3"/>
      <c r="BD330" s="4"/>
      <c r="BE330" s="3"/>
      <c r="BF330" s="4"/>
      <c r="BG330" s="3"/>
      <c r="BH330" s="4"/>
      <c r="BI330" s="3"/>
      <c r="BJ330" s="4"/>
      <c r="BK330" s="3"/>
      <c r="BL330" s="4"/>
      <c r="BM330" s="3"/>
      <c r="BN330" s="4"/>
      <c r="BO330" s="3"/>
      <c r="BP330" s="4"/>
      <c r="BQ330" s="3"/>
      <c r="BR330" s="4"/>
      <c r="BS330" s="3"/>
      <c r="BT330" s="4"/>
      <c r="BU330" s="3"/>
      <c r="BV330" s="4"/>
      <c r="BW330" s="3"/>
      <c r="BX330" s="4"/>
      <c r="BY330" s="3"/>
      <c r="BZ330" s="4"/>
      <c r="CA330" s="3"/>
      <c r="CB330" s="4"/>
      <c r="CC330" s="3"/>
      <c r="CD330" s="4"/>
    </row>
    <row r="331">
      <c r="A331" s="3"/>
      <c r="B331" s="4"/>
      <c r="C331" s="3"/>
      <c r="D331" s="4"/>
      <c r="E331" s="3"/>
      <c r="F331" s="4"/>
      <c r="G331" s="3"/>
      <c r="H331" s="4"/>
      <c r="I331" s="3"/>
      <c r="J331" s="4"/>
      <c r="K331" s="3"/>
      <c r="L331" s="4"/>
      <c r="M331" s="3"/>
      <c r="N331" s="4"/>
      <c r="O331" s="3"/>
      <c r="P331" s="4"/>
      <c r="Q331" s="3"/>
      <c r="R331" s="4"/>
      <c r="S331" s="3"/>
      <c r="T331" s="4"/>
      <c r="U331" s="3"/>
      <c r="V331" s="4"/>
      <c r="W331" s="3"/>
      <c r="X331" s="4"/>
      <c r="Y331" s="3"/>
      <c r="Z331" s="4"/>
      <c r="AA331" s="3"/>
      <c r="AB331" s="4"/>
      <c r="AC331" s="3"/>
      <c r="AD331" s="4"/>
      <c r="AE331" s="3"/>
      <c r="AF331" s="4"/>
      <c r="AG331" s="3"/>
      <c r="AH331" s="4"/>
      <c r="AI331" s="3"/>
      <c r="AJ331" s="4"/>
      <c r="AK331" s="3"/>
      <c r="AL331" s="4"/>
      <c r="AM331" s="3"/>
      <c r="AN331" s="4"/>
      <c r="AO331" s="3"/>
      <c r="AP331" s="4"/>
      <c r="AQ331" s="3"/>
      <c r="AR331" s="4"/>
      <c r="AS331" s="3"/>
      <c r="AT331" s="4"/>
      <c r="AU331" s="3"/>
      <c r="AV331" s="4"/>
      <c r="AW331" s="3"/>
      <c r="AX331" s="4"/>
      <c r="AY331" s="3"/>
      <c r="AZ331" s="4"/>
      <c r="BA331" s="3"/>
      <c r="BB331" s="4"/>
      <c r="BC331" s="3"/>
      <c r="BD331" s="4"/>
      <c r="BE331" s="3"/>
      <c r="BF331" s="4"/>
      <c r="BG331" s="3"/>
      <c r="BH331" s="4"/>
      <c r="BI331" s="3"/>
      <c r="BJ331" s="4"/>
      <c r="BK331" s="3"/>
      <c r="BL331" s="4"/>
      <c r="BM331" s="3"/>
      <c r="BN331" s="4"/>
      <c r="BO331" s="3"/>
      <c r="BP331" s="4"/>
      <c r="BQ331" s="3"/>
      <c r="BR331" s="4"/>
      <c r="BS331" s="3"/>
      <c r="BT331" s="4"/>
      <c r="BU331" s="3"/>
      <c r="BV331" s="4"/>
      <c r="BW331" s="3"/>
      <c r="BX331" s="4"/>
      <c r="BY331" s="3"/>
      <c r="BZ331" s="4"/>
      <c r="CA331" s="3"/>
      <c r="CB331" s="4"/>
      <c r="CC331" s="3"/>
      <c r="CD331" s="4"/>
    </row>
    <row r="332">
      <c r="A332" s="3"/>
      <c r="B332" s="4"/>
      <c r="C332" s="3"/>
      <c r="D332" s="4"/>
      <c r="E332" s="3"/>
      <c r="F332" s="4"/>
      <c r="G332" s="3"/>
      <c r="H332" s="4"/>
      <c r="I332" s="3"/>
      <c r="J332" s="4"/>
      <c r="K332" s="3"/>
      <c r="L332" s="4"/>
      <c r="M332" s="3"/>
      <c r="N332" s="4"/>
      <c r="O332" s="3"/>
      <c r="P332" s="4"/>
      <c r="Q332" s="3"/>
      <c r="R332" s="4"/>
      <c r="S332" s="3"/>
      <c r="T332" s="4"/>
      <c r="U332" s="3"/>
      <c r="V332" s="4"/>
      <c r="W332" s="3"/>
      <c r="X332" s="4"/>
      <c r="Y332" s="3"/>
      <c r="Z332" s="4"/>
      <c r="AA332" s="3"/>
      <c r="AB332" s="4"/>
      <c r="AC332" s="3"/>
      <c r="AD332" s="4"/>
      <c r="AE332" s="3"/>
      <c r="AF332" s="4"/>
      <c r="AG332" s="3"/>
      <c r="AH332" s="4"/>
      <c r="AI332" s="3"/>
      <c r="AJ332" s="4"/>
      <c r="AK332" s="3"/>
      <c r="AL332" s="4"/>
      <c r="AM332" s="3"/>
      <c r="AN332" s="4"/>
      <c r="AO332" s="3"/>
      <c r="AP332" s="4"/>
      <c r="AQ332" s="3"/>
      <c r="AR332" s="4"/>
      <c r="AS332" s="3"/>
      <c r="AT332" s="4"/>
      <c r="AU332" s="3"/>
      <c r="AV332" s="4"/>
      <c r="AW332" s="3"/>
      <c r="AX332" s="4"/>
      <c r="AY332" s="3"/>
      <c r="AZ332" s="4"/>
      <c r="BA332" s="3"/>
      <c r="BB332" s="4"/>
      <c r="BC332" s="3"/>
      <c r="BD332" s="4"/>
      <c r="BE332" s="3"/>
      <c r="BF332" s="4"/>
      <c r="BG332" s="3"/>
      <c r="BH332" s="4"/>
      <c r="BI332" s="3"/>
      <c r="BJ332" s="4"/>
      <c r="BK332" s="3"/>
      <c r="BL332" s="4"/>
      <c r="BM332" s="3"/>
      <c r="BN332" s="4"/>
      <c r="BO332" s="3"/>
      <c r="BP332" s="4"/>
      <c r="BQ332" s="3"/>
      <c r="BR332" s="4"/>
      <c r="BS332" s="3"/>
      <c r="BT332" s="4"/>
      <c r="BU332" s="3"/>
      <c r="BV332" s="4"/>
      <c r="BW332" s="3"/>
      <c r="BX332" s="4"/>
      <c r="BY332" s="3"/>
      <c r="BZ332" s="4"/>
      <c r="CA332" s="3"/>
      <c r="CB332" s="4"/>
      <c r="CC332" s="3"/>
      <c r="CD332" s="4"/>
    </row>
    <row r="333">
      <c r="A333" s="3"/>
      <c r="B333" s="4"/>
      <c r="C333" s="3"/>
      <c r="D333" s="4"/>
      <c r="E333" s="3"/>
      <c r="F333" s="4"/>
      <c r="G333" s="3"/>
      <c r="H333" s="4"/>
      <c r="I333" s="3"/>
      <c r="J333" s="4"/>
      <c r="K333" s="3"/>
      <c r="L333" s="4"/>
      <c r="M333" s="3"/>
      <c r="N333" s="4"/>
      <c r="O333" s="3"/>
      <c r="P333" s="4"/>
      <c r="Q333" s="3"/>
      <c r="R333" s="4"/>
      <c r="S333" s="3"/>
      <c r="T333" s="4"/>
      <c r="U333" s="3"/>
      <c r="V333" s="4"/>
      <c r="W333" s="3"/>
      <c r="X333" s="4"/>
      <c r="Y333" s="3"/>
      <c r="Z333" s="4"/>
      <c r="AA333" s="3"/>
      <c r="AB333" s="4"/>
      <c r="AC333" s="3"/>
      <c r="AD333" s="4"/>
      <c r="AE333" s="3"/>
      <c r="AF333" s="4"/>
      <c r="AG333" s="3"/>
      <c r="AH333" s="4"/>
      <c r="AI333" s="3"/>
      <c r="AJ333" s="4"/>
      <c r="AK333" s="3"/>
      <c r="AL333" s="4"/>
      <c r="AM333" s="3"/>
      <c r="AN333" s="4"/>
      <c r="AO333" s="3"/>
      <c r="AP333" s="4"/>
      <c r="AQ333" s="3"/>
      <c r="AR333" s="4"/>
      <c r="AS333" s="3"/>
      <c r="AT333" s="4"/>
      <c r="AU333" s="3"/>
      <c r="AV333" s="4"/>
      <c r="AW333" s="3"/>
      <c r="AX333" s="4"/>
      <c r="AY333" s="3"/>
      <c r="AZ333" s="4"/>
      <c r="BA333" s="3"/>
      <c r="BB333" s="4"/>
      <c r="BC333" s="3"/>
      <c r="BD333" s="4"/>
      <c r="BE333" s="3"/>
      <c r="BF333" s="4"/>
      <c r="BG333" s="3"/>
      <c r="BH333" s="4"/>
      <c r="BI333" s="3"/>
      <c r="BJ333" s="4"/>
      <c r="BK333" s="3"/>
      <c r="BL333" s="4"/>
      <c r="BM333" s="3"/>
      <c r="BN333" s="4"/>
      <c r="BO333" s="3"/>
      <c r="BP333" s="4"/>
      <c r="BQ333" s="3"/>
      <c r="BR333" s="4"/>
      <c r="BS333" s="3"/>
      <c r="BT333" s="4"/>
      <c r="BU333" s="3"/>
      <c r="BV333" s="4"/>
      <c r="BW333" s="3"/>
      <c r="BX333" s="4"/>
      <c r="BY333" s="3"/>
      <c r="BZ333" s="4"/>
      <c r="CA333" s="3"/>
      <c r="CB333" s="4"/>
      <c r="CC333" s="3"/>
      <c r="CD333" s="4"/>
    </row>
    <row r="334">
      <c r="A334" s="3"/>
      <c r="B334" s="4"/>
      <c r="C334" s="3"/>
      <c r="D334" s="4"/>
      <c r="E334" s="3"/>
      <c r="F334" s="4"/>
      <c r="G334" s="3"/>
      <c r="H334" s="4"/>
      <c r="I334" s="3"/>
      <c r="J334" s="4"/>
      <c r="K334" s="3"/>
      <c r="L334" s="4"/>
      <c r="M334" s="3"/>
      <c r="N334" s="4"/>
      <c r="O334" s="3"/>
      <c r="P334" s="4"/>
      <c r="Q334" s="3"/>
      <c r="R334" s="4"/>
      <c r="S334" s="3"/>
      <c r="T334" s="4"/>
      <c r="U334" s="3"/>
      <c r="V334" s="4"/>
      <c r="W334" s="3"/>
      <c r="X334" s="4"/>
      <c r="Y334" s="3"/>
      <c r="Z334" s="4"/>
      <c r="AA334" s="3"/>
      <c r="AB334" s="4"/>
      <c r="AC334" s="3"/>
      <c r="AD334" s="4"/>
      <c r="AE334" s="3"/>
      <c r="AF334" s="4"/>
      <c r="AG334" s="3"/>
      <c r="AH334" s="4"/>
      <c r="AI334" s="3"/>
      <c r="AJ334" s="4"/>
      <c r="AK334" s="3"/>
      <c r="AL334" s="4"/>
      <c r="AM334" s="3"/>
      <c r="AN334" s="4"/>
      <c r="AO334" s="3"/>
      <c r="AP334" s="4"/>
      <c r="AQ334" s="3"/>
      <c r="AR334" s="4"/>
      <c r="AS334" s="3"/>
      <c r="AT334" s="4"/>
      <c r="AU334" s="3"/>
      <c r="AV334" s="4"/>
      <c r="AW334" s="3"/>
      <c r="AX334" s="4"/>
      <c r="AY334" s="3"/>
      <c r="AZ334" s="4"/>
      <c r="BA334" s="3"/>
      <c r="BB334" s="4"/>
      <c r="BC334" s="3"/>
      <c r="BD334" s="4"/>
      <c r="BE334" s="3"/>
      <c r="BF334" s="4"/>
      <c r="BG334" s="3"/>
      <c r="BH334" s="4"/>
      <c r="BI334" s="3"/>
      <c r="BJ334" s="4"/>
      <c r="BK334" s="3"/>
      <c r="BL334" s="4"/>
      <c r="BM334" s="3"/>
      <c r="BN334" s="4"/>
      <c r="BO334" s="3"/>
      <c r="BP334" s="4"/>
      <c r="BQ334" s="3"/>
      <c r="BR334" s="4"/>
      <c r="BS334" s="3"/>
      <c r="BT334" s="4"/>
      <c r="BU334" s="3"/>
      <c r="BV334" s="4"/>
      <c r="BW334" s="3"/>
      <c r="BX334" s="4"/>
      <c r="BY334" s="3"/>
      <c r="BZ334" s="4"/>
      <c r="CA334" s="3"/>
      <c r="CB334" s="4"/>
      <c r="CC334" s="3"/>
      <c r="CD334" s="4"/>
    </row>
    <row r="335">
      <c r="A335" s="3"/>
      <c r="B335" s="4"/>
      <c r="C335" s="3"/>
      <c r="D335" s="4"/>
      <c r="E335" s="3"/>
      <c r="F335" s="4"/>
      <c r="G335" s="3"/>
      <c r="H335" s="4"/>
      <c r="I335" s="3"/>
      <c r="J335" s="4"/>
      <c r="K335" s="3"/>
      <c r="L335" s="4"/>
      <c r="M335" s="3"/>
      <c r="N335" s="4"/>
      <c r="O335" s="3"/>
      <c r="P335" s="4"/>
      <c r="Q335" s="3"/>
      <c r="R335" s="4"/>
      <c r="S335" s="3"/>
      <c r="T335" s="4"/>
      <c r="U335" s="3"/>
      <c r="V335" s="4"/>
      <c r="W335" s="3"/>
      <c r="X335" s="4"/>
      <c r="Y335" s="3"/>
      <c r="Z335" s="4"/>
      <c r="AA335" s="3"/>
      <c r="AB335" s="4"/>
      <c r="AC335" s="3"/>
      <c r="AD335" s="4"/>
      <c r="AE335" s="3"/>
      <c r="AF335" s="4"/>
      <c r="AG335" s="3"/>
      <c r="AH335" s="4"/>
      <c r="AI335" s="3"/>
      <c r="AJ335" s="4"/>
      <c r="AK335" s="3"/>
      <c r="AL335" s="4"/>
      <c r="AM335" s="3"/>
      <c r="AN335" s="4"/>
      <c r="AO335" s="3"/>
      <c r="AP335" s="4"/>
      <c r="AQ335" s="3"/>
      <c r="AR335" s="4"/>
      <c r="AS335" s="3"/>
      <c r="AT335" s="4"/>
      <c r="AU335" s="3"/>
      <c r="AV335" s="4"/>
      <c r="AW335" s="3"/>
      <c r="AX335" s="4"/>
      <c r="AY335" s="3"/>
      <c r="AZ335" s="4"/>
      <c r="BA335" s="3"/>
      <c r="BB335" s="4"/>
      <c r="BC335" s="3"/>
      <c r="BD335" s="4"/>
      <c r="BE335" s="3"/>
      <c r="BF335" s="4"/>
      <c r="BG335" s="3"/>
      <c r="BH335" s="4"/>
      <c r="BI335" s="3"/>
      <c r="BJ335" s="4"/>
      <c r="BK335" s="3"/>
      <c r="BL335" s="4"/>
      <c r="BM335" s="3"/>
      <c r="BN335" s="4"/>
      <c r="BO335" s="3"/>
      <c r="BP335" s="4"/>
      <c r="BQ335" s="3"/>
      <c r="BR335" s="4"/>
      <c r="BS335" s="3"/>
      <c r="BT335" s="4"/>
      <c r="BU335" s="3"/>
      <c r="BV335" s="4"/>
      <c r="BW335" s="3"/>
      <c r="BX335" s="4"/>
      <c r="BY335" s="3"/>
      <c r="BZ335" s="4"/>
      <c r="CA335" s="3"/>
      <c r="CB335" s="4"/>
      <c r="CC335" s="3"/>
      <c r="CD335" s="4"/>
    </row>
    <row r="336">
      <c r="A336" s="3"/>
      <c r="B336" s="4"/>
      <c r="C336" s="3"/>
      <c r="D336" s="4"/>
      <c r="E336" s="3"/>
      <c r="F336" s="4"/>
      <c r="G336" s="3"/>
      <c r="H336" s="4"/>
      <c r="I336" s="3"/>
      <c r="J336" s="4"/>
      <c r="K336" s="3"/>
      <c r="L336" s="4"/>
      <c r="M336" s="3"/>
      <c r="N336" s="4"/>
      <c r="O336" s="3"/>
      <c r="P336" s="4"/>
      <c r="Q336" s="3"/>
      <c r="R336" s="4"/>
      <c r="S336" s="3"/>
      <c r="T336" s="4"/>
      <c r="U336" s="3"/>
      <c r="V336" s="4"/>
      <c r="W336" s="3"/>
      <c r="X336" s="4"/>
      <c r="Y336" s="3"/>
      <c r="Z336" s="4"/>
      <c r="AA336" s="3"/>
      <c r="AB336" s="4"/>
      <c r="AC336" s="3"/>
      <c r="AD336" s="4"/>
      <c r="AE336" s="3"/>
      <c r="AF336" s="4"/>
      <c r="AG336" s="3"/>
      <c r="AH336" s="4"/>
      <c r="AI336" s="3"/>
      <c r="AJ336" s="4"/>
      <c r="AK336" s="3"/>
      <c r="AL336" s="4"/>
      <c r="AM336" s="3"/>
      <c r="AN336" s="4"/>
      <c r="AO336" s="3"/>
      <c r="AP336" s="4"/>
      <c r="AQ336" s="3"/>
      <c r="AR336" s="4"/>
      <c r="AS336" s="3"/>
      <c r="AT336" s="4"/>
      <c r="AU336" s="3"/>
      <c r="AV336" s="4"/>
      <c r="AW336" s="3"/>
      <c r="AX336" s="4"/>
      <c r="AY336" s="3"/>
      <c r="AZ336" s="4"/>
      <c r="BA336" s="3"/>
      <c r="BB336" s="4"/>
      <c r="BC336" s="3"/>
      <c r="BD336" s="4"/>
      <c r="BE336" s="3"/>
      <c r="BF336" s="4"/>
      <c r="BG336" s="3"/>
      <c r="BH336" s="4"/>
      <c r="BI336" s="3"/>
      <c r="BJ336" s="4"/>
      <c r="BK336" s="3"/>
      <c r="BL336" s="4"/>
      <c r="BM336" s="3"/>
      <c r="BN336" s="4"/>
      <c r="BO336" s="3"/>
      <c r="BP336" s="4"/>
      <c r="BQ336" s="3"/>
      <c r="BR336" s="4"/>
      <c r="BS336" s="3"/>
      <c r="BT336" s="4"/>
      <c r="BU336" s="3"/>
      <c r="BV336" s="4"/>
      <c r="BW336" s="3"/>
      <c r="BX336" s="4"/>
      <c r="BY336" s="3"/>
      <c r="BZ336" s="4"/>
      <c r="CA336" s="3"/>
      <c r="CB336" s="4"/>
      <c r="CC336" s="3"/>
      <c r="CD336" s="4"/>
    </row>
    <row r="337">
      <c r="A337" s="3"/>
      <c r="B337" s="4"/>
      <c r="C337" s="3"/>
      <c r="D337" s="4"/>
      <c r="E337" s="3"/>
      <c r="F337" s="4"/>
      <c r="G337" s="3"/>
      <c r="H337" s="4"/>
      <c r="I337" s="3"/>
      <c r="J337" s="4"/>
      <c r="K337" s="3"/>
      <c r="L337" s="4"/>
      <c r="M337" s="3"/>
      <c r="N337" s="4"/>
      <c r="O337" s="3"/>
      <c r="P337" s="4"/>
      <c r="Q337" s="3"/>
      <c r="R337" s="4"/>
      <c r="S337" s="3"/>
      <c r="T337" s="4"/>
      <c r="U337" s="3"/>
      <c r="V337" s="4"/>
      <c r="W337" s="3"/>
      <c r="X337" s="4"/>
      <c r="Y337" s="3"/>
      <c r="Z337" s="4"/>
      <c r="AA337" s="3"/>
      <c r="AB337" s="4"/>
      <c r="AC337" s="3"/>
      <c r="AD337" s="4"/>
      <c r="AE337" s="3"/>
      <c r="AF337" s="4"/>
      <c r="AG337" s="3"/>
      <c r="AH337" s="4"/>
      <c r="AI337" s="3"/>
      <c r="AJ337" s="4"/>
      <c r="AK337" s="3"/>
      <c r="AL337" s="4"/>
      <c r="AM337" s="3"/>
      <c r="AN337" s="4"/>
      <c r="AO337" s="3"/>
      <c r="AP337" s="4"/>
      <c r="AQ337" s="3"/>
      <c r="AR337" s="4"/>
      <c r="AS337" s="3"/>
      <c r="AT337" s="4"/>
      <c r="AU337" s="3"/>
      <c r="AV337" s="4"/>
      <c r="AW337" s="3"/>
      <c r="AX337" s="4"/>
      <c r="AY337" s="3"/>
      <c r="AZ337" s="4"/>
      <c r="BA337" s="3"/>
      <c r="BB337" s="4"/>
      <c r="BC337" s="3"/>
      <c r="BD337" s="4"/>
      <c r="BE337" s="3"/>
      <c r="BF337" s="4"/>
      <c r="BG337" s="3"/>
      <c r="BH337" s="4"/>
      <c r="BI337" s="3"/>
      <c r="BJ337" s="4"/>
      <c r="BK337" s="3"/>
      <c r="BL337" s="4"/>
      <c r="BM337" s="3"/>
      <c r="BN337" s="4"/>
      <c r="BO337" s="3"/>
      <c r="BP337" s="4"/>
      <c r="BQ337" s="3"/>
      <c r="BR337" s="4"/>
      <c r="BS337" s="3"/>
      <c r="BT337" s="4"/>
      <c r="BU337" s="3"/>
      <c r="BV337" s="4"/>
      <c r="BW337" s="3"/>
      <c r="BX337" s="4"/>
      <c r="BY337" s="3"/>
      <c r="BZ337" s="4"/>
      <c r="CA337" s="3"/>
      <c r="CB337" s="4"/>
      <c r="CC337" s="3"/>
      <c r="CD337" s="4"/>
    </row>
    <row r="338">
      <c r="A338" s="3"/>
      <c r="B338" s="4"/>
      <c r="C338" s="3"/>
      <c r="D338" s="4"/>
      <c r="E338" s="3"/>
      <c r="F338" s="4"/>
      <c r="G338" s="3"/>
      <c r="H338" s="4"/>
      <c r="I338" s="3"/>
      <c r="J338" s="4"/>
      <c r="K338" s="3"/>
      <c r="L338" s="4"/>
      <c r="M338" s="3"/>
      <c r="N338" s="4"/>
      <c r="O338" s="3"/>
      <c r="P338" s="4"/>
      <c r="Q338" s="3"/>
      <c r="R338" s="4"/>
      <c r="S338" s="3"/>
      <c r="T338" s="4"/>
      <c r="U338" s="3"/>
      <c r="V338" s="4"/>
      <c r="W338" s="3"/>
      <c r="X338" s="4"/>
      <c r="Y338" s="3"/>
      <c r="Z338" s="4"/>
      <c r="AA338" s="3"/>
      <c r="AB338" s="4"/>
      <c r="AC338" s="3"/>
      <c r="AD338" s="4"/>
      <c r="AE338" s="3"/>
      <c r="AF338" s="4"/>
      <c r="AG338" s="3"/>
      <c r="AH338" s="4"/>
      <c r="AI338" s="3"/>
      <c r="AJ338" s="4"/>
      <c r="AK338" s="3"/>
      <c r="AL338" s="4"/>
      <c r="AM338" s="3"/>
      <c r="AN338" s="4"/>
      <c r="AO338" s="3"/>
      <c r="AP338" s="4"/>
      <c r="AQ338" s="3"/>
      <c r="AR338" s="4"/>
      <c r="AS338" s="3"/>
      <c r="AT338" s="4"/>
      <c r="AU338" s="3"/>
      <c r="AV338" s="4"/>
      <c r="AW338" s="3"/>
      <c r="AX338" s="4"/>
      <c r="AY338" s="3"/>
      <c r="AZ338" s="4"/>
      <c r="BA338" s="3"/>
      <c r="BB338" s="4"/>
      <c r="BC338" s="3"/>
      <c r="BD338" s="4"/>
      <c r="BE338" s="3"/>
      <c r="BF338" s="4"/>
      <c r="BG338" s="3"/>
      <c r="BH338" s="4"/>
      <c r="BI338" s="3"/>
      <c r="BJ338" s="4"/>
      <c r="BK338" s="3"/>
      <c r="BL338" s="4"/>
      <c r="BM338" s="3"/>
      <c r="BN338" s="4"/>
      <c r="BO338" s="3"/>
      <c r="BP338" s="4"/>
      <c r="BQ338" s="3"/>
      <c r="BR338" s="4"/>
      <c r="BS338" s="3"/>
      <c r="BT338" s="4"/>
      <c r="BU338" s="3"/>
      <c r="BV338" s="4"/>
      <c r="BW338" s="3"/>
      <c r="BX338" s="4"/>
      <c r="BY338" s="3"/>
      <c r="BZ338" s="4"/>
      <c r="CA338" s="3"/>
      <c r="CB338" s="4"/>
      <c r="CC338" s="3"/>
      <c r="CD338" s="4"/>
    </row>
    <row r="339">
      <c r="A339" s="3"/>
      <c r="B339" s="4"/>
      <c r="C339" s="3"/>
      <c r="D339" s="4"/>
      <c r="E339" s="3"/>
      <c r="F339" s="4"/>
      <c r="G339" s="3"/>
      <c r="H339" s="4"/>
      <c r="I339" s="3"/>
      <c r="J339" s="4"/>
      <c r="K339" s="3"/>
      <c r="L339" s="4"/>
      <c r="M339" s="3"/>
      <c r="N339" s="4"/>
      <c r="O339" s="3"/>
      <c r="P339" s="4"/>
      <c r="Q339" s="3"/>
      <c r="R339" s="4"/>
      <c r="S339" s="3"/>
      <c r="T339" s="4"/>
      <c r="U339" s="3"/>
      <c r="V339" s="4"/>
      <c r="W339" s="3"/>
      <c r="X339" s="4"/>
      <c r="Y339" s="3"/>
      <c r="Z339" s="4"/>
      <c r="AA339" s="3"/>
      <c r="AB339" s="4"/>
      <c r="AC339" s="3"/>
      <c r="AD339" s="4"/>
      <c r="AE339" s="3"/>
      <c r="AF339" s="4"/>
      <c r="AG339" s="3"/>
      <c r="AH339" s="4"/>
      <c r="AI339" s="3"/>
      <c r="AJ339" s="4"/>
      <c r="AK339" s="3"/>
      <c r="AL339" s="4"/>
      <c r="AM339" s="3"/>
      <c r="AN339" s="4"/>
      <c r="AO339" s="3"/>
      <c r="AP339" s="4"/>
      <c r="AQ339" s="3"/>
      <c r="AR339" s="4"/>
      <c r="AS339" s="3"/>
      <c r="AT339" s="4"/>
      <c r="AU339" s="3"/>
      <c r="AV339" s="4"/>
      <c r="AW339" s="3"/>
      <c r="AX339" s="4"/>
      <c r="AY339" s="3"/>
      <c r="AZ339" s="4"/>
      <c r="BA339" s="3"/>
      <c r="BB339" s="4"/>
      <c r="BC339" s="3"/>
      <c r="BD339" s="4"/>
      <c r="BE339" s="3"/>
      <c r="BF339" s="4"/>
      <c r="BG339" s="3"/>
      <c r="BH339" s="4"/>
      <c r="BI339" s="3"/>
      <c r="BJ339" s="4"/>
      <c r="BK339" s="3"/>
      <c r="BL339" s="4"/>
      <c r="BM339" s="3"/>
      <c r="BN339" s="4"/>
      <c r="BO339" s="3"/>
      <c r="BP339" s="4"/>
      <c r="BQ339" s="3"/>
      <c r="BR339" s="4"/>
      <c r="BS339" s="3"/>
      <c r="BT339" s="4"/>
      <c r="BU339" s="3"/>
      <c r="BV339" s="4"/>
      <c r="BW339" s="3"/>
      <c r="BX339" s="4"/>
      <c r="BY339" s="3"/>
      <c r="BZ339" s="4"/>
      <c r="CA339" s="3"/>
      <c r="CB339" s="4"/>
      <c r="CC339" s="3"/>
      <c r="CD339" s="4"/>
    </row>
    <row r="340">
      <c r="A340" s="3"/>
      <c r="B340" s="4"/>
      <c r="C340" s="3"/>
      <c r="D340" s="4"/>
      <c r="E340" s="3"/>
      <c r="F340" s="4"/>
      <c r="G340" s="3"/>
      <c r="H340" s="4"/>
      <c r="I340" s="3"/>
      <c r="J340" s="4"/>
      <c r="K340" s="3"/>
      <c r="L340" s="4"/>
      <c r="M340" s="3"/>
      <c r="N340" s="4"/>
      <c r="O340" s="3"/>
      <c r="P340" s="4"/>
      <c r="Q340" s="3"/>
      <c r="R340" s="4"/>
      <c r="S340" s="3"/>
      <c r="T340" s="4"/>
      <c r="U340" s="3"/>
      <c r="V340" s="4"/>
      <c r="W340" s="3"/>
      <c r="X340" s="4"/>
      <c r="Y340" s="3"/>
      <c r="Z340" s="4"/>
      <c r="AA340" s="3"/>
      <c r="AB340" s="4"/>
      <c r="AC340" s="3"/>
      <c r="AD340" s="4"/>
      <c r="AE340" s="3"/>
      <c r="AF340" s="4"/>
      <c r="AG340" s="3"/>
      <c r="AH340" s="4"/>
      <c r="AI340" s="3"/>
      <c r="AJ340" s="4"/>
      <c r="AK340" s="3"/>
      <c r="AL340" s="4"/>
      <c r="AM340" s="3"/>
      <c r="AN340" s="4"/>
      <c r="AO340" s="3"/>
      <c r="AP340" s="4"/>
      <c r="AQ340" s="3"/>
      <c r="AR340" s="4"/>
      <c r="AS340" s="3"/>
      <c r="AT340" s="4"/>
      <c r="AU340" s="3"/>
      <c r="AV340" s="4"/>
      <c r="AW340" s="3"/>
      <c r="AX340" s="4"/>
      <c r="AY340" s="3"/>
      <c r="AZ340" s="4"/>
      <c r="BA340" s="3"/>
      <c r="BB340" s="4"/>
      <c r="BC340" s="3"/>
      <c r="BD340" s="4"/>
      <c r="BE340" s="3"/>
      <c r="BF340" s="4"/>
      <c r="BG340" s="3"/>
      <c r="BH340" s="4"/>
      <c r="BI340" s="3"/>
      <c r="BJ340" s="4"/>
      <c r="BK340" s="3"/>
      <c r="BL340" s="4"/>
      <c r="BM340" s="3"/>
      <c r="BN340" s="4"/>
      <c r="BO340" s="3"/>
      <c r="BP340" s="4"/>
      <c r="BQ340" s="3"/>
      <c r="BR340" s="4"/>
      <c r="BS340" s="3"/>
      <c r="BT340" s="4"/>
      <c r="BU340" s="3"/>
      <c r="BV340" s="4"/>
      <c r="BW340" s="3"/>
      <c r="BX340" s="4"/>
      <c r="BY340" s="3"/>
      <c r="BZ340" s="4"/>
      <c r="CA340" s="3"/>
      <c r="CB340" s="4"/>
      <c r="CC340" s="3"/>
      <c r="CD340" s="4"/>
    </row>
    <row r="341">
      <c r="A341" s="3"/>
      <c r="B341" s="4"/>
      <c r="C341" s="3"/>
      <c r="D341" s="4"/>
      <c r="E341" s="3"/>
      <c r="F341" s="4"/>
      <c r="G341" s="3"/>
      <c r="H341" s="4"/>
      <c r="I341" s="3"/>
      <c r="J341" s="4"/>
      <c r="K341" s="3"/>
      <c r="L341" s="4"/>
      <c r="M341" s="3"/>
      <c r="N341" s="4"/>
      <c r="O341" s="3"/>
      <c r="P341" s="4"/>
      <c r="Q341" s="3"/>
      <c r="R341" s="4"/>
      <c r="S341" s="3"/>
      <c r="T341" s="4"/>
      <c r="U341" s="3"/>
      <c r="V341" s="4"/>
      <c r="W341" s="3"/>
      <c r="X341" s="4"/>
      <c r="Y341" s="3"/>
      <c r="Z341" s="4"/>
      <c r="AA341" s="3"/>
      <c r="AB341" s="4"/>
      <c r="AC341" s="3"/>
      <c r="AD341" s="4"/>
      <c r="AE341" s="3"/>
      <c r="AF341" s="4"/>
      <c r="AG341" s="3"/>
      <c r="AH341" s="4"/>
      <c r="AI341" s="3"/>
      <c r="AJ341" s="4"/>
      <c r="AK341" s="3"/>
      <c r="AL341" s="4"/>
      <c r="AM341" s="3"/>
      <c r="AN341" s="4"/>
      <c r="AO341" s="3"/>
      <c r="AP341" s="4"/>
      <c r="AQ341" s="3"/>
      <c r="AR341" s="4"/>
      <c r="AS341" s="3"/>
      <c r="AT341" s="4"/>
      <c r="AU341" s="3"/>
      <c r="AV341" s="4"/>
      <c r="AW341" s="3"/>
      <c r="AX341" s="4"/>
      <c r="AY341" s="3"/>
      <c r="AZ341" s="4"/>
      <c r="BA341" s="3"/>
      <c r="BB341" s="4"/>
      <c r="BC341" s="3"/>
      <c r="BD341" s="4"/>
      <c r="BE341" s="3"/>
      <c r="BF341" s="4"/>
      <c r="BG341" s="3"/>
      <c r="BH341" s="4"/>
      <c r="BI341" s="3"/>
      <c r="BJ341" s="4"/>
      <c r="BK341" s="3"/>
      <c r="BL341" s="4"/>
      <c r="BM341" s="3"/>
      <c r="BN341" s="4"/>
      <c r="BO341" s="3"/>
      <c r="BP341" s="4"/>
      <c r="BQ341" s="3"/>
      <c r="BR341" s="4"/>
      <c r="BS341" s="3"/>
      <c r="BT341" s="4"/>
      <c r="BU341" s="3"/>
      <c r="BV341" s="4"/>
      <c r="BW341" s="3"/>
      <c r="BX341" s="4"/>
      <c r="BY341" s="3"/>
      <c r="BZ341" s="4"/>
      <c r="CA341" s="3"/>
      <c r="CB341" s="4"/>
      <c r="CC341" s="3"/>
      <c r="CD341" s="4"/>
    </row>
    <row r="342">
      <c r="A342" s="3"/>
      <c r="B342" s="4"/>
      <c r="C342" s="3"/>
      <c r="D342" s="4"/>
      <c r="E342" s="3"/>
      <c r="F342" s="4"/>
      <c r="G342" s="3"/>
      <c r="H342" s="4"/>
      <c r="I342" s="3"/>
      <c r="J342" s="4"/>
      <c r="K342" s="3"/>
      <c r="L342" s="4"/>
      <c r="M342" s="3"/>
      <c r="N342" s="4"/>
      <c r="O342" s="3"/>
      <c r="P342" s="4"/>
      <c r="Q342" s="3"/>
      <c r="R342" s="4"/>
      <c r="S342" s="3"/>
      <c r="T342" s="4"/>
      <c r="U342" s="3"/>
      <c r="V342" s="4"/>
      <c r="W342" s="3"/>
      <c r="X342" s="4"/>
      <c r="Y342" s="3"/>
      <c r="Z342" s="4"/>
      <c r="AA342" s="3"/>
      <c r="AB342" s="4"/>
      <c r="AC342" s="3"/>
      <c r="AD342" s="4"/>
      <c r="AE342" s="3"/>
      <c r="AF342" s="4"/>
      <c r="AG342" s="3"/>
      <c r="AH342" s="4"/>
      <c r="AI342" s="3"/>
      <c r="AJ342" s="4"/>
      <c r="AK342" s="3"/>
      <c r="AL342" s="4"/>
      <c r="AM342" s="3"/>
      <c r="AN342" s="4"/>
      <c r="AO342" s="3"/>
      <c r="AP342" s="4"/>
      <c r="AQ342" s="3"/>
      <c r="AR342" s="4"/>
      <c r="AS342" s="3"/>
      <c r="AT342" s="4"/>
      <c r="AU342" s="3"/>
      <c r="AV342" s="4"/>
      <c r="AW342" s="3"/>
      <c r="AX342" s="4"/>
      <c r="AY342" s="3"/>
      <c r="AZ342" s="4"/>
      <c r="BA342" s="3"/>
      <c r="BB342" s="4"/>
      <c r="BC342" s="3"/>
      <c r="BD342" s="4"/>
      <c r="BE342" s="3"/>
      <c r="BF342" s="4"/>
      <c r="BG342" s="3"/>
      <c r="BH342" s="4"/>
      <c r="BI342" s="3"/>
      <c r="BJ342" s="4"/>
      <c r="BK342" s="3"/>
      <c r="BL342" s="4"/>
      <c r="BM342" s="3"/>
      <c r="BN342" s="4"/>
      <c r="BO342" s="3"/>
      <c r="BP342" s="4"/>
      <c r="BQ342" s="3"/>
      <c r="BR342" s="4"/>
      <c r="BS342" s="3"/>
      <c r="BT342" s="4"/>
      <c r="BU342" s="3"/>
      <c r="BV342" s="4"/>
      <c r="BW342" s="3"/>
      <c r="BX342" s="4"/>
      <c r="BY342" s="3"/>
      <c r="BZ342" s="4"/>
      <c r="CA342" s="3"/>
      <c r="CB342" s="4"/>
      <c r="CC342" s="3"/>
      <c r="CD342" s="4"/>
    </row>
    <row r="343">
      <c r="A343" s="3"/>
      <c r="B343" s="4"/>
      <c r="C343" s="3"/>
      <c r="D343" s="4"/>
      <c r="E343" s="3"/>
      <c r="F343" s="4"/>
      <c r="G343" s="3"/>
      <c r="H343" s="4"/>
      <c r="I343" s="3"/>
      <c r="J343" s="4"/>
      <c r="K343" s="3"/>
      <c r="L343" s="4"/>
      <c r="M343" s="3"/>
      <c r="N343" s="4"/>
      <c r="O343" s="3"/>
      <c r="P343" s="4"/>
      <c r="Q343" s="3"/>
      <c r="R343" s="4"/>
      <c r="S343" s="3"/>
      <c r="T343" s="4"/>
      <c r="U343" s="3"/>
      <c r="V343" s="4"/>
      <c r="W343" s="3"/>
      <c r="X343" s="4"/>
      <c r="Y343" s="3"/>
      <c r="Z343" s="4"/>
      <c r="AA343" s="3"/>
      <c r="AB343" s="4"/>
      <c r="AC343" s="3"/>
      <c r="AD343" s="4"/>
      <c r="AE343" s="3"/>
      <c r="AF343" s="4"/>
      <c r="AG343" s="3"/>
      <c r="AH343" s="4"/>
      <c r="AI343" s="3"/>
      <c r="AJ343" s="4"/>
      <c r="AK343" s="3"/>
      <c r="AL343" s="4"/>
      <c r="AM343" s="3"/>
      <c r="AN343" s="4"/>
      <c r="AO343" s="3"/>
      <c r="AP343" s="4"/>
      <c r="AQ343" s="3"/>
      <c r="AR343" s="4"/>
      <c r="AS343" s="3"/>
      <c r="AT343" s="4"/>
      <c r="AU343" s="3"/>
      <c r="AV343" s="4"/>
      <c r="AW343" s="3"/>
      <c r="AX343" s="4"/>
      <c r="AY343" s="3"/>
      <c r="AZ343" s="4"/>
      <c r="BA343" s="3"/>
      <c r="BB343" s="4"/>
      <c r="BC343" s="3"/>
      <c r="BD343" s="4"/>
      <c r="BE343" s="3"/>
      <c r="BF343" s="4"/>
      <c r="BG343" s="3"/>
      <c r="BH343" s="4"/>
      <c r="BI343" s="3"/>
      <c r="BJ343" s="4"/>
      <c r="BK343" s="3"/>
      <c r="BL343" s="4"/>
      <c r="BM343" s="3"/>
      <c r="BN343" s="4"/>
      <c r="BO343" s="3"/>
      <c r="BP343" s="4"/>
      <c r="BQ343" s="3"/>
      <c r="BR343" s="4"/>
      <c r="BS343" s="3"/>
      <c r="BT343" s="4"/>
      <c r="BU343" s="3"/>
      <c r="BV343" s="4"/>
      <c r="BW343" s="3"/>
      <c r="BX343" s="4"/>
      <c r="BY343" s="3"/>
      <c r="BZ343" s="4"/>
      <c r="CA343" s="3"/>
      <c r="CB343" s="4"/>
      <c r="CC343" s="3"/>
      <c r="CD343" s="4"/>
    </row>
    <row r="344">
      <c r="A344" s="3"/>
      <c r="B344" s="4"/>
      <c r="C344" s="3"/>
      <c r="D344" s="4"/>
      <c r="E344" s="3"/>
      <c r="F344" s="4"/>
      <c r="G344" s="3"/>
      <c r="H344" s="4"/>
      <c r="I344" s="3"/>
      <c r="J344" s="4"/>
      <c r="K344" s="3"/>
      <c r="L344" s="4"/>
      <c r="M344" s="3"/>
      <c r="N344" s="4"/>
      <c r="O344" s="3"/>
      <c r="P344" s="4"/>
      <c r="Q344" s="3"/>
      <c r="R344" s="4"/>
      <c r="S344" s="3"/>
      <c r="T344" s="4"/>
      <c r="U344" s="3"/>
      <c r="V344" s="4"/>
      <c r="W344" s="3"/>
      <c r="X344" s="4"/>
      <c r="Y344" s="3"/>
      <c r="Z344" s="4"/>
      <c r="AA344" s="3"/>
      <c r="AB344" s="4"/>
      <c r="AC344" s="3"/>
      <c r="AD344" s="4"/>
      <c r="AE344" s="3"/>
      <c r="AF344" s="4"/>
      <c r="AG344" s="3"/>
      <c r="AH344" s="4"/>
      <c r="AI344" s="3"/>
      <c r="AJ344" s="4"/>
      <c r="AK344" s="3"/>
      <c r="AL344" s="4"/>
      <c r="AM344" s="3"/>
      <c r="AN344" s="4"/>
      <c r="AO344" s="3"/>
      <c r="AP344" s="4"/>
      <c r="AQ344" s="3"/>
      <c r="AR344" s="4"/>
      <c r="AS344" s="3"/>
      <c r="AT344" s="4"/>
      <c r="AU344" s="3"/>
      <c r="AV344" s="4"/>
      <c r="AW344" s="3"/>
      <c r="AX344" s="4"/>
      <c r="AY344" s="3"/>
      <c r="AZ344" s="4"/>
      <c r="BA344" s="3"/>
      <c r="BB344" s="4"/>
      <c r="BC344" s="3"/>
      <c r="BD344" s="4"/>
      <c r="BE344" s="3"/>
      <c r="BF344" s="4"/>
      <c r="BG344" s="3"/>
      <c r="BH344" s="4"/>
      <c r="BI344" s="3"/>
      <c r="BJ344" s="4"/>
      <c r="BK344" s="3"/>
      <c r="BL344" s="4"/>
      <c r="BM344" s="3"/>
      <c r="BN344" s="4"/>
      <c r="BO344" s="3"/>
      <c r="BP344" s="4"/>
      <c r="BQ344" s="3"/>
      <c r="BR344" s="4"/>
      <c r="BS344" s="3"/>
      <c r="BT344" s="4"/>
      <c r="BU344" s="3"/>
      <c r="BV344" s="4"/>
      <c r="BW344" s="3"/>
      <c r="BX344" s="4"/>
      <c r="BY344" s="3"/>
      <c r="BZ344" s="4"/>
      <c r="CA344" s="3"/>
      <c r="CB344" s="4"/>
      <c r="CC344" s="3"/>
      <c r="CD344" s="4"/>
    </row>
    <row r="345">
      <c r="A345" s="3"/>
      <c r="B345" s="4"/>
      <c r="C345" s="3"/>
      <c r="D345" s="4"/>
      <c r="E345" s="3"/>
      <c r="F345" s="4"/>
      <c r="G345" s="3"/>
      <c r="H345" s="4"/>
      <c r="I345" s="3"/>
      <c r="J345" s="4"/>
      <c r="K345" s="3"/>
      <c r="L345" s="4"/>
      <c r="M345" s="3"/>
      <c r="N345" s="4"/>
      <c r="O345" s="3"/>
      <c r="P345" s="4"/>
      <c r="Q345" s="3"/>
      <c r="R345" s="4"/>
      <c r="S345" s="3"/>
      <c r="T345" s="4"/>
      <c r="U345" s="3"/>
      <c r="V345" s="4"/>
      <c r="W345" s="3"/>
      <c r="X345" s="4"/>
      <c r="Y345" s="3"/>
      <c r="Z345" s="4"/>
      <c r="AA345" s="3"/>
      <c r="AB345" s="4"/>
      <c r="AC345" s="3"/>
      <c r="AD345" s="4"/>
      <c r="AE345" s="3"/>
      <c r="AF345" s="4"/>
      <c r="AG345" s="3"/>
      <c r="AH345" s="4"/>
      <c r="AI345" s="3"/>
      <c r="AJ345" s="4"/>
      <c r="AK345" s="3"/>
      <c r="AL345" s="4"/>
      <c r="AM345" s="3"/>
      <c r="AN345" s="4"/>
      <c r="AO345" s="3"/>
      <c r="AP345" s="4"/>
      <c r="AQ345" s="3"/>
      <c r="AR345" s="4"/>
      <c r="AS345" s="3"/>
      <c r="AT345" s="4"/>
      <c r="AU345" s="3"/>
      <c r="AV345" s="4"/>
      <c r="AW345" s="3"/>
      <c r="AX345" s="4"/>
      <c r="AY345" s="3"/>
      <c r="AZ345" s="4"/>
      <c r="BA345" s="3"/>
      <c r="BB345" s="4"/>
      <c r="BC345" s="3"/>
      <c r="BD345" s="4"/>
      <c r="BE345" s="3"/>
      <c r="BF345" s="4"/>
      <c r="BG345" s="3"/>
      <c r="BH345" s="4"/>
      <c r="BI345" s="3"/>
      <c r="BJ345" s="4"/>
      <c r="BK345" s="3"/>
      <c r="BL345" s="4"/>
      <c r="BM345" s="3"/>
      <c r="BN345" s="4"/>
      <c r="BO345" s="3"/>
      <c r="BP345" s="4"/>
      <c r="BQ345" s="3"/>
      <c r="BR345" s="4"/>
      <c r="BS345" s="3"/>
      <c r="BT345" s="4"/>
      <c r="BU345" s="3"/>
      <c r="BV345" s="4"/>
      <c r="BW345" s="3"/>
      <c r="BX345" s="4"/>
      <c r="BY345" s="3"/>
      <c r="BZ345" s="4"/>
      <c r="CA345" s="3"/>
      <c r="CB345" s="4"/>
      <c r="CC345" s="3"/>
      <c r="CD345" s="4"/>
    </row>
    <row r="346">
      <c r="A346" s="3"/>
      <c r="B346" s="4"/>
      <c r="C346" s="3"/>
      <c r="D346" s="4"/>
      <c r="E346" s="3"/>
      <c r="F346" s="4"/>
      <c r="G346" s="3"/>
      <c r="H346" s="4"/>
      <c r="I346" s="3"/>
      <c r="J346" s="4"/>
      <c r="K346" s="3"/>
      <c r="L346" s="4"/>
      <c r="M346" s="3"/>
      <c r="N346" s="4"/>
      <c r="O346" s="3"/>
      <c r="P346" s="4"/>
      <c r="Q346" s="3"/>
      <c r="R346" s="4"/>
      <c r="S346" s="3"/>
      <c r="T346" s="4"/>
      <c r="U346" s="3"/>
      <c r="V346" s="4"/>
      <c r="W346" s="3"/>
      <c r="X346" s="4"/>
      <c r="Y346" s="3"/>
      <c r="Z346" s="4"/>
      <c r="AA346" s="3"/>
      <c r="AB346" s="4"/>
      <c r="AC346" s="3"/>
      <c r="AD346" s="4"/>
      <c r="AE346" s="3"/>
      <c r="AF346" s="4"/>
      <c r="AG346" s="3"/>
      <c r="AH346" s="4"/>
      <c r="AI346" s="3"/>
      <c r="AJ346" s="4"/>
      <c r="AK346" s="3"/>
      <c r="AL346" s="4"/>
      <c r="AM346" s="3"/>
      <c r="AN346" s="4"/>
      <c r="AO346" s="3"/>
      <c r="AP346" s="4"/>
      <c r="AQ346" s="3"/>
      <c r="AR346" s="4"/>
      <c r="AS346" s="3"/>
      <c r="AT346" s="4"/>
      <c r="AU346" s="3"/>
      <c r="AV346" s="4"/>
      <c r="AW346" s="3"/>
      <c r="AX346" s="4"/>
      <c r="AY346" s="3"/>
      <c r="AZ346" s="4"/>
      <c r="BA346" s="3"/>
      <c r="BB346" s="4"/>
      <c r="BC346" s="3"/>
      <c r="BD346" s="4"/>
      <c r="BE346" s="3"/>
      <c r="BF346" s="4"/>
      <c r="BG346" s="3"/>
      <c r="BH346" s="4"/>
      <c r="BI346" s="3"/>
      <c r="BJ346" s="4"/>
      <c r="BK346" s="3"/>
      <c r="BL346" s="4"/>
      <c r="BM346" s="3"/>
      <c r="BN346" s="4"/>
      <c r="BO346" s="3"/>
      <c r="BP346" s="4"/>
      <c r="BQ346" s="3"/>
      <c r="BR346" s="4"/>
      <c r="BS346" s="3"/>
      <c r="BT346" s="4"/>
      <c r="BU346" s="3"/>
      <c r="BV346" s="4"/>
      <c r="BW346" s="3"/>
      <c r="BX346" s="4"/>
      <c r="BY346" s="3"/>
      <c r="BZ346" s="4"/>
      <c r="CA346" s="3"/>
      <c r="CB346" s="4"/>
      <c r="CC346" s="3"/>
      <c r="CD346" s="4"/>
    </row>
    <row r="347">
      <c r="A347" s="3"/>
      <c r="B347" s="4"/>
      <c r="C347" s="3"/>
      <c r="D347" s="4"/>
      <c r="E347" s="3"/>
      <c r="F347" s="4"/>
      <c r="G347" s="3"/>
      <c r="H347" s="4"/>
      <c r="I347" s="3"/>
      <c r="J347" s="4"/>
      <c r="K347" s="3"/>
      <c r="L347" s="4"/>
      <c r="M347" s="3"/>
      <c r="N347" s="4"/>
      <c r="O347" s="3"/>
      <c r="P347" s="4"/>
      <c r="Q347" s="3"/>
      <c r="R347" s="4"/>
      <c r="S347" s="3"/>
      <c r="T347" s="4"/>
      <c r="U347" s="3"/>
      <c r="V347" s="4"/>
      <c r="W347" s="3"/>
      <c r="X347" s="4"/>
      <c r="Y347" s="3"/>
      <c r="Z347" s="4"/>
      <c r="AA347" s="3"/>
      <c r="AB347" s="4"/>
      <c r="AC347" s="3"/>
      <c r="AD347" s="4"/>
      <c r="AE347" s="3"/>
      <c r="AF347" s="4"/>
      <c r="AG347" s="3"/>
      <c r="AH347" s="4"/>
      <c r="AI347" s="3"/>
      <c r="AJ347" s="4"/>
      <c r="AK347" s="3"/>
      <c r="AL347" s="4"/>
      <c r="AM347" s="3"/>
      <c r="AN347" s="4"/>
      <c r="AO347" s="3"/>
      <c r="AP347" s="4"/>
      <c r="AQ347" s="3"/>
      <c r="AR347" s="4"/>
      <c r="AS347" s="3"/>
      <c r="AT347" s="4"/>
      <c r="AU347" s="3"/>
      <c r="AV347" s="4"/>
      <c r="AW347" s="3"/>
      <c r="AX347" s="4"/>
      <c r="AY347" s="3"/>
      <c r="AZ347" s="4"/>
      <c r="BA347" s="3"/>
      <c r="BB347" s="4"/>
      <c r="BC347" s="3"/>
      <c r="BD347" s="4"/>
      <c r="BE347" s="3"/>
      <c r="BF347" s="4"/>
      <c r="BG347" s="3"/>
      <c r="BH347" s="4"/>
      <c r="BI347" s="3"/>
      <c r="BJ347" s="4"/>
      <c r="BK347" s="3"/>
      <c r="BL347" s="4"/>
      <c r="BM347" s="3"/>
      <c r="BN347" s="4"/>
      <c r="BO347" s="3"/>
      <c r="BP347" s="4"/>
      <c r="BQ347" s="3"/>
      <c r="BR347" s="4"/>
      <c r="BS347" s="3"/>
      <c r="BT347" s="4"/>
      <c r="BU347" s="3"/>
      <c r="BV347" s="4"/>
      <c r="BW347" s="3"/>
      <c r="BX347" s="4"/>
      <c r="BY347" s="3"/>
      <c r="BZ347" s="4"/>
      <c r="CA347" s="3"/>
      <c r="CB347" s="4"/>
      <c r="CC347" s="3"/>
      <c r="CD347" s="4"/>
    </row>
    <row r="348">
      <c r="A348" s="3"/>
      <c r="B348" s="4"/>
      <c r="C348" s="3"/>
      <c r="D348" s="4"/>
      <c r="E348" s="3"/>
      <c r="F348" s="4"/>
      <c r="G348" s="3"/>
      <c r="H348" s="4"/>
      <c r="I348" s="3"/>
      <c r="J348" s="4"/>
      <c r="K348" s="3"/>
      <c r="L348" s="4"/>
      <c r="M348" s="3"/>
      <c r="N348" s="4"/>
      <c r="O348" s="3"/>
      <c r="P348" s="4"/>
      <c r="Q348" s="3"/>
      <c r="R348" s="4"/>
      <c r="S348" s="3"/>
      <c r="T348" s="4"/>
      <c r="U348" s="3"/>
      <c r="V348" s="4"/>
      <c r="W348" s="3"/>
      <c r="X348" s="4"/>
      <c r="Y348" s="3"/>
      <c r="Z348" s="4"/>
      <c r="AA348" s="3"/>
      <c r="AB348" s="4"/>
      <c r="AC348" s="3"/>
      <c r="AD348" s="4"/>
      <c r="AE348" s="3"/>
      <c r="AF348" s="4"/>
      <c r="AG348" s="3"/>
      <c r="AH348" s="4"/>
      <c r="AI348" s="3"/>
      <c r="AJ348" s="4"/>
      <c r="AK348" s="3"/>
      <c r="AL348" s="4"/>
      <c r="AM348" s="3"/>
      <c r="AN348" s="4"/>
      <c r="AO348" s="3"/>
      <c r="AP348" s="4"/>
      <c r="AQ348" s="3"/>
      <c r="AR348" s="4"/>
      <c r="AS348" s="3"/>
      <c r="AT348" s="4"/>
      <c r="AU348" s="3"/>
      <c r="AV348" s="4"/>
      <c r="AW348" s="3"/>
      <c r="AX348" s="4"/>
      <c r="AY348" s="3"/>
      <c r="AZ348" s="4"/>
      <c r="BA348" s="3"/>
      <c r="BB348" s="4"/>
      <c r="BC348" s="3"/>
      <c r="BD348" s="4"/>
      <c r="BE348" s="3"/>
      <c r="BF348" s="4"/>
      <c r="BG348" s="3"/>
      <c r="BH348" s="4"/>
      <c r="BI348" s="3"/>
      <c r="BJ348" s="4"/>
      <c r="BK348" s="3"/>
      <c r="BL348" s="4"/>
      <c r="BM348" s="3"/>
      <c r="BN348" s="4"/>
      <c r="BO348" s="3"/>
      <c r="BP348" s="4"/>
      <c r="BQ348" s="3"/>
      <c r="BR348" s="4"/>
      <c r="BS348" s="3"/>
      <c r="BT348" s="4"/>
      <c r="BU348" s="3"/>
      <c r="BV348" s="4"/>
      <c r="BW348" s="3"/>
      <c r="BX348" s="4"/>
      <c r="BY348" s="3"/>
      <c r="BZ348" s="4"/>
      <c r="CA348" s="3"/>
      <c r="CB348" s="4"/>
      <c r="CC348" s="3"/>
      <c r="CD348" s="4"/>
    </row>
    <row r="349">
      <c r="A349" s="3"/>
      <c r="B349" s="4"/>
      <c r="C349" s="3"/>
      <c r="D349" s="4"/>
      <c r="E349" s="3"/>
      <c r="F349" s="4"/>
      <c r="G349" s="3"/>
      <c r="H349" s="4"/>
      <c r="I349" s="3"/>
      <c r="J349" s="4"/>
      <c r="K349" s="3"/>
      <c r="L349" s="4"/>
      <c r="M349" s="3"/>
      <c r="N349" s="4"/>
      <c r="O349" s="3"/>
      <c r="P349" s="4"/>
      <c r="Q349" s="3"/>
      <c r="R349" s="4"/>
      <c r="S349" s="3"/>
      <c r="T349" s="4"/>
      <c r="U349" s="3"/>
      <c r="V349" s="4"/>
      <c r="W349" s="3"/>
      <c r="X349" s="4"/>
      <c r="Y349" s="3"/>
      <c r="Z349" s="4"/>
      <c r="AA349" s="3"/>
      <c r="AB349" s="4"/>
      <c r="AC349" s="3"/>
      <c r="AD349" s="4"/>
      <c r="AE349" s="3"/>
      <c r="AF349" s="4"/>
      <c r="AG349" s="3"/>
      <c r="AH349" s="4"/>
      <c r="AI349" s="3"/>
      <c r="AJ349" s="4"/>
      <c r="AK349" s="3"/>
      <c r="AL349" s="4"/>
      <c r="AM349" s="3"/>
      <c r="AN349" s="4"/>
      <c r="AO349" s="3"/>
      <c r="AP349" s="4"/>
      <c r="AQ349" s="3"/>
      <c r="AR349" s="4"/>
      <c r="AS349" s="3"/>
      <c r="AT349" s="4"/>
      <c r="AU349" s="3"/>
      <c r="AV349" s="4"/>
      <c r="AW349" s="3"/>
      <c r="AX349" s="4"/>
      <c r="AY349" s="3"/>
      <c r="AZ349" s="4"/>
      <c r="BA349" s="3"/>
      <c r="BB349" s="4"/>
      <c r="BC349" s="3"/>
      <c r="BD349" s="4"/>
      <c r="BE349" s="3"/>
      <c r="BF349" s="4"/>
      <c r="BG349" s="3"/>
      <c r="BH349" s="4"/>
      <c r="BI349" s="3"/>
      <c r="BJ349" s="4"/>
      <c r="BK349" s="3"/>
      <c r="BL349" s="4"/>
      <c r="BM349" s="3"/>
      <c r="BN349" s="4"/>
      <c r="BO349" s="3"/>
      <c r="BP349" s="4"/>
      <c r="BQ349" s="3"/>
      <c r="BR349" s="4"/>
      <c r="BS349" s="3"/>
      <c r="BT349" s="4"/>
      <c r="BU349" s="3"/>
      <c r="BV349" s="4"/>
      <c r="BW349" s="3"/>
      <c r="BX349" s="4"/>
      <c r="BY349" s="3"/>
      <c r="BZ349" s="4"/>
      <c r="CA349" s="3"/>
      <c r="CB349" s="4"/>
      <c r="CC349" s="3"/>
      <c r="CD349" s="4"/>
    </row>
    <row r="350">
      <c r="A350" s="3"/>
      <c r="B350" s="4"/>
      <c r="C350" s="3"/>
      <c r="D350" s="4"/>
      <c r="E350" s="3"/>
      <c r="F350" s="4"/>
      <c r="G350" s="3"/>
      <c r="H350" s="4"/>
      <c r="I350" s="3"/>
      <c r="J350" s="4"/>
      <c r="K350" s="3"/>
      <c r="L350" s="4"/>
      <c r="M350" s="3"/>
      <c r="N350" s="4"/>
      <c r="O350" s="3"/>
      <c r="P350" s="4"/>
      <c r="Q350" s="3"/>
      <c r="R350" s="4"/>
      <c r="S350" s="3"/>
      <c r="T350" s="4"/>
      <c r="U350" s="3"/>
      <c r="V350" s="4"/>
      <c r="W350" s="3"/>
      <c r="X350" s="4"/>
      <c r="Y350" s="3"/>
      <c r="Z350" s="4"/>
      <c r="AA350" s="3"/>
      <c r="AB350" s="4"/>
      <c r="AC350" s="3"/>
      <c r="AD350" s="4"/>
      <c r="AE350" s="3"/>
      <c r="AF350" s="4"/>
      <c r="AG350" s="3"/>
      <c r="AH350" s="4"/>
      <c r="AI350" s="3"/>
      <c r="AJ350" s="4"/>
      <c r="AK350" s="3"/>
      <c r="AL350" s="4"/>
      <c r="AM350" s="3"/>
      <c r="AN350" s="4"/>
      <c r="AO350" s="3"/>
      <c r="AP350" s="4"/>
      <c r="AQ350" s="3"/>
      <c r="AR350" s="4"/>
      <c r="AS350" s="3"/>
      <c r="AT350" s="4"/>
      <c r="AU350" s="3"/>
      <c r="AV350" s="4"/>
      <c r="AW350" s="3"/>
      <c r="AX350" s="4"/>
      <c r="AY350" s="3"/>
      <c r="AZ350" s="4"/>
      <c r="BA350" s="3"/>
      <c r="BB350" s="4"/>
      <c r="BC350" s="3"/>
      <c r="BD350" s="4"/>
      <c r="BE350" s="3"/>
      <c r="BF350" s="4"/>
      <c r="BG350" s="3"/>
      <c r="BH350" s="4"/>
      <c r="BI350" s="3"/>
      <c r="BJ350" s="4"/>
      <c r="BK350" s="3"/>
      <c r="BL350" s="4"/>
      <c r="BM350" s="3"/>
      <c r="BN350" s="4"/>
      <c r="BO350" s="3"/>
      <c r="BP350" s="4"/>
      <c r="BQ350" s="3"/>
      <c r="BR350" s="4"/>
      <c r="BS350" s="3"/>
      <c r="BT350" s="4"/>
      <c r="BU350" s="3"/>
      <c r="BV350" s="4"/>
      <c r="BW350" s="3"/>
      <c r="BX350" s="4"/>
      <c r="BY350" s="3"/>
      <c r="BZ350" s="4"/>
      <c r="CA350" s="3"/>
      <c r="CB350" s="4"/>
      <c r="CC350" s="3"/>
      <c r="CD350" s="4"/>
    </row>
    <row r="351">
      <c r="A351" s="3"/>
      <c r="B351" s="4"/>
      <c r="C351" s="3"/>
      <c r="D351" s="4"/>
      <c r="E351" s="3"/>
      <c r="F351" s="4"/>
      <c r="G351" s="3"/>
      <c r="H351" s="4"/>
      <c r="I351" s="3"/>
      <c r="J351" s="4"/>
      <c r="K351" s="3"/>
      <c r="L351" s="4"/>
      <c r="M351" s="3"/>
      <c r="N351" s="4"/>
      <c r="O351" s="3"/>
      <c r="P351" s="4"/>
      <c r="Q351" s="3"/>
      <c r="R351" s="4"/>
      <c r="S351" s="3"/>
      <c r="T351" s="4"/>
      <c r="U351" s="3"/>
      <c r="V351" s="4"/>
      <c r="W351" s="3"/>
      <c r="X351" s="4"/>
      <c r="Y351" s="3"/>
      <c r="Z351" s="4"/>
      <c r="AA351" s="3"/>
      <c r="AB351" s="4"/>
      <c r="AC351" s="3"/>
      <c r="AD351" s="4"/>
      <c r="AE351" s="3"/>
      <c r="AF351" s="4"/>
      <c r="AG351" s="3"/>
      <c r="AH351" s="4"/>
      <c r="AI351" s="3"/>
      <c r="AJ351" s="4"/>
      <c r="AK351" s="3"/>
      <c r="AL351" s="4"/>
      <c r="AM351" s="3"/>
      <c r="AN351" s="4"/>
      <c r="AO351" s="3"/>
      <c r="AP351" s="4"/>
      <c r="AQ351" s="3"/>
      <c r="AR351" s="4"/>
      <c r="AS351" s="3"/>
      <c r="AT351" s="4"/>
      <c r="AU351" s="3"/>
      <c r="AV351" s="4"/>
      <c r="AW351" s="3"/>
      <c r="AX351" s="4"/>
      <c r="AY351" s="3"/>
      <c r="AZ351" s="4"/>
      <c r="BA351" s="3"/>
      <c r="BB351" s="4"/>
      <c r="BC351" s="3"/>
      <c r="BD351" s="4"/>
      <c r="BE351" s="3"/>
      <c r="BF351" s="4"/>
      <c r="BG351" s="3"/>
      <c r="BH351" s="4"/>
      <c r="BI351" s="3"/>
      <c r="BJ351" s="4"/>
      <c r="BK351" s="3"/>
      <c r="BL351" s="4"/>
      <c r="BM351" s="3"/>
      <c r="BN351" s="4"/>
      <c r="BO351" s="3"/>
      <c r="BP351" s="4"/>
      <c r="BQ351" s="3"/>
      <c r="BR351" s="4"/>
      <c r="BS351" s="3"/>
      <c r="BT351" s="4"/>
      <c r="BU351" s="3"/>
      <c r="BV351" s="4"/>
      <c r="BW351" s="3"/>
      <c r="BX351" s="4"/>
      <c r="BY351" s="3"/>
      <c r="BZ351" s="4"/>
      <c r="CA351" s="3"/>
      <c r="CB351" s="4"/>
      <c r="CC351" s="3"/>
      <c r="CD351" s="4"/>
    </row>
    <row r="352">
      <c r="A352" s="3"/>
      <c r="B352" s="4"/>
      <c r="C352" s="3"/>
      <c r="D352" s="4"/>
      <c r="E352" s="3"/>
      <c r="F352" s="4"/>
      <c r="G352" s="3"/>
      <c r="H352" s="4"/>
      <c r="I352" s="3"/>
      <c r="J352" s="4"/>
      <c r="K352" s="3"/>
      <c r="L352" s="4"/>
      <c r="M352" s="3"/>
      <c r="N352" s="4"/>
      <c r="O352" s="3"/>
      <c r="P352" s="4"/>
      <c r="Q352" s="3"/>
      <c r="R352" s="4"/>
      <c r="S352" s="3"/>
      <c r="T352" s="4"/>
      <c r="U352" s="3"/>
      <c r="V352" s="4"/>
      <c r="W352" s="3"/>
      <c r="X352" s="4"/>
      <c r="Y352" s="3"/>
      <c r="Z352" s="4"/>
      <c r="AA352" s="3"/>
      <c r="AB352" s="4"/>
      <c r="AC352" s="3"/>
      <c r="AD352" s="4"/>
      <c r="AE352" s="3"/>
      <c r="AF352" s="4"/>
      <c r="AG352" s="3"/>
      <c r="AH352" s="4"/>
      <c r="AI352" s="3"/>
      <c r="AJ352" s="4"/>
      <c r="AK352" s="3"/>
      <c r="AL352" s="4"/>
      <c r="AM352" s="3"/>
      <c r="AN352" s="4"/>
      <c r="AO352" s="3"/>
      <c r="AP352" s="4"/>
      <c r="AQ352" s="3"/>
      <c r="AR352" s="4"/>
      <c r="AS352" s="3"/>
      <c r="AT352" s="4"/>
      <c r="AU352" s="3"/>
      <c r="AV352" s="4"/>
      <c r="AW352" s="3"/>
      <c r="AX352" s="4"/>
      <c r="AY352" s="3"/>
      <c r="AZ352" s="4"/>
      <c r="BA352" s="3"/>
      <c r="BB352" s="4"/>
      <c r="BC352" s="3"/>
      <c r="BD352" s="4"/>
      <c r="BE352" s="3"/>
      <c r="BF352" s="4"/>
      <c r="BG352" s="3"/>
      <c r="BH352" s="4"/>
      <c r="BI352" s="3"/>
      <c r="BJ352" s="4"/>
      <c r="BK352" s="3"/>
      <c r="BL352" s="4"/>
      <c r="BM352" s="3"/>
      <c r="BN352" s="4"/>
      <c r="BO352" s="3"/>
      <c r="BP352" s="4"/>
      <c r="BQ352" s="3"/>
      <c r="BR352" s="4"/>
      <c r="BS352" s="3"/>
      <c r="BT352" s="4"/>
      <c r="BU352" s="3"/>
      <c r="BV352" s="4"/>
      <c r="BW352" s="3"/>
      <c r="BX352" s="4"/>
      <c r="BY352" s="3"/>
      <c r="BZ352" s="4"/>
      <c r="CA352" s="3"/>
      <c r="CB352" s="4"/>
      <c r="CC352" s="3"/>
      <c r="CD352" s="4"/>
    </row>
    <row r="353">
      <c r="A353" s="3"/>
      <c r="B353" s="4"/>
      <c r="C353" s="3"/>
      <c r="D353" s="4"/>
      <c r="E353" s="3"/>
      <c r="F353" s="4"/>
      <c r="G353" s="3"/>
      <c r="H353" s="4"/>
      <c r="I353" s="3"/>
      <c r="J353" s="4"/>
      <c r="K353" s="3"/>
      <c r="L353" s="4"/>
      <c r="M353" s="3"/>
      <c r="N353" s="4"/>
      <c r="O353" s="3"/>
      <c r="P353" s="4"/>
      <c r="Q353" s="3"/>
      <c r="R353" s="4"/>
      <c r="S353" s="3"/>
      <c r="T353" s="4"/>
      <c r="U353" s="3"/>
      <c r="V353" s="4"/>
      <c r="W353" s="3"/>
      <c r="X353" s="4"/>
      <c r="Y353" s="3"/>
      <c r="Z353" s="4"/>
      <c r="AA353" s="3"/>
      <c r="AB353" s="4"/>
      <c r="AC353" s="3"/>
      <c r="AD353" s="4"/>
      <c r="AE353" s="3"/>
      <c r="AF353" s="4"/>
      <c r="AG353" s="3"/>
      <c r="AH353" s="4"/>
      <c r="AI353" s="3"/>
      <c r="AJ353" s="4"/>
      <c r="AK353" s="3"/>
      <c r="AL353" s="4"/>
      <c r="AM353" s="3"/>
      <c r="AN353" s="4"/>
      <c r="AO353" s="3"/>
      <c r="AP353" s="4"/>
      <c r="AQ353" s="3"/>
      <c r="AR353" s="4"/>
      <c r="AS353" s="3"/>
      <c r="AT353" s="4"/>
      <c r="AU353" s="3"/>
      <c r="AV353" s="4"/>
      <c r="AW353" s="3"/>
      <c r="AX353" s="4"/>
      <c r="AY353" s="3"/>
      <c r="AZ353" s="4"/>
      <c r="BA353" s="3"/>
      <c r="BB353" s="4"/>
      <c r="BC353" s="3"/>
      <c r="BD353" s="4"/>
      <c r="BE353" s="3"/>
      <c r="BF353" s="4"/>
      <c r="BG353" s="3"/>
      <c r="BH353" s="4"/>
      <c r="BI353" s="3"/>
      <c r="BJ353" s="4"/>
      <c r="BK353" s="3"/>
      <c r="BL353" s="4"/>
      <c r="BM353" s="3"/>
      <c r="BN353" s="4"/>
      <c r="BO353" s="3"/>
      <c r="BP353" s="4"/>
      <c r="BQ353" s="3"/>
      <c r="BR353" s="4"/>
      <c r="BS353" s="3"/>
      <c r="BT353" s="4"/>
      <c r="BU353" s="3"/>
      <c r="BV353" s="4"/>
      <c r="BW353" s="3"/>
      <c r="BX353" s="4"/>
      <c r="BY353" s="3"/>
      <c r="BZ353" s="4"/>
      <c r="CA353" s="3"/>
      <c r="CB353" s="4"/>
      <c r="CC353" s="3"/>
      <c r="CD353" s="4"/>
    </row>
    <row r="354">
      <c r="A354" s="3"/>
      <c r="B354" s="4"/>
      <c r="C354" s="3"/>
      <c r="D354" s="4"/>
      <c r="E354" s="3"/>
      <c r="F354" s="4"/>
      <c r="G354" s="3"/>
      <c r="H354" s="4"/>
      <c r="I354" s="3"/>
      <c r="J354" s="4"/>
      <c r="K354" s="3"/>
      <c r="L354" s="4"/>
      <c r="M354" s="3"/>
      <c r="N354" s="4"/>
      <c r="O354" s="3"/>
      <c r="P354" s="4"/>
      <c r="Q354" s="3"/>
      <c r="R354" s="4"/>
      <c r="S354" s="3"/>
      <c r="T354" s="4"/>
      <c r="U354" s="3"/>
      <c r="V354" s="4"/>
      <c r="W354" s="3"/>
      <c r="X354" s="4"/>
      <c r="Y354" s="3"/>
      <c r="Z354" s="4"/>
      <c r="AA354" s="3"/>
      <c r="AB354" s="4"/>
      <c r="AC354" s="3"/>
      <c r="AD354" s="4"/>
      <c r="AE354" s="3"/>
      <c r="AF354" s="4"/>
      <c r="AG354" s="3"/>
      <c r="AH354" s="4"/>
      <c r="AI354" s="3"/>
      <c r="AJ354" s="4"/>
      <c r="AK354" s="3"/>
      <c r="AL354" s="4"/>
      <c r="AM354" s="3"/>
      <c r="AN354" s="4"/>
      <c r="AO354" s="3"/>
      <c r="AP354" s="4"/>
      <c r="AQ354" s="3"/>
      <c r="AR354" s="4"/>
      <c r="AS354" s="3"/>
      <c r="AT354" s="4"/>
      <c r="AU354" s="3"/>
      <c r="AV354" s="4"/>
      <c r="AW354" s="3"/>
      <c r="AX354" s="4"/>
      <c r="AY354" s="3"/>
      <c r="AZ354" s="4"/>
      <c r="BA354" s="3"/>
      <c r="BB354" s="4"/>
      <c r="BC354" s="3"/>
      <c r="BD354" s="4"/>
      <c r="BE354" s="3"/>
      <c r="BF354" s="4"/>
      <c r="BG354" s="3"/>
      <c r="BH354" s="4"/>
      <c r="BI354" s="3"/>
      <c r="BJ354" s="4"/>
      <c r="BK354" s="3"/>
      <c r="BL354" s="4"/>
      <c r="BM354" s="3"/>
      <c r="BN354" s="4"/>
      <c r="BO354" s="3"/>
      <c r="BP354" s="4"/>
      <c r="BQ354" s="3"/>
      <c r="BR354" s="4"/>
      <c r="BS354" s="3"/>
      <c r="BT354" s="4"/>
      <c r="BU354" s="3"/>
      <c r="BV354" s="4"/>
      <c r="BW354" s="3"/>
      <c r="BX354" s="4"/>
      <c r="BY354" s="3"/>
      <c r="BZ354" s="4"/>
      <c r="CA354" s="3"/>
      <c r="CB354" s="4"/>
      <c r="CC354" s="3"/>
      <c r="CD354" s="4"/>
    </row>
    <row r="355">
      <c r="A355" s="3"/>
      <c r="B355" s="4"/>
      <c r="C355" s="3"/>
      <c r="D355" s="4"/>
      <c r="E355" s="3"/>
      <c r="F355" s="4"/>
      <c r="G355" s="3"/>
      <c r="H355" s="4"/>
      <c r="I355" s="3"/>
      <c r="J355" s="4"/>
      <c r="K355" s="3"/>
      <c r="L355" s="4"/>
      <c r="M355" s="3"/>
      <c r="N355" s="4"/>
      <c r="O355" s="3"/>
      <c r="P355" s="4"/>
      <c r="Q355" s="3"/>
      <c r="R355" s="4"/>
      <c r="S355" s="3"/>
      <c r="T355" s="4"/>
      <c r="U355" s="3"/>
      <c r="V355" s="4"/>
      <c r="W355" s="3"/>
      <c r="X355" s="4"/>
      <c r="Y355" s="3"/>
      <c r="Z355" s="4"/>
      <c r="AA355" s="3"/>
      <c r="AB355" s="4"/>
      <c r="AC355" s="3"/>
      <c r="AD355" s="4"/>
      <c r="AE355" s="3"/>
      <c r="AF355" s="4"/>
      <c r="AG355" s="3"/>
      <c r="AH355" s="4"/>
      <c r="AI355" s="3"/>
      <c r="AJ355" s="4"/>
      <c r="AK355" s="3"/>
      <c r="AL355" s="4"/>
      <c r="AM355" s="3"/>
      <c r="AN355" s="4"/>
      <c r="AO355" s="3"/>
      <c r="AP355" s="4"/>
      <c r="AQ355" s="3"/>
      <c r="AR355" s="4"/>
      <c r="AS355" s="3"/>
      <c r="AT355" s="4"/>
      <c r="AU355" s="3"/>
      <c r="AV355" s="4"/>
      <c r="AW355" s="3"/>
      <c r="AX355" s="4"/>
      <c r="AY355" s="3"/>
      <c r="AZ355" s="4"/>
      <c r="BA355" s="3"/>
      <c r="BB355" s="4"/>
      <c r="BC355" s="3"/>
      <c r="BD355" s="4"/>
      <c r="BE355" s="3"/>
      <c r="BF355" s="4"/>
      <c r="BG355" s="3"/>
      <c r="BH355" s="4"/>
      <c r="BI355" s="3"/>
      <c r="BJ355" s="4"/>
      <c r="BK355" s="3"/>
      <c r="BL355" s="4"/>
      <c r="BM355" s="3"/>
      <c r="BN355" s="4"/>
      <c r="BO355" s="3"/>
      <c r="BP355" s="4"/>
      <c r="BQ355" s="3"/>
      <c r="BR355" s="4"/>
      <c r="BS355" s="3"/>
      <c r="BT355" s="4"/>
      <c r="BU355" s="3"/>
      <c r="BV355" s="4"/>
      <c r="BW355" s="3"/>
      <c r="BX355" s="4"/>
      <c r="BY355" s="3"/>
      <c r="BZ355" s="4"/>
      <c r="CA355" s="3"/>
      <c r="CB355" s="4"/>
      <c r="CC355" s="3"/>
      <c r="CD355" s="4"/>
    </row>
    <row r="356">
      <c r="A356" s="3"/>
      <c r="B356" s="4"/>
      <c r="C356" s="3"/>
      <c r="D356" s="4"/>
      <c r="E356" s="3"/>
      <c r="F356" s="4"/>
      <c r="G356" s="3"/>
      <c r="H356" s="4"/>
      <c r="I356" s="3"/>
      <c r="J356" s="4"/>
      <c r="K356" s="3"/>
      <c r="L356" s="4"/>
      <c r="M356" s="3"/>
      <c r="N356" s="4"/>
      <c r="O356" s="3"/>
      <c r="P356" s="4"/>
      <c r="Q356" s="3"/>
      <c r="R356" s="4"/>
      <c r="S356" s="3"/>
      <c r="T356" s="4"/>
      <c r="U356" s="3"/>
      <c r="V356" s="4"/>
      <c r="W356" s="3"/>
      <c r="X356" s="4"/>
      <c r="Y356" s="3"/>
      <c r="Z356" s="4"/>
      <c r="AA356" s="3"/>
      <c r="AB356" s="4"/>
      <c r="AC356" s="3"/>
      <c r="AD356" s="4"/>
      <c r="AE356" s="3"/>
      <c r="AF356" s="4"/>
      <c r="AG356" s="3"/>
      <c r="AH356" s="4"/>
      <c r="AI356" s="3"/>
      <c r="AJ356" s="4"/>
      <c r="AK356" s="3"/>
      <c r="AL356" s="4"/>
      <c r="AM356" s="3"/>
      <c r="AN356" s="4"/>
      <c r="AO356" s="3"/>
      <c r="AP356" s="4"/>
      <c r="AQ356" s="3"/>
      <c r="AR356" s="4"/>
      <c r="AS356" s="3"/>
      <c r="AT356" s="4"/>
      <c r="AU356" s="3"/>
      <c r="AV356" s="4"/>
      <c r="AW356" s="3"/>
      <c r="AX356" s="4"/>
      <c r="AY356" s="3"/>
      <c r="AZ356" s="4"/>
      <c r="BA356" s="3"/>
      <c r="BB356" s="4"/>
      <c r="BC356" s="3"/>
      <c r="BD356" s="4"/>
      <c r="BE356" s="3"/>
      <c r="BF356" s="4"/>
      <c r="BG356" s="3"/>
      <c r="BH356" s="4"/>
      <c r="BI356" s="3"/>
      <c r="BJ356" s="4"/>
      <c r="BK356" s="3"/>
      <c r="BL356" s="4"/>
      <c r="BM356" s="3"/>
      <c r="BN356" s="4"/>
      <c r="BO356" s="3"/>
      <c r="BP356" s="4"/>
      <c r="BQ356" s="3"/>
      <c r="BR356" s="4"/>
      <c r="BS356" s="3"/>
      <c r="BT356" s="4"/>
      <c r="BU356" s="3"/>
      <c r="BV356" s="4"/>
      <c r="BW356" s="3"/>
      <c r="BX356" s="4"/>
      <c r="BY356" s="3"/>
      <c r="BZ356" s="4"/>
      <c r="CA356" s="3"/>
      <c r="CB356" s="4"/>
      <c r="CC356" s="3"/>
      <c r="CD356" s="4"/>
    </row>
    <row r="357">
      <c r="A357" s="3"/>
      <c r="B357" s="4"/>
      <c r="C357" s="3"/>
      <c r="D357" s="4"/>
      <c r="E357" s="3"/>
      <c r="F357" s="4"/>
      <c r="G357" s="3"/>
      <c r="H357" s="4"/>
      <c r="I357" s="3"/>
      <c r="J357" s="4"/>
      <c r="K357" s="3"/>
      <c r="L357" s="4"/>
      <c r="M357" s="3"/>
      <c r="N357" s="4"/>
      <c r="O357" s="3"/>
      <c r="P357" s="4"/>
      <c r="Q357" s="3"/>
      <c r="R357" s="4"/>
      <c r="S357" s="3"/>
      <c r="T357" s="4"/>
      <c r="U357" s="3"/>
      <c r="V357" s="4"/>
      <c r="W357" s="3"/>
      <c r="X357" s="4"/>
      <c r="Y357" s="3"/>
      <c r="Z357" s="4"/>
      <c r="AA357" s="3"/>
      <c r="AB357" s="4"/>
      <c r="AC357" s="3"/>
      <c r="AD357" s="4"/>
      <c r="AE357" s="3"/>
      <c r="AF357" s="4"/>
      <c r="AG357" s="3"/>
      <c r="AH357" s="4"/>
      <c r="AI357" s="3"/>
      <c r="AJ357" s="4"/>
      <c r="AK357" s="3"/>
      <c r="AL357" s="4"/>
      <c r="AM357" s="3"/>
      <c r="AN357" s="4"/>
      <c r="AO357" s="3"/>
      <c r="AP357" s="4"/>
      <c r="AQ357" s="3"/>
      <c r="AR357" s="4"/>
      <c r="AS357" s="3"/>
      <c r="AT357" s="4"/>
      <c r="AU357" s="3"/>
      <c r="AV357" s="4"/>
      <c r="AW357" s="3"/>
      <c r="AX357" s="4"/>
      <c r="AY357" s="3"/>
      <c r="AZ357" s="4"/>
      <c r="BA357" s="3"/>
      <c r="BB357" s="4"/>
      <c r="BC357" s="3"/>
      <c r="BD357" s="4"/>
      <c r="BE357" s="3"/>
      <c r="BF357" s="4"/>
      <c r="BG357" s="3"/>
      <c r="BH357" s="4"/>
      <c r="BI357" s="3"/>
      <c r="BJ357" s="4"/>
      <c r="BK357" s="3"/>
      <c r="BL357" s="4"/>
      <c r="BM357" s="3"/>
      <c r="BN357" s="4"/>
      <c r="BO357" s="3"/>
      <c r="BP357" s="4"/>
      <c r="BQ357" s="3"/>
      <c r="BR357" s="4"/>
      <c r="BS357" s="3"/>
      <c r="BT357" s="4"/>
      <c r="BU357" s="3"/>
      <c r="BV357" s="4"/>
      <c r="BW357" s="3"/>
      <c r="BX357" s="4"/>
      <c r="BY357" s="3"/>
      <c r="BZ357" s="4"/>
      <c r="CA357" s="3"/>
      <c r="CB357" s="4"/>
      <c r="CC357" s="3"/>
      <c r="CD357" s="4"/>
    </row>
    <row r="358">
      <c r="A358" s="3"/>
      <c r="B358" s="4"/>
      <c r="C358" s="3"/>
      <c r="D358" s="4"/>
      <c r="E358" s="3"/>
      <c r="F358" s="4"/>
      <c r="G358" s="3"/>
      <c r="H358" s="4"/>
      <c r="I358" s="3"/>
      <c r="J358" s="4"/>
      <c r="K358" s="3"/>
      <c r="L358" s="4"/>
      <c r="M358" s="3"/>
      <c r="N358" s="4"/>
      <c r="O358" s="3"/>
      <c r="P358" s="4"/>
      <c r="Q358" s="3"/>
      <c r="R358" s="4"/>
      <c r="S358" s="3"/>
      <c r="T358" s="4"/>
      <c r="U358" s="3"/>
      <c r="V358" s="4"/>
      <c r="W358" s="3"/>
      <c r="X358" s="4"/>
      <c r="Y358" s="3"/>
      <c r="Z358" s="4"/>
      <c r="AA358" s="3"/>
      <c r="AB358" s="4"/>
      <c r="AC358" s="3"/>
      <c r="AD358" s="4"/>
      <c r="AE358" s="3"/>
      <c r="AF358" s="4"/>
      <c r="AG358" s="3"/>
      <c r="AH358" s="4"/>
      <c r="AI358" s="3"/>
      <c r="AJ358" s="4"/>
      <c r="AK358" s="3"/>
      <c r="AL358" s="4"/>
      <c r="AM358" s="3"/>
      <c r="AN358" s="4"/>
      <c r="AO358" s="3"/>
      <c r="AP358" s="4"/>
      <c r="AQ358" s="3"/>
      <c r="AR358" s="4"/>
      <c r="AS358" s="3"/>
      <c r="AT358" s="4"/>
      <c r="AU358" s="3"/>
      <c r="AV358" s="4"/>
      <c r="AW358" s="3"/>
      <c r="AX358" s="4"/>
      <c r="AY358" s="3"/>
      <c r="AZ358" s="4"/>
      <c r="BA358" s="3"/>
      <c r="BB358" s="4"/>
      <c r="BC358" s="3"/>
      <c r="BD358" s="4"/>
      <c r="BE358" s="3"/>
      <c r="BF358" s="4"/>
      <c r="BG358" s="3"/>
      <c r="BH358" s="4"/>
      <c r="BI358" s="3"/>
      <c r="BJ358" s="4"/>
      <c r="BK358" s="3"/>
      <c r="BL358" s="4"/>
      <c r="BM358" s="3"/>
      <c r="BN358" s="4"/>
      <c r="BO358" s="3"/>
      <c r="BP358" s="4"/>
      <c r="BQ358" s="3"/>
      <c r="BR358" s="4"/>
      <c r="BS358" s="3"/>
      <c r="BT358" s="4"/>
      <c r="BU358" s="3"/>
      <c r="BV358" s="4"/>
      <c r="BW358" s="3"/>
      <c r="BX358" s="4"/>
      <c r="BY358" s="3"/>
      <c r="BZ358" s="4"/>
      <c r="CA358" s="3"/>
      <c r="CB358" s="4"/>
      <c r="CC358" s="3"/>
      <c r="CD358" s="4"/>
    </row>
    <row r="359">
      <c r="A359" s="3"/>
      <c r="B359" s="4"/>
      <c r="C359" s="3"/>
      <c r="D359" s="4"/>
      <c r="E359" s="3"/>
      <c r="F359" s="4"/>
      <c r="G359" s="3"/>
      <c r="H359" s="4"/>
      <c r="I359" s="3"/>
      <c r="J359" s="4"/>
      <c r="K359" s="3"/>
      <c r="L359" s="4"/>
      <c r="M359" s="3"/>
      <c r="N359" s="4"/>
      <c r="O359" s="3"/>
      <c r="P359" s="4"/>
      <c r="Q359" s="3"/>
      <c r="R359" s="4"/>
      <c r="S359" s="3"/>
      <c r="T359" s="4"/>
      <c r="U359" s="3"/>
      <c r="V359" s="4"/>
      <c r="W359" s="3"/>
      <c r="X359" s="4"/>
      <c r="Y359" s="3"/>
      <c r="Z359" s="4"/>
      <c r="AA359" s="3"/>
      <c r="AB359" s="4"/>
      <c r="AC359" s="3"/>
      <c r="AD359" s="4"/>
      <c r="AE359" s="3"/>
      <c r="AF359" s="4"/>
      <c r="AG359" s="3"/>
      <c r="AH359" s="4"/>
      <c r="AI359" s="3"/>
      <c r="AJ359" s="4"/>
      <c r="AK359" s="3"/>
      <c r="AL359" s="4"/>
      <c r="AM359" s="3"/>
      <c r="AN359" s="4"/>
      <c r="AO359" s="3"/>
      <c r="AP359" s="4"/>
      <c r="AQ359" s="3"/>
      <c r="AR359" s="4"/>
      <c r="AS359" s="3"/>
      <c r="AT359" s="4"/>
      <c r="AU359" s="3"/>
      <c r="AV359" s="4"/>
      <c r="AW359" s="3"/>
      <c r="AX359" s="4"/>
      <c r="AY359" s="3"/>
      <c r="AZ359" s="4"/>
      <c r="BA359" s="3"/>
      <c r="BB359" s="4"/>
      <c r="BC359" s="3"/>
      <c r="BD359" s="4"/>
      <c r="BE359" s="3"/>
      <c r="BF359" s="4"/>
      <c r="BG359" s="3"/>
      <c r="BH359" s="4"/>
      <c r="BI359" s="3"/>
      <c r="BJ359" s="4"/>
      <c r="BK359" s="3"/>
      <c r="BL359" s="4"/>
      <c r="BM359" s="3"/>
      <c r="BN359" s="4"/>
      <c r="BO359" s="3"/>
      <c r="BP359" s="4"/>
      <c r="BQ359" s="3"/>
      <c r="BR359" s="4"/>
      <c r="BS359" s="3"/>
      <c r="BT359" s="4"/>
      <c r="BU359" s="3"/>
      <c r="BV359" s="4"/>
      <c r="BW359" s="3"/>
      <c r="BX359" s="4"/>
      <c r="BY359" s="3"/>
      <c r="BZ359" s="4"/>
      <c r="CA359" s="3"/>
      <c r="CB359" s="4"/>
      <c r="CC359" s="3"/>
      <c r="CD359" s="4"/>
    </row>
    <row r="360">
      <c r="A360" s="3"/>
      <c r="B360" s="4"/>
      <c r="C360" s="3"/>
      <c r="D360" s="4"/>
      <c r="E360" s="3"/>
      <c r="F360" s="4"/>
      <c r="G360" s="3"/>
      <c r="H360" s="4"/>
      <c r="I360" s="3"/>
      <c r="J360" s="4"/>
      <c r="K360" s="3"/>
      <c r="L360" s="4"/>
      <c r="M360" s="3"/>
      <c r="N360" s="4"/>
      <c r="O360" s="3"/>
      <c r="P360" s="4"/>
      <c r="Q360" s="3"/>
      <c r="R360" s="4"/>
      <c r="S360" s="3"/>
      <c r="T360" s="4"/>
      <c r="U360" s="3"/>
      <c r="V360" s="4"/>
      <c r="W360" s="3"/>
      <c r="X360" s="4"/>
      <c r="Y360" s="3"/>
      <c r="Z360" s="4"/>
      <c r="AA360" s="3"/>
      <c r="AB360" s="4"/>
      <c r="AC360" s="3"/>
      <c r="AD360" s="4"/>
      <c r="AE360" s="3"/>
      <c r="AF360" s="4"/>
      <c r="AG360" s="3"/>
      <c r="AH360" s="4"/>
      <c r="AI360" s="3"/>
      <c r="AJ360" s="4"/>
      <c r="AK360" s="3"/>
      <c r="AL360" s="4"/>
      <c r="AM360" s="3"/>
      <c r="AN360" s="4"/>
      <c r="AO360" s="3"/>
      <c r="AP360" s="4"/>
      <c r="AQ360" s="3"/>
      <c r="AR360" s="4"/>
      <c r="AS360" s="3"/>
      <c r="AT360" s="4"/>
      <c r="AU360" s="3"/>
      <c r="AV360" s="4"/>
      <c r="AW360" s="3"/>
      <c r="AX360" s="4"/>
      <c r="AY360" s="3"/>
      <c r="AZ360" s="4"/>
      <c r="BA360" s="3"/>
      <c r="BB360" s="4"/>
      <c r="BC360" s="3"/>
      <c r="BD360" s="4"/>
      <c r="BE360" s="3"/>
      <c r="BF360" s="4"/>
      <c r="BG360" s="3"/>
      <c r="BH360" s="4"/>
      <c r="BI360" s="3"/>
      <c r="BJ360" s="4"/>
      <c r="BK360" s="3"/>
      <c r="BL360" s="4"/>
      <c r="BM360" s="3"/>
      <c r="BN360" s="4"/>
      <c r="BO360" s="3"/>
      <c r="BP360" s="4"/>
      <c r="BQ360" s="3"/>
      <c r="BR360" s="4"/>
      <c r="BS360" s="3"/>
      <c r="BT360" s="4"/>
      <c r="BU360" s="3"/>
      <c r="BV360" s="4"/>
      <c r="BW360" s="3"/>
      <c r="BX360" s="4"/>
      <c r="BY360" s="3"/>
      <c r="BZ360" s="4"/>
      <c r="CA360" s="3"/>
      <c r="CB360" s="4"/>
      <c r="CC360" s="3"/>
      <c r="CD360" s="4"/>
    </row>
    <row r="361">
      <c r="A361" s="3"/>
      <c r="B361" s="4"/>
      <c r="C361" s="3"/>
      <c r="D361" s="4"/>
      <c r="E361" s="3"/>
      <c r="F361" s="4"/>
      <c r="G361" s="3"/>
      <c r="H361" s="4"/>
      <c r="I361" s="3"/>
      <c r="J361" s="4"/>
      <c r="K361" s="3"/>
      <c r="L361" s="4"/>
      <c r="M361" s="3"/>
      <c r="N361" s="4"/>
      <c r="O361" s="3"/>
      <c r="P361" s="4"/>
      <c r="Q361" s="3"/>
      <c r="R361" s="4"/>
      <c r="S361" s="3"/>
      <c r="T361" s="4"/>
      <c r="U361" s="3"/>
      <c r="V361" s="4"/>
      <c r="W361" s="3"/>
      <c r="X361" s="4"/>
      <c r="Y361" s="3"/>
      <c r="Z361" s="4"/>
      <c r="AA361" s="3"/>
      <c r="AB361" s="4"/>
      <c r="AC361" s="3"/>
      <c r="AD361" s="4"/>
      <c r="AE361" s="3"/>
      <c r="AF361" s="4"/>
      <c r="AG361" s="3"/>
      <c r="AH361" s="4"/>
      <c r="AI361" s="3"/>
      <c r="AJ361" s="4"/>
      <c r="AK361" s="3"/>
      <c r="AL361" s="4"/>
      <c r="AM361" s="3"/>
      <c r="AN361" s="4"/>
      <c r="AO361" s="3"/>
      <c r="AP361" s="4"/>
      <c r="AQ361" s="3"/>
      <c r="AR361" s="4"/>
      <c r="AS361" s="3"/>
      <c r="AT361" s="4"/>
      <c r="AU361" s="3"/>
      <c r="AV361" s="4"/>
      <c r="AW361" s="3"/>
      <c r="AX361" s="4"/>
      <c r="AY361" s="3"/>
      <c r="AZ361" s="4"/>
      <c r="BA361" s="3"/>
      <c r="BB361" s="4"/>
      <c r="BC361" s="3"/>
      <c r="BD361" s="4"/>
      <c r="BE361" s="3"/>
      <c r="BF361" s="4"/>
      <c r="BG361" s="3"/>
      <c r="BH361" s="4"/>
      <c r="BI361" s="3"/>
      <c r="BJ361" s="4"/>
      <c r="BK361" s="3"/>
      <c r="BL361" s="4"/>
      <c r="BM361" s="3"/>
      <c r="BN361" s="4"/>
      <c r="BO361" s="3"/>
      <c r="BP361" s="4"/>
      <c r="BQ361" s="3"/>
      <c r="BR361" s="4"/>
      <c r="BS361" s="3"/>
      <c r="BT361" s="4"/>
      <c r="BU361" s="3"/>
      <c r="BV361" s="4"/>
      <c r="BW361" s="3"/>
      <c r="BX361" s="4"/>
      <c r="BY361" s="3"/>
      <c r="BZ361" s="4"/>
      <c r="CA361" s="3"/>
      <c r="CB361" s="4"/>
      <c r="CC361" s="3"/>
      <c r="CD361" s="4"/>
    </row>
    <row r="362">
      <c r="A362" s="3"/>
      <c r="B362" s="4"/>
      <c r="C362" s="3"/>
      <c r="D362" s="4"/>
      <c r="E362" s="3"/>
      <c r="F362" s="4"/>
      <c r="G362" s="3"/>
      <c r="H362" s="4"/>
      <c r="I362" s="3"/>
      <c r="J362" s="4"/>
      <c r="K362" s="3"/>
      <c r="L362" s="4"/>
      <c r="M362" s="3"/>
      <c r="N362" s="4"/>
      <c r="O362" s="3"/>
      <c r="P362" s="4"/>
      <c r="Q362" s="3"/>
      <c r="R362" s="4"/>
      <c r="S362" s="3"/>
      <c r="T362" s="4"/>
      <c r="U362" s="3"/>
      <c r="V362" s="4"/>
      <c r="W362" s="3"/>
      <c r="X362" s="4"/>
      <c r="Y362" s="3"/>
      <c r="Z362" s="4"/>
      <c r="AA362" s="3"/>
      <c r="AB362" s="4"/>
      <c r="AC362" s="3"/>
      <c r="AD362" s="4"/>
      <c r="AE362" s="3"/>
      <c r="AF362" s="4"/>
      <c r="AG362" s="3"/>
      <c r="AH362" s="4"/>
      <c r="AI362" s="3"/>
      <c r="AJ362" s="4"/>
      <c r="AK362" s="3"/>
      <c r="AL362" s="4"/>
      <c r="AM362" s="3"/>
      <c r="AN362" s="4"/>
      <c r="AO362" s="3"/>
      <c r="AP362" s="4"/>
      <c r="AQ362" s="3"/>
      <c r="AR362" s="4"/>
      <c r="AS362" s="3"/>
      <c r="AT362" s="4"/>
      <c r="AU362" s="3"/>
      <c r="AV362" s="4"/>
      <c r="AW362" s="3"/>
      <c r="AX362" s="4"/>
      <c r="AY362" s="3"/>
      <c r="AZ362" s="4"/>
      <c r="BA362" s="3"/>
      <c r="BB362" s="4"/>
      <c r="BC362" s="3"/>
      <c r="BD362" s="4"/>
      <c r="BE362" s="3"/>
      <c r="BF362" s="4"/>
      <c r="BG362" s="3"/>
      <c r="BH362" s="4"/>
      <c r="BI362" s="3"/>
      <c r="BJ362" s="4"/>
      <c r="BK362" s="3"/>
      <c r="BL362" s="4"/>
      <c r="BM362" s="3"/>
      <c r="BN362" s="4"/>
      <c r="BO362" s="3"/>
      <c r="BP362" s="4"/>
      <c r="BQ362" s="3"/>
      <c r="BR362" s="4"/>
      <c r="BS362" s="3"/>
      <c r="BT362" s="4"/>
      <c r="BU362" s="3"/>
      <c r="BV362" s="4"/>
      <c r="BW362" s="3"/>
      <c r="BX362" s="4"/>
      <c r="BY362" s="3"/>
      <c r="BZ362" s="4"/>
      <c r="CA362" s="3"/>
      <c r="CB362" s="4"/>
      <c r="CC362" s="3"/>
      <c r="CD362" s="4"/>
    </row>
    <row r="363">
      <c r="A363" s="3"/>
      <c r="B363" s="4"/>
      <c r="C363" s="3"/>
      <c r="D363" s="4"/>
      <c r="E363" s="3"/>
      <c r="F363" s="4"/>
      <c r="G363" s="3"/>
      <c r="H363" s="4"/>
      <c r="I363" s="3"/>
      <c r="J363" s="4"/>
      <c r="K363" s="3"/>
      <c r="L363" s="4"/>
      <c r="M363" s="3"/>
      <c r="N363" s="4"/>
      <c r="O363" s="3"/>
      <c r="P363" s="4"/>
      <c r="Q363" s="3"/>
      <c r="R363" s="4"/>
      <c r="S363" s="3"/>
      <c r="T363" s="4"/>
      <c r="U363" s="3"/>
      <c r="V363" s="4"/>
      <c r="W363" s="3"/>
      <c r="X363" s="4"/>
      <c r="Y363" s="3"/>
      <c r="Z363" s="4"/>
      <c r="AA363" s="3"/>
      <c r="AB363" s="4"/>
      <c r="AC363" s="3"/>
      <c r="AD363" s="4"/>
      <c r="AE363" s="3"/>
      <c r="AF363" s="4"/>
      <c r="AG363" s="3"/>
      <c r="AH363" s="4"/>
      <c r="AI363" s="3"/>
      <c r="AJ363" s="4"/>
      <c r="AK363" s="3"/>
      <c r="AL363" s="4"/>
      <c r="AM363" s="3"/>
      <c r="AN363" s="4"/>
      <c r="AO363" s="3"/>
      <c r="AP363" s="4"/>
      <c r="AQ363" s="3"/>
      <c r="AR363" s="4"/>
      <c r="AS363" s="3"/>
      <c r="AT363" s="4"/>
      <c r="AU363" s="3"/>
      <c r="AV363" s="4"/>
      <c r="AW363" s="3"/>
      <c r="AX363" s="4"/>
      <c r="AY363" s="3"/>
      <c r="AZ363" s="4"/>
      <c r="BA363" s="3"/>
      <c r="BB363" s="4"/>
      <c r="BC363" s="3"/>
      <c r="BD363" s="4"/>
      <c r="BE363" s="3"/>
      <c r="BF363" s="4"/>
      <c r="BG363" s="3"/>
      <c r="BH363" s="4"/>
      <c r="BI363" s="3"/>
      <c r="BJ363" s="4"/>
      <c r="BK363" s="3"/>
      <c r="BL363" s="4"/>
      <c r="BM363" s="3"/>
      <c r="BN363" s="4"/>
      <c r="BO363" s="3"/>
      <c r="BP363" s="4"/>
      <c r="BQ363" s="3"/>
      <c r="BR363" s="4"/>
      <c r="BS363" s="3"/>
      <c r="BT363" s="4"/>
      <c r="BU363" s="3"/>
      <c r="BV363" s="4"/>
      <c r="BW363" s="3"/>
      <c r="BX363" s="4"/>
      <c r="BY363" s="3"/>
      <c r="BZ363" s="4"/>
      <c r="CA363" s="3"/>
      <c r="CB363" s="4"/>
      <c r="CC363" s="3"/>
      <c r="CD363" s="4"/>
    </row>
    <row r="364">
      <c r="A364" s="3"/>
      <c r="B364" s="4"/>
      <c r="C364" s="3"/>
      <c r="D364" s="4"/>
      <c r="E364" s="3"/>
      <c r="F364" s="4"/>
      <c r="G364" s="3"/>
      <c r="H364" s="4"/>
      <c r="I364" s="3"/>
      <c r="J364" s="4"/>
      <c r="K364" s="3"/>
      <c r="L364" s="4"/>
      <c r="M364" s="3"/>
      <c r="N364" s="4"/>
      <c r="O364" s="3"/>
      <c r="P364" s="4"/>
      <c r="Q364" s="3"/>
      <c r="R364" s="4"/>
      <c r="S364" s="3"/>
      <c r="T364" s="4"/>
      <c r="U364" s="3"/>
      <c r="V364" s="4"/>
      <c r="W364" s="3"/>
      <c r="X364" s="4"/>
      <c r="Y364" s="3"/>
      <c r="Z364" s="4"/>
      <c r="AA364" s="3"/>
      <c r="AB364" s="4"/>
      <c r="AC364" s="3"/>
      <c r="AD364" s="4"/>
      <c r="AE364" s="3"/>
      <c r="AF364" s="4"/>
      <c r="AG364" s="3"/>
      <c r="AH364" s="4"/>
      <c r="AI364" s="3"/>
      <c r="AJ364" s="4"/>
      <c r="AK364" s="3"/>
      <c r="AL364" s="4"/>
      <c r="AM364" s="3"/>
      <c r="AN364" s="4"/>
      <c r="AO364" s="3"/>
      <c r="AP364" s="4"/>
      <c r="AQ364" s="3"/>
      <c r="AR364" s="4"/>
      <c r="AS364" s="3"/>
      <c r="AT364" s="4"/>
      <c r="AU364" s="3"/>
      <c r="AV364" s="4"/>
      <c r="AW364" s="3"/>
      <c r="AX364" s="4"/>
      <c r="AY364" s="3"/>
      <c r="AZ364" s="4"/>
      <c r="BA364" s="3"/>
      <c r="BB364" s="4"/>
      <c r="BC364" s="3"/>
      <c r="BD364" s="4"/>
      <c r="BE364" s="3"/>
      <c r="BF364" s="4"/>
      <c r="BG364" s="3"/>
      <c r="BH364" s="4"/>
      <c r="BI364" s="3"/>
      <c r="BJ364" s="4"/>
      <c r="BK364" s="3"/>
      <c r="BL364" s="4"/>
      <c r="BM364" s="3"/>
      <c r="BN364" s="4"/>
      <c r="BO364" s="3"/>
      <c r="BP364" s="4"/>
      <c r="BQ364" s="3"/>
      <c r="BR364" s="4"/>
      <c r="BS364" s="3"/>
      <c r="BT364" s="4"/>
      <c r="BU364" s="3"/>
      <c r="BV364" s="4"/>
      <c r="BW364" s="3"/>
      <c r="BX364" s="4"/>
      <c r="BY364" s="3"/>
      <c r="BZ364" s="4"/>
      <c r="CA364" s="3"/>
      <c r="CB364" s="4"/>
      <c r="CC364" s="3"/>
      <c r="CD364" s="4"/>
    </row>
    <row r="365">
      <c r="A365" s="3"/>
      <c r="B365" s="4"/>
      <c r="C365" s="3"/>
      <c r="D365" s="4"/>
      <c r="E365" s="3"/>
      <c r="F365" s="4"/>
      <c r="G365" s="3"/>
      <c r="H365" s="4"/>
      <c r="I365" s="3"/>
      <c r="J365" s="4"/>
      <c r="K365" s="3"/>
      <c r="L365" s="4"/>
      <c r="M365" s="3"/>
      <c r="N365" s="4"/>
      <c r="O365" s="3"/>
      <c r="P365" s="4"/>
      <c r="Q365" s="3"/>
      <c r="R365" s="4"/>
      <c r="S365" s="3"/>
      <c r="T365" s="4"/>
      <c r="U365" s="3"/>
      <c r="V365" s="4"/>
      <c r="W365" s="3"/>
      <c r="X365" s="4"/>
      <c r="Y365" s="3"/>
      <c r="Z365" s="4"/>
      <c r="AA365" s="3"/>
      <c r="AB365" s="4"/>
      <c r="AC365" s="3"/>
      <c r="AD365" s="4"/>
      <c r="AE365" s="3"/>
      <c r="AF365" s="4"/>
      <c r="AG365" s="3"/>
      <c r="AH365" s="4"/>
      <c r="AI365" s="3"/>
      <c r="AJ365" s="4"/>
      <c r="AK365" s="3"/>
      <c r="AL365" s="4"/>
      <c r="AM365" s="3"/>
      <c r="AN365" s="4"/>
      <c r="AO365" s="3"/>
      <c r="AP365" s="4"/>
      <c r="AQ365" s="3"/>
      <c r="AR365" s="4"/>
      <c r="AS365" s="3"/>
      <c r="AT365" s="4"/>
      <c r="AU365" s="3"/>
      <c r="AV365" s="4"/>
      <c r="AW365" s="3"/>
      <c r="AX365" s="4"/>
      <c r="AY365" s="3"/>
      <c r="AZ365" s="4"/>
      <c r="BA365" s="3"/>
      <c r="BB365" s="4"/>
      <c r="BC365" s="3"/>
      <c r="BD365" s="4"/>
      <c r="BE365" s="3"/>
      <c r="BF365" s="4"/>
      <c r="BG365" s="3"/>
      <c r="BH365" s="4"/>
      <c r="BI365" s="3"/>
      <c r="BJ365" s="4"/>
      <c r="BK365" s="3"/>
      <c r="BL365" s="4"/>
      <c r="BM365" s="3"/>
      <c r="BN365" s="4"/>
      <c r="BO365" s="3"/>
      <c r="BP365" s="4"/>
      <c r="BQ365" s="3"/>
      <c r="BR365" s="4"/>
      <c r="BS365" s="3"/>
      <c r="BT365" s="4"/>
      <c r="BU365" s="3"/>
      <c r="BV365" s="4"/>
      <c r="BW365" s="3"/>
      <c r="BX365" s="4"/>
      <c r="BY365" s="3"/>
      <c r="BZ365" s="4"/>
      <c r="CA365" s="3"/>
      <c r="CB365" s="4"/>
      <c r="CC365" s="3"/>
      <c r="CD365" s="4"/>
    </row>
    <row r="366">
      <c r="A366" s="3"/>
      <c r="B366" s="4"/>
      <c r="C366" s="3"/>
      <c r="D366" s="4"/>
      <c r="E366" s="3"/>
      <c r="F366" s="4"/>
      <c r="G366" s="3"/>
      <c r="H366" s="4"/>
      <c r="I366" s="3"/>
      <c r="J366" s="4"/>
      <c r="K366" s="3"/>
      <c r="L366" s="4"/>
      <c r="M366" s="3"/>
      <c r="N366" s="4"/>
      <c r="O366" s="3"/>
      <c r="P366" s="4"/>
      <c r="Q366" s="3"/>
      <c r="R366" s="4"/>
      <c r="S366" s="3"/>
      <c r="T366" s="4"/>
      <c r="U366" s="3"/>
      <c r="V366" s="4"/>
      <c r="W366" s="3"/>
      <c r="X366" s="4"/>
      <c r="Y366" s="3"/>
      <c r="Z366" s="4"/>
      <c r="AA366" s="3"/>
      <c r="AB366" s="4"/>
      <c r="AC366" s="3"/>
      <c r="AD366" s="4"/>
      <c r="AE366" s="3"/>
      <c r="AF366" s="4"/>
      <c r="AG366" s="3"/>
      <c r="AH366" s="4"/>
      <c r="AI366" s="3"/>
      <c r="AJ366" s="4"/>
      <c r="AK366" s="3"/>
      <c r="AL366" s="4"/>
      <c r="AM366" s="3"/>
      <c r="AN366" s="4"/>
      <c r="AO366" s="3"/>
      <c r="AP366" s="4"/>
      <c r="AQ366" s="3"/>
      <c r="AR366" s="4"/>
      <c r="AS366" s="3"/>
      <c r="AT366" s="4"/>
      <c r="AU366" s="3"/>
      <c r="AV366" s="4"/>
      <c r="AW366" s="3"/>
      <c r="AX366" s="4"/>
      <c r="AY366" s="3"/>
      <c r="AZ366" s="4"/>
      <c r="BA366" s="3"/>
      <c r="BB366" s="4"/>
      <c r="BC366" s="3"/>
      <c r="BD366" s="4"/>
      <c r="BE366" s="3"/>
      <c r="BF366" s="4"/>
      <c r="BG366" s="3"/>
      <c r="BH366" s="4"/>
      <c r="BI366" s="3"/>
      <c r="BJ366" s="4"/>
      <c r="BK366" s="3"/>
      <c r="BL366" s="4"/>
      <c r="BM366" s="3"/>
      <c r="BN366" s="4"/>
      <c r="BO366" s="3"/>
      <c r="BP366" s="4"/>
      <c r="BQ366" s="3"/>
      <c r="BR366" s="4"/>
      <c r="BS366" s="3"/>
      <c r="BT366" s="4"/>
      <c r="BU366" s="3"/>
      <c r="BV366" s="4"/>
      <c r="BW366" s="3"/>
      <c r="BX366" s="4"/>
      <c r="BY366" s="3"/>
      <c r="BZ366" s="4"/>
      <c r="CA366" s="3"/>
      <c r="CB366" s="4"/>
      <c r="CC366" s="3"/>
      <c r="CD366" s="4"/>
    </row>
    <row r="367">
      <c r="A367" s="3"/>
      <c r="B367" s="4"/>
      <c r="C367" s="3"/>
      <c r="D367" s="4"/>
      <c r="E367" s="3"/>
      <c r="F367" s="4"/>
      <c r="G367" s="3"/>
      <c r="H367" s="4"/>
      <c r="I367" s="3"/>
      <c r="J367" s="4"/>
      <c r="K367" s="3"/>
      <c r="L367" s="4"/>
      <c r="M367" s="3"/>
      <c r="N367" s="4"/>
      <c r="O367" s="3"/>
      <c r="P367" s="4"/>
      <c r="Q367" s="3"/>
      <c r="R367" s="4"/>
      <c r="S367" s="3"/>
      <c r="T367" s="4"/>
      <c r="U367" s="3"/>
      <c r="V367" s="4"/>
      <c r="W367" s="3"/>
      <c r="X367" s="4"/>
      <c r="Y367" s="3"/>
      <c r="Z367" s="4"/>
      <c r="AA367" s="3"/>
      <c r="AB367" s="4"/>
      <c r="AC367" s="3"/>
      <c r="AD367" s="4"/>
      <c r="AE367" s="3"/>
      <c r="AF367" s="4"/>
      <c r="AG367" s="3"/>
      <c r="AH367" s="4"/>
      <c r="AI367" s="3"/>
      <c r="AJ367" s="4"/>
      <c r="AK367" s="3"/>
      <c r="AL367" s="4"/>
      <c r="AM367" s="3"/>
      <c r="AN367" s="4"/>
      <c r="AO367" s="3"/>
      <c r="AP367" s="4"/>
      <c r="AQ367" s="3"/>
      <c r="AR367" s="4"/>
      <c r="AS367" s="3"/>
      <c r="AT367" s="4"/>
      <c r="AU367" s="3"/>
      <c r="AV367" s="4"/>
      <c r="AW367" s="3"/>
      <c r="AX367" s="4"/>
      <c r="AY367" s="3"/>
      <c r="AZ367" s="4"/>
      <c r="BA367" s="3"/>
      <c r="BB367" s="4"/>
      <c r="BC367" s="3"/>
      <c r="BD367" s="4"/>
      <c r="BE367" s="3"/>
      <c r="BF367" s="4"/>
      <c r="BG367" s="3"/>
      <c r="BH367" s="4"/>
      <c r="BI367" s="3"/>
      <c r="BJ367" s="4"/>
      <c r="BK367" s="3"/>
      <c r="BL367" s="4"/>
      <c r="BM367" s="3"/>
      <c r="BN367" s="4"/>
      <c r="BO367" s="3"/>
      <c r="BP367" s="4"/>
      <c r="BQ367" s="3"/>
      <c r="BR367" s="4"/>
      <c r="BS367" s="3"/>
      <c r="BT367" s="4"/>
      <c r="BU367" s="3"/>
      <c r="BV367" s="4"/>
      <c r="BW367" s="3"/>
      <c r="BX367" s="4"/>
      <c r="BY367" s="3"/>
      <c r="BZ367" s="4"/>
      <c r="CA367" s="3"/>
      <c r="CB367" s="4"/>
      <c r="CC367" s="3"/>
      <c r="CD367" s="4"/>
    </row>
    <row r="368">
      <c r="A368" s="3"/>
      <c r="B368" s="4"/>
      <c r="C368" s="3"/>
      <c r="D368" s="4"/>
      <c r="E368" s="3"/>
      <c r="F368" s="4"/>
      <c r="G368" s="3"/>
      <c r="H368" s="4"/>
      <c r="I368" s="3"/>
      <c r="J368" s="4"/>
      <c r="K368" s="3"/>
      <c r="L368" s="4"/>
      <c r="M368" s="3"/>
      <c r="N368" s="4"/>
      <c r="O368" s="3"/>
      <c r="P368" s="4"/>
      <c r="Q368" s="3"/>
      <c r="R368" s="4"/>
      <c r="S368" s="3"/>
      <c r="T368" s="4"/>
      <c r="U368" s="3"/>
      <c r="V368" s="4"/>
      <c r="W368" s="3"/>
      <c r="X368" s="4"/>
      <c r="Y368" s="3"/>
      <c r="Z368" s="4"/>
      <c r="AA368" s="3"/>
      <c r="AB368" s="4"/>
      <c r="AC368" s="3"/>
      <c r="AD368" s="4"/>
      <c r="AE368" s="3"/>
      <c r="AF368" s="4"/>
      <c r="AG368" s="3"/>
      <c r="AH368" s="4"/>
      <c r="AI368" s="3"/>
      <c r="AJ368" s="4"/>
      <c r="AK368" s="3"/>
      <c r="AL368" s="4"/>
      <c r="AM368" s="3"/>
      <c r="AN368" s="4"/>
      <c r="AO368" s="3"/>
      <c r="AP368" s="4"/>
      <c r="AQ368" s="3"/>
      <c r="AR368" s="4"/>
      <c r="AS368" s="3"/>
      <c r="AT368" s="4"/>
      <c r="AU368" s="3"/>
      <c r="AV368" s="4"/>
      <c r="AW368" s="3"/>
      <c r="AX368" s="4"/>
      <c r="AY368" s="3"/>
      <c r="AZ368" s="4"/>
      <c r="BA368" s="3"/>
      <c r="BB368" s="4"/>
      <c r="BC368" s="3"/>
      <c r="BD368" s="4"/>
      <c r="BE368" s="3"/>
      <c r="BF368" s="4"/>
      <c r="BG368" s="3"/>
      <c r="BH368" s="4"/>
      <c r="BI368" s="3"/>
      <c r="BJ368" s="4"/>
      <c r="BK368" s="3"/>
      <c r="BL368" s="4"/>
      <c r="BM368" s="3"/>
      <c r="BN368" s="4"/>
      <c r="BO368" s="3"/>
      <c r="BP368" s="4"/>
      <c r="BQ368" s="3"/>
      <c r="BR368" s="4"/>
      <c r="BS368" s="3"/>
      <c r="BT368" s="4"/>
      <c r="BU368" s="3"/>
      <c r="BV368" s="4"/>
      <c r="BW368" s="3"/>
      <c r="BX368" s="4"/>
      <c r="BY368" s="3"/>
      <c r="BZ368" s="4"/>
      <c r="CA368" s="3"/>
      <c r="CB368" s="4"/>
      <c r="CC368" s="3"/>
      <c r="CD368" s="4"/>
    </row>
    <row r="369">
      <c r="A369" s="3"/>
      <c r="B369" s="4"/>
      <c r="C369" s="3"/>
      <c r="D369" s="4"/>
      <c r="E369" s="3"/>
      <c r="F369" s="4"/>
      <c r="G369" s="3"/>
      <c r="H369" s="4"/>
      <c r="I369" s="3"/>
      <c r="J369" s="4"/>
      <c r="K369" s="3"/>
      <c r="L369" s="4"/>
      <c r="M369" s="3"/>
      <c r="N369" s="4"/>
      <c r="O369" s="3"/>
      <c r="P369" s="4"/>
      <c r="Q369" s="3"/>
      <c r="R369" s="4"/>
      <c r="S369" s="3"/>
      <c r="T369" s="4"/>
      <c r="U369" s="3"/>
      <c r="V369" s="4"/>
      <c r="W369" s="3"/>
      <c r="X369" s="4"/>
      <c r="Y369" s="3"/>
      <c r="Z369" s="4"/>
      <c r="AA369" s="3"/>
      <c r="AB369" s="4"/>
      <c r="AC369" s="3"/>
      <c r="AD369" s="4"/>
      <c r="AE369" s="3"/>
      <c r="AF369" s="4"/>
      <c r="AG369" s="3"/>
      <c r="AH369" s="4"/>
      <c r="AI369" s="3"/>
      <c r="AJ369" s="4"/>
      <c r="AK369" s="3"/>
      <c r="AL369" s="4"/>
      <c r="AM369" s="3"/>
      <c r="AN369" s="4"/>
      <c r="AO369" s="3"/>
      <c r="AP369" s="4"/>
      <c r="AQ369" s="3"/>
      <c r="AR369" s="4"/>
      <c r="AS369" s="3"/>
      <c r="AT369" s="4"/>
      <c r="AU369" s="3"/>
      <c r="AV369" s="4"/>
      <c r="AW369" s="3"/>
      <c r="AX369" s="4"/>
      <c r="AY369" s="3"/>
      <c r="AZ369" s="4"/>
      <c r="BA369" s="3"/>
      <c r="BB369" s="4"/>
      <c r="BC369" s="3"/>
      <c r="BD369" s="4"/>
      <c r="BE369" s="3"/>
      <c r="BF369" s="4"/>
      <c r="BG369" s="3"/>
      <c r="BH369" s="4"/>
      <c r="BI369" s="3"/>
      <c r="BJ369" s="4"/>
      <c r="BK369" s="3"/>
      <c r="BL369" s="4"/>
      <c r="BM369" s="3"/>
      <c r="BN369" s="4"/>
      <c r="BO369" s="3"/>
      <c r="BP369" s="4"/>
      <c r="BQ369" s="3"/>
      <c r="BR369" s="4"/>
      <c r="BS369" s="3"/>
      <c r="BT369" s="4"/>
      <c r="BU369" s="3"/>
      <c r="BV369" s="4"/>
      <c r="BW369" s="3"/>
      <c r="BX369" s="4"/>
      <c r="BY369" s="3"/>
      <c r="BZ369" s="4"/>
      <c r="CA369" s="3"/>
      <c r="CB369" s="4"/>
      <c r="CC369" s="3"/>
      <c r="CD369" s="4"/>
    </row>
    <row r="370">
      <c r="A370" s="3"/>
      <c r="B370" s="4"/>
      <c r="C370" s="3"/>
      <c r="D370" s="4"/>
      <c r="E370" s="3"/>
      <c r="F370" s="4"/>
      <c r="G370" s="3"/>
      <c r="H370" s="4"/>
      <c r="I370" s="3"/>
      <c r="J370" s="4"/>
      <c r="K370" s="3"/>
      <c r="L370" s="4"/>
      <c r="M370" s="3"/>
      <c r="N370" s="4"/>
      <c r="O370" s="3"/>
      <c r="P370" s="4"/>
      <c r="Q370" s="3"/>
      <c r="R370" s="4"/>
      <c r="S370" s="3"/>
      <c r="T370" s="4"/>
      <c r="U370" s="3"/>
      <c r="V370" s="4"/>
      <c r="W370" s="3"/>
      <c r="X370" s="4"/>
      <c r="Y370" s="3"/>
      <c r="Z370" s="4"/>
      <c r="AA370" s="3"/>
      <c r="AB370" s="4"/>
      <c r="AC370" s="3"/>
      <c r="AD370" s="4"/>
      <c r="AE370" s="3"/>
      <c r="AF370" s="4"/>
      <c r="AG370" s="3"/>
      <c r="AH370" s="4"/>
      <c r="AI370" s="3"/>
      <c r="AJ370" s="4"/>
      <c r="AK370" s="3"/>
      <c r="AL370" s="4"/>
      <c r="AM370" s="3"/>
      <c r="AN370" s="4"/>
      <c r="AO370" s="3"/>
      <c r="AP370" s="4"/>
      <c r="AQ370" s="3"/>
      <c r="AR370" s="4"/>
      <c r="AS370" s="3"/>
      <c r="AT370" s="4"/>
      <c r="AU370" s="3"/>
      <c r="AV370" s="4"/>
      <c r="AW370" s="3"/>
      <c r="AX370" s="4"/>
      <c r="AY370" s="3"/>
      <c r="AZ370" s="4"/>
      <c r="BA370" s="3"/>
      <c r="BB370" s="4"/>
      <c r="BC370" s="3"/>
      <c r="BD370" s="4"/>
      <c r="BE370" s="3"/>
      <c r="BF370" s="4"/>
      <c r="BG370" s="3"/>
      <c r="BH370" s="4"/>
      <c r="BI370" s="3"/>
      <c r="BJ370" s="4"/>
      <c r="BK370" s="3"/>
      <c r="BL370" s="4"/>
      <c r="BM370" s="3"/>
      <c r="BN370" s="4"/>
      <c r="BO370" s="3"/>
      <c r="BP370" s="4"/>
      <c r="BQ370" s="3"/>
      <c r="BR370" s="4"/>
      <c r="BS370" s="3"/>
      <c r="BT370" s="4"/>
      <c r="BU370" s="3"/>
      <c r="BV370" s="4"/>
      <c r="BW370" s="3"/>
      <c r="BX370" s="4"/>
      <c r="BY370" s="3"/>
      <c r="BZ370" s="4"/>
      <c r="CA370" s="3"/>
      <c r="CB370" s="4"/>
      <c r="CC370" s="3"/>
      <c r="CD370" s="4"/>
    </row>
    <row r="371">
      <c r="A371" s="3"/>
      <c r="B371" s="4"/>
      <c r="C371" s="3"/>
      <c r="D371" s="4"/>
      <c r="E371" s="3"/>
      <c r="F371" s="4"/>
      <c r="G371" s="3"/>
      <c r="H371" s="4"/>
      <c r="I371" s="3"/>
      <c r="J371" s="4"/>
      <c r="K371" s="3"/>
      <c r="L371" s="4"/>
      <c r="M371" s="3"/>
      <c r="N371" s="4"/>
      <c r="O371" s="3"/>
      <c r="P371" s="4"/>
      <c r="Q371" s="3"/>
      <c r="R371" s="4"/>
      <c r="S371" s="3"/>
      <c r="T371" s="4"/>
      <c r="U371" s="3"/>
      <c r="V371" s="4"/>
      <c r="W371" s="3"/>
      <c r="X371" s="4"/>
      <c r="Y371" s="3"/>
      <c r="Z371" s="4"/>
      <c r="AA371" s="3"/>
      <c r="AB371" s="4"/>
      <c r="AC371" s="3"/>
      <c r="AD371" s="4"/>
      <c r="AE371" s="3"/>
      <c r="AF371" s="4"/>
      <c r="AG371" s="3"/>
      <c r="AH371" s="4"/>
      <c r="AI371" s="3"/>
      <c r="AJ371" s="4"/>
      <c r="AK371" s="3"/>
      <c r="AL371" s="4"/>
      <c r="AM371" s="3"/>
      <c r="AN371" s="4"/>
      <c r="AO371" s="3"/>
      <c r="AP371" s="4"/>
      <c r="AQ371" s="3"/>
      <c r="AR371" s="4"/>
      <c r="AS371" s="3"/>
      <c r="AT371" s="4"/>
      <c r="AU371" s="3"/>
      <c r="AV371" s="4"/>
      <c r="AW371" s="3"/>
      <c r="AX371" s="4"/>
      <c r="AY371" s="3"/>
      <c r="AZ371" s="4"/>
      <c r="BA371" s="3"/>
      <c r="BB371" s="4"/>
      <c r="BC371" s="3"/>
      <c r="BD371" s="4"/>
      <c r="BE371" s="3"/>
      <c r="BF371" s="4"/>
      <c r="BG371" s="3"/>
      <c r="BH371" s="4"/>
      <c r="BI371" s="3"/>
      <c r="BJ371" s="4"/>
      <c r="BK371" s="3"/>
      <c r="BL371" s="4"/>
      <c r="BM371" s="3"/>
      <c r="BN371" s="4"/>
      <c r="BO371" s="3"/>
      <c r="BP371" s="4"/>
      <c r="BQ371" s="3"/>
      <c r="BR371" s="4"/>
      <c r="BS371" s="3"/>
      <c r="BT371" s="4"/>
      <c r="BU371" s="3"/>
      <c r="BV371" s="4"/>
      <c r="BW371" s="3"/>
      <c r="BX371" s="4"/>
      <c r="BY371" s="3"/>
      <c r="BZ371" s="4"/>
      <c r="CA371" s="3"/>
      <c r="CB371" s="4"/>
      <c r="CC371" s="3"/>
      <c r="CD371" s="4"/>
    </row>
    <row r="372">
      <c r="A372" s="3"/>
      <c r="B372" s="4"/>
      <c r="C372" s="3"/>
      <c r="D372" s="4"/>
      <c r="E372" s="3"/>
      <c r="F372" s="4"/>
      <c r="G372" s="3"/>
      <c r="H372" s="4"/>
      <c r="I372" s="3"/>
      <c r="J372" s="4"/>
      <c r="K372" s="3"/>
      <c r="L372" s="4"/>
      <c r="M372" s="3"/>
      <c r="N372" s="4"/>
      <c r="O372" s="3"/>
      <c r="P372" s="4"/>
      <c r="Q372" s="3"/>
      <c r="R372" s="4"/>
      <c r="S372" s="3"/>
      <c r="T372" s="4"/>
      <c r="U372" s="3"/>
      <c r="V372" s="4"/>
      <c r="W372" s="3"/>
      <c r="X372" s="4"/>
      <c r="Y372" s="3"/>
      <c r="Z372" s="4"/>
      <c r="AA372" s="3"/>
      <c r="AB372" s="4"/>
      <c r="AC372" s="3"/>
      <c r="AD372" s="4"/>
      <c r="AE372" s="3"/>
      <c r="AF372" s="4"/>
      <c r="AG372" s="3"/>
      <c r="AH372" s="4"/>
      <c r="AI372" s="3"/>
      <c r="AJ372" s="4"/>
      <c r="AK372" s="3"/>
      <c r="AL372" s="4"/>
      <c r="AM372" s="3"/>
      <c r="AN372" s="4"/>
      <c r="AO372" s="3"/>
      <c r="AP372" s="4"/>
      <c r="AQ372" s="3"/>
      <c r="AR372" s="4"/>
      <c r="AS372" s="3"/>
      <c r="AT372" s="4"/>
      <c r="AU372" s="3"/>
      <c r="AV372" s="4"/>
      <c r="AW372" s="3"/>
      <c r="AX372" s="4"/>
      <c r="AY372" s="3"/>
      <c r="AZ372" s="4"/>
      <c r="BA372" s="3"/>
      <c r="BB372" s="4"/>
      <c r="BC372" s="3"/>
      <c r="BD372" s="4"/>
      <c r="BE372" s="3"/>
      <c r="BF372" s="4"/>
      <c r="BG372" s="3"/>
      <c r="BH372" s="4"/>
      <c r="BI372" s="3"/>
      <c r="BJ372" s="4"/>
      <c r="BK372" s="3"/>
      <c r="BL372" s="4"/>
      <c r="BM372" s="3"/>
      <c r="BN372" s="4"/>
      <c r="BO372" s="3"/>
      <c r="BP372" s="4"/>
      <c r="BQ372" s="3"/>
      <c r="BR372" s="4"/>
      <c r="BS372" s="3"/>
      <c r="BT372" s="4"/>
      <c r="BU372" s="3"/>
      <c r="BV372" s="4"/>
      <c r="BW372" s="3"/>
      <c r="BX372" s="4"/>
      <c r="BY372" s="3"/>
      <c r="BZ372" s="4"/>
      <c r="CA372" s="3"/>
      <c r="CB372" s="4"/>
      <c r="CC372" s="3"/>
      <c r="CD372" s="4"/>
    </row>
    <row r="373">
      <c r="A373" s="3"/>
      <c r="B373" s="4"/>
      <c r="C373" s="3"/>
      <c r="D373" s="4"/>
      <c r="E373" s="3"/>
      <c r="F373" s="4"/>
      <c r="G373" s="3"/>
      <c r="H373" s="4"/>
      <c r="I373" s="3"/>
      <c r="J373" s="4"/>
      <c r="K373" s="3"/>
      <c r="L373" s="4"/>
      <c r="M373" s="3"/>
      <c r="N373" s="4"/>
      <c r="O373" s="3"/>
      <c r="P373" s="4"/>
      <c r="Q373" s="3"/>
      <c r="R373" s="4"/>
      <c r="S373" s="3"/>
      <c r="T373" s="4"/>
      <c r="U373" s="3"/>
      <c r="V373" s="4"/>
      <c r="W373" s="3"/>
      <c r="X373" s="4"/>
      <c r="Y373" s="3"/>
      <c r="Z373" s="4"/>
      <c r="AA373" s="3"/>
      <c r="AB373" s="4"/>
      <c r="AC373" s="3"/>
      <c r="AD373" s="4"/>
      <c r="AE373" s="3"/>
      <c r="AF373" s="4"/>
      <c r="AG373" s="3"/>
      <c r="AH373" s="4"/>
      <c r="AI373" s="3"/>
      <c r="AJ373" s="4"/>
      <c r="AK373" s="3"/>
      <c r="AL373" s="4"/>
      <c r="AM373" s="3"/>
      <c r="AN373" s="4"/>
      <c r="AO373" s="3"/>
      <c r="AP373" s="4"/>
      <c r="AQ373" s="3"/>
      <c r="AR373" s="4"/>
      <c r="AS373" s="3"/>
      <c r="AT373" s="4"/>
      <c r="AU373" s="3"/>
      <c r="AV373" s="4"/>
      <c r="AW373" s="3"/>
      <c r="AX373" s="4"/>
      <c r="AY373" s="3"/>
      <c r="AZ373" s="4"/>
      <c r="BA373" s="3"/>
      <c r="BB373" s="4"/>
      <c r="BC373" s="3"/>
      <c r="BD373" s="4"/>
      <c r="BE373" s="3"/>
      <c r="BF373" s="4"/>
      <c r="BG373" s="3"/>
      <c r="BH373" s="4"/>
      <c r="BI373" s="3"/>
      <c r="BJ373" s="4"/>
      <c r="BK373" s="3"/>
      <c r="BL373" s="4"/>
      <c r="BM373" s="3"/>
      <c r="BN373" s="4"/>
      <c r="BO373" s="3"/>
      <c r="BP373" s="4"/>
      <c r="BQ373" s="3"/>
      <c r="BR373" s="4"/>
      <c r="BS373" s="3"/>
      <c r="BT373" s="4"/>
      <c r="BU373" s="3"/>
      <c r="BV373" s="4"/>
      <c r="BW373" s="3"/>
      <c r="BX373" s="4"/>
      <c r="BY373" s="3"/>
      <c r="BZ373" s="4"/>
      <c r="CA373" s="3"/>
      <c r="CB373" s="4"/>
      <c r="CC373" s="3"/>
      <c r="CD373" s="4"/>
    </row>
    <row r="374">
      <c r="A374" s="3"/>
      <c r="B374" s="4"/>
      <c r="C374" s="3"/>
      <c r="D374" s="4"/>
      <c r="E374" s="3"/>
      <c r="F374" s="4"/>
      <c r="G374" s="3"/>
      <c r="H374" s="4"/>
      <c r="I374" s="3"/>
      <c r="J374" s="4"/>
      <c r="K374" s="3"/>
      <c r="L374" s="4"/>
      <c r="M374" s="3"/>
      <c r="N374" s="4"/>
      <c r="O374" s="3"/>
      <c r="P374" s="4"/>
      <c r="Q374" s="3"/>
      <c r="R374" s="4"/>
      <c r="S374" s="3"/>
      <c r="T374" s="4"/>
      <c r="U374" s="3"/>
      <c r="V374" s="4"/>
      <c r="W374" s="3"/>
      <c r="X374" s="4"/>
      <c r="Y374" s="3"/>
      <c r="Z374" s="4"/>
      <c r="AA374" s="3"/>
      <c r="AB374" s="4"/>
      <c r="AC374" s="3"/>
      <c r="AD374" s="4"/>
      <c r="AE374" s="3"/>
      <c r="AF374" s="4"/>
      <c r="AG374" s="3"/>
      <c r="AH374" s="4"/>
      <c r="AI374" s="3"/>
      <c r="AJ374" s="4"/>
      <c r="AK374" s="3"/>
      <c r="AL374" s="4"/>
      <c r="AM374" s="3"/>
      <c r="AN374" s="4"/>
      <c r="AO374" s="3"/>
      <c r="AP374" s="4"/>
      <c r="AQ374" s="3"/>
      <c r="AR374" s="4"/>
      <c r="AS374" s="3"/>
      <c r="AT374" s="4"/>
      <c r="AU374" s="3"/>
      <c r="AV374" s="4"/>
      <c r="AW374" s="3"/>
      <c r="AX374" s="4"/>
      <c r="AY374" s="3"/>
      <c r="AZ374" s="4"/>
      <c r="BA374" s="3"/>
      <c r="BB374" s="4"/>
      <c r="BC374" s="3"/>
      <c r="BD374" s="4"/>
      <c r="BE374" s="3"/>
      <c r="BF374" s="4"/>
      <c r="BG374" s="3"/>
      <c r="BH374" s="4"/>
      <c r="BI374" s="3"/>
      <c r="BJ374" s="4"/>
      <c r="BK374" s="3"/>
      <c r="BL374" s="4"/>
      <c r="BM374" s="3"/>
      <c r="BN374" s="4"/>
      <c r="BO374" s="3"/>
      <c r="BP374" s="4"/>
      <c r="BQ374" s="3"/>
      <c r="BR374" s="4"/>
      <c r="BS374" s="3"/>
      <c r="BT374" s="4"/>
      <c r="BU374" s="3"/>
      <c r="BV374" s="4"/>
      <c r="BW374" s="3"/>
      <c r="BX374" s="4"/>
      <c r="BY374" s="3"/>
      <c r="BZ374" s="4"/>
      <c r="CA374" s="3"/>
      <c r="CB374" s="4"/>
      <c r="CC374" s="3"/>
      <c r="CD374" s="4"/>
    </row>
    <row r="375">
      <c r="A375" s="3"/>
      <c r="B375" s="4"/>
      <c r="C375" s="3"/>
      <c r="D375" s="4"/>
      <c r="E375" s="3"/>
      <c r="F375" s="4"/>
      <c r="G375" s="3"/>
      <c r="H375" s="4"/>
      <c r="I375" s="3"/>
      <c r="J375" s="4"/>
      <c r="K375" s="3"/>
      <c r="L375" s="4"/>
      <c r="M375" s="3"/>
      <c r="N375" s="4"/>
      <c r="O375" s="3"/>
      <c r="P375" s="4"/>
      <c r="Q375" s="3"/>
      <c r="R375" s="4"/>
      <c r="S375" s="3"/>
      <c r="T375" s="4"/>
      <c r="U375" s="3"/>
      <c r="V375" s="4"/>
      <c r="W375" s="3"/>
      <c r="X375" s="4"/>
      <c r="Y375" s="3"/>
      <c r="Z375" s="4"/>
      <c r="AA375" s="3"/>
      <c r="AB375" s="4"/>
      <c r="AC375" s="3"/>
      <c r="AD375" s="4"/>
      <c r="AE375" s="3"/>
      <c r="AF375" s="4"/>
      <c r="AG375" s="3"/>
      <c r="AH375" s="4"/>
      <c r="AI375" s="3"/>
      <c r="AJ375" s="4"/>
      <c r="AK375" s="3"/>
      <c r="AL375" s="4"/>
      <c r="AM375" s="3"/>
      <c r="AN375" s="4"/>
      <c r="AO375" s="3"/>
      <c r="AP375" s="4"/>
      <c r="AQ375" s="3"/>
      <c r="AR375" s="4"/>
      <c r="AS375" s="3"/>
      <c r="AT375" s="4"/>
      <c r="AU375" s="3"/>
      <c r="AV375" s="4"/>
      <c r="AW375" s="3"/>
      <c r="AX375" s="4"/>
      <c r="AY375" s="3"/>
      <c r="AZ375" s="4"/>
      <c r="BA375" s="3"/>
      <c r="BB375" s="4"/>
      <c r="BC375" s="3"/>
      <c r="BD375" s="4"/>
      <c r="BE375" s="3"/>
      <c r="BF375" s="4"/>
      <c r="BG375" s="3"/>
      <c r="BH375" s="4"/>
      <c r="BI375" s="3"/>
      <c r="BJ375" s="4"/>
      <c r="BK375" s="3"/>
      <c r="BL375" s="4"/>
      <c r="BM375" s="3"/>
      <c r="BN375" s="4"/>
      <c r="BO375" s="3"/>
      <c r="BP375" s="4"/>
      <c r="BQ375" s="3"/>
      <c r="BR375" s="4"/>
      <c r="BS375" s="3"/>
      <c r="BT375" s="4"/>
      <c r="BU375" s="3"/>
      <c r="BV375" s="4"/>
      <c r="BW375" s="3"/>
      <c r="BX375" s="4"/>
      <c r="BY375" s="3"/>
      <c r="BZ375" s="4"/>
      <c r="CA375" s="3"/>
      <c r="CB375" s="4"/>
      <c r="CC375" s="3"/>
      <c r="CD375" s="4"/>
    </row>
    <row r="376">
      <c r="A376" s="3"/>
      <c r="B376" s="4"/>
      <c r="C376" s="3"/>
      <c r="D376" s="4"/>
      <c r="E376" s="3"/>
      <c r="F376" s="4"/>
      <c r="G376" s="3"/>
      <c r="H376" s="4"/>
      <c r="I376" s="3"/>
      <c r="J376" s="4"/>
      <c r="K376" s="3"/>
      <c r="L376" s="4"/>
      <c r="M376" s="3"/>
      <c r="N376" s="4"/>
      <c r="O376" s="3"/>
      <c r="P376" s="4"/>
      <c r="Q376" s="3"/>
      <c r="R376" s="4"/>
      <c r="S376" s="3"/>
      <c r="T376" s="4"/>
      <c r="U376" s="3"/>
      <c r="V376" s="4"/>
      <c r="W376" s="3"/>
      <c r="X376" s="4"/>
      <c r="Y376" s="3"/>
      <c r="Z376" s="4"/>
      <c r="AA376" s="3"/>
      <c r="AB376" s="4"/>
      <c r="AC376" s="3"/>
      <c r="AD376" s="4"/>
      <c r="AE376" s="3"/>
      <c r="AF376" s="4"/>
      <c r="AG376" s="3"/>
      <c r="AH376" s="4"/>
      <c r="AI376" s="3"/>
      <c r="AJ376" s="4"/>
      <c r="AK376" s="3"/>
      <c r="AL376" s="4"/>
      <c r="AM376" s="3"/>
      <c r="AN376" s="4"/>
      <c r="AO376" s="3"/>
      <c r="AP376" s="4"/>
      <c r="AQ376" s="3"/>
      <c r="AR376" s="4"/>
      <c r="AS376" s="3"/>
      <c r="AT376" s="4"/>
      <c r="AU376" s="3"/>
      <c r="AV376" s="4"/>
      <c r="AW376" s="3"/>
      <c r="AX376" s="4"/>
      <c r="AY376" s="3"/>
      <c r="AZ376" s="4"/>
      <c r="BA376" s="3"/>
      <c r="BB376" s="4"/>
      <c r="BC376" s="3"/>
      <c r="BD376" s="4"/>
      <c r="BE376" s="3"/>
      <c r="BF376" s="4"/>
      <c r="BG376" s="3"/>
      <c r="BH376" s="4"/>
      <c r="BI376" s="3"/>
      <c r="BJ376" s="4"/>
      <c r="BK376" s="3"/>
      <c r="BL376" s="4"/>
      <c r="BM376" s="3"/>
      <c r="BN376" s="4"/>
      <c r="BO376" s="3"/>
      <c r="BP376" s="4"/>
      <c r="BQ376" s="3"/>
      <c r="BR376" s="4"/>
      <c r="BS376" s="3"/>
      <c r="BT376" s="4"/>
      <c r="BU376" s="3"/>
      <c r="BV376" s="4"/>
      <c r="BW376" s="3"/>
      <c r="BX376" s="4"/>
      <c r="BY376" s="3"/>
      <c r="BZ376" s="4"/>
      <c r="CA376" s="3"/>
      <c r="CB376" s="4"/>
      <c r="CC376" s="3"/>
      <c r="CD376" s="4"/>
    </row>
    <row r="377">
      <c r="A377" s="3"/>
      <c r="B377" s="4"/>
      <c r="C377" s="3"/>
      <c r="D377" s="4"/>
      <c r="E377" s="3"/>
      <c r="F377" s="4"/>
      <c r="G377" s="3"/>
      <c r="H377" s="4"/>
      <c r="I377" s="3"/>
      <c r="J377" s="4"/>
      <c r="K377" s="3"/>
      <c r="L377" s="4"/>
      <c r="M377" s="3"/>
      <c r="N377" s="4"/>
      <c r="O377" s="3"/>
      <c r="P377" s="4"/>
      <c r="Q377" s="3"/>
      <c r="R377" s="4"/>
      <c r="S377" s="3"/>
      <c r="T377" s="4"/>
      <c r="U377" s="3"/>
      <c r="V377" s="4"/>
      <c r="W377" s="3"/>
      <c r="X377" s="4"/>
      <c r="Y377" s="3"/>
      <c r="Z377" s="4"/>
      <c r="AA377" s="3"/>
      <c r="AB377" s="4"/>
      <c r="AC377" s="3"/>
      <c r="AD377" s="4"/>
      <c r="AE377" s="3"/>
      <c r="AF377" s="4"/>
      <c r="AG377" s="3"/>
      <c r="AH377" s="4"/>
      <c r="AI377" s="3"/>
      <c r="AJ377" s="4"/>
      <c r="AK377" s="3"/>
      <c r="AL377" s="4"/>
      <c r="AM377" s="3"/>
      <c r="AN377" s="4"/>
      <c r="AO377" s="3"/>
      <c r="AP377" s="4"/>
      <c r="AQ377" s="3"/>
      <c r="AR377" s="4"/>
      <c r="AS377" s="3"/>
      <c r="AT377" s="4"/>
      <c r="AU377" s="3"/>
      <c r="AV377" s="4"/>
      <c r="AW377" s="3"/>
      <c r="AX377" s="4"/>
      <c r="AY377" s="3"/>
      <c r="AZ377" s="4"/>
      <c r="BA377" s="3"/>
      <c r="BB377" s="4"/>
      <c r="BC377" s="3"/>
      <c r="BD377" s="4"/>
      <c r="BE377" s="3"/>
      <c r="BF377" s="4"/>
      <c r="BG377" s="3"/>
      <c r="BH377" s="4"/>
      <c r="BI377" s="3"/>
      <c r="BJ377" s="4"/>
      <c r="BK377" s="3"/>
      <c r="BL377" s="4"/>
      <c r="BM377" s="3"/>
      <c r="BN377" s="4"/>
      <c r="BO377" s="3"/>
      <c r="BP377" s="4"/>
      <c r="BQ377" s="3"/>
      <c r="BR377" s="4"/>
      <c r="BS377" s="3"/>
      <c r="BT377" s="4"/>
      <c r="BU377" s="3"/>
      <c r="BV377" s="4"/>
      <c r="BW377" s="3"/>
      <c r="BX377" s="4"/>
      <c r="BY377" s="3"/>
      <c r="BZ377" s="4"/>
      <c r="CA377" s="3"/>
      <c r="CB377" s="4"/>
      <c r="CC377" s="3"/>
      <c r="CD377" s="4"/>
    </row>
    <row r="378">
      <c r="A378" s="3"/>
      <c r="B378" s="4"/>
      <c r="C378" s="3"/>
      <c r="D378" s="4"/>
      <c r="E378" s="3"/>
      <c r="F378" s="4"/>
      <c r="G378" s="3"/>
      <c r="H378" s="4"/>
      <c r="I378" s="3"/>
      <c r="J378" s="4"/>
      <c r="K378" s="3"/>
      <c r="L378" s="4"/>
      <c r="M378" s="3"/>
      <c r="N378" s="4"/>
      <c r="O378" s="3"/>
      <c r="P378" s="4"/>
      <c r="Q378" s="3"/>
      <c r="R378" s="4"/>
      <c r="S378" s="3"/>
      <c r="T378" s="4"/>
      <c r="U378" s="3"/>
      <c r="V378" s="4"/>
      <c r="W378" s="3"/>
      <c r="X378" s="4"/>
      <c r="Y378" s="3"/>
      <c r="Z378" s="4"/>
      <c r="AA378" s="3"/>
      <c r="AB378" s="4"/>
      <c r="AC378" s="3"/>
      <c r="AD378" s="4"/>
      <c r="AE378" s="3"/>
      <c r="AF378" s="4"/>
      <c r="AG378" s="3"/>
      <c r="AH378" s="4"/>
      <c r="AI378" s="3"/>
      <c r="AJ378" s="4"/>
      <c r="AK378" s="3"/>
      <c r="AL378" s="4"/>
      <c r="AM378" s="3"/>
      <c r="AN378" s="4"/>
      <c r="AO378" s="3"/>
      <c r="AP378" s="4"/>
      <c r="AQ378" s="3"/>
      <c r="AR378" s="4"/>
      <c r="AS378" s="3"/>
      <c r="AT378" s="4"/>
      <c r="AU378" s="3"/>
      <c r="AV378" s="4"/>
      <c r="AW378" s="3"/>
      <c r="AX378" s="4"/>
      <c r="AY378" s="3"/>
      <c r="AZ378" s="4"/>
      <c r="BA378" s="3"/>
      <c r="BB378" s="4"/>
      <c r="BC378" s="3"/>
      <c r="BD378" s="4"/>
      <c r="BE378" s="3"/>
      <c r="BF378" s="4"/>
      <c r="BG378" s="3"/>
      <c r="BH378" s="4"/>
      <c r="BI378" s="3"/>
      <c r="BJ378" s="4"/>
      <c r="BK378" s="3"/>
      <c r="BL378" s="4"/>
      <c r="BM378" s="3"/>
      <c r="BN378" s="4"/>
      <c r="BO378" s="3"/>
      <c r="BP378" s="4"/>
      <c r="BQ378" s="3"/>
      <c r="BR378" s="4"/>
      <c r="BS378" s="3"/>
      <c r="BT378" s="4"/>
      <c r="BU378" s="3"/>
      <c r="BV378" s="4"/>
      <c r="BW378" s="3"/>
      <c r="BX378" s="4"/>
      <c r="BY378" s="3"/>
      <c r="BZ378" s="4"/>
      <c r="CA378" s="3"/>
      <c r="CB378" s="4"/>
      <c r="CC378" s="3"/>
      <c r="CD378" s="4"/>
    </row>
    <row r="379">
      <c r="A379" s="3"/>
      <c r="B379" s="4"/>
      <c r="C379" s="3"/>
      <c r="D379" s="4"/>
      <c r="E379" s="3"/>
      <c r="F379" s="4"/>
      <c r="G379" s="3"/>
      <c r="H379" s="4"/>
      <c r="I379" s="3"/>
      <c r="J379" s="4"/>
      <c r="K379" s="3"/>
      <c r="L379" s="4"/>
      <c r="M379" s="3"/>
      <c r="N379" s="4"/>
      <c r="O379" s="3"/>
      <c r="P379" s="4"/>
      <c r="Q379" s="3"/>
      <c r="R379" s="4"/>
      <c r="S379" s="3"/>
      <c r="T379" s="4"/>
      <c r="U379" s="3"/>
      <c r="V379" s="4"/>
      <c r="W379" s="3"/>
      <c r="X379" s="4"/>
      <c r="Y379" s="3"/>
      <c r="Z379" s="4"/>
      <c r="AA379" s="3"/>
      <c r="AB379" s="4"/>
      <c r="AC379" s="3"/>
      <c r="AD379" s="4"/>
      <c r="AE379" s="3"/>
      <c r="AF379" s="4"/>
      <c r="AG379" s="3"/>
      <c r="AH379" s="4"/>
      <c r="AI379" s="3"/>
      <c r="AJ379" s="4"/>
      <c r="AK379" s="3"/>
      <c r="AL379" s="4"/>
      <c r="AM379" s="3"/>
      <c r="AN379" s="4"/>
      <c r="AO379" s="3"/>
      <c r="AP379" s="4"/>
      <c r="AQ379" s="3"/>
      <c r="AR379" s="4"/>
      <c r="AS379" s="3"/>
      <c r="AT379" s="4"/>
      <c r="AU379" s="3"/>
      <c r="AV379" s="4"/>
      <c r="AW379" s="3"/>
      <c r="AX379" s="4"/>
      <c r="AY379" s="3"/>
      <c r="AZ379" s="4"/>
      <c r="BA379" s="3"/>
      <c r="BB379" s="4"/>
      <c r="BC379" s="3"/>
      <c r="BD379" s="4"/>
      <c r="BE379" s="3"/>
      <c r="BF379" s="4"/>
      <c r="BG379" s="3"/>
      <c r="BH379" s="4"/>
      <c r="BI379" s="3"/>
      <c r="BJ379" s="4"/>
      <c r="BK379" s="3"/>
      <c r="BL379" s="4"/>
      <c r="BM379" s="3"/>
      <c r="BN379" s="4"/>
      <c r="BO379" s="3"/>
      <c r="BP379" s="4"/>
      <c r="BQ379" s="3"/>
      <c r="BR379" s="4"/>
      <c r="BS379" s="3"/>
      <c r="BT379" s="4"/>
      <c r="BU379" s="3"/>
      <c r="BV379" s="4"/>
      <c r="BW379" s="3"/>
      <c r="BX379" s="4"/>
      <c r="BY379" s="3"/>
      <c r="BZ379" s="4"/>
      <c r="CA379" s="3"/>
      <c r="CB379" s="4"/>
      <c r="CC379" s="3"/>
      <c r="CD379" s="4"/>
    </row>
    <row r="380">
      <c r="A380" s="3"/>
      <c r="B380" s="4"/>
      <c r="C380" s="3"/>
      <c r="D380" s="4"/>
      <c r="E380" s="3"/>
      <c r="F380" s="4"/>
      <c r="G380" s="3"/>
      <c r="H380" s="4"/>
      <c r="I380" s="3"/>
      <c r="J380" s="4"/>
      <c r="K380" s="3"/>
      <c r="L380" s="4"/>
      <c r="M380" s="3"/>
      <c r="N380" s="4"/>
      <c r="O380" s="3"/>
      <c r="P380" s="4"/>
      <c r="Q380" s="3"/>
      <c r="R380" s="4"/>
      <c r="S380" s="3"/>
      <c r="T380" s="4"/>
      <c r="U380" s="3"/>
      <c r="V380" s="4"/>
      <c r="W380" s="3"/>
      <c r="X380" s="4"/>
      <c r="Y380" s="3"/>
      <c r="Z380" s="4"/>
      <c r="AA380" s="3"/>
      <c r="AB380" s="4"/>
      <c r="AC380" s="3"/>
      <c r="AD380" s="4"/>
      <c r="AE380" s="3"/>
      <c r="AF380" s="4"/>
      <c r="AG380" s="3"/>
      <c r="AH380" s="4"/>
      <c r="AI380" s="3"/>
      <c r="AJ380" s="4"/>
      <c r="AK380" s="3"/>
      <c r="AL380" s="4"/>
      <c r="AM380" s="3"/>
      <c r="AN380" s="4"/>
      <c r="AO380" s="3"/>
      <c r="AP380" s="4"/>
      <c r="AQ380" s="3"/>
      <c r="AR380" s="4"/>
      <c r="AS380" s="3"/>
      <c r="AT380" s="4"/>
      <c r="AU380" s="3"/>
      <c r="AV380" s="4"/>
      <c r="AW380" s="3"/>
      <c r="AX380" s="4"/>
      <c r="AY380" s="3"/>
      <c r="AZ380" s="4"/>
      <c r="BA380" s="3"/>
      <c r="BB380" s="4"/>
      <c r="BC380" s="3"/>
      <c r="BD380" s="4"/>
      <c r="BE380" s="3"/>
      <c r="BF380" s="4"/>
      <c r="BG380" s="3"/>
      <c r="BH380" s="4"/>
      <c r="BI380" s="3"/>
      <c r="BJ380" s="4"/>
      <c r="BK380" s="3"/>
      <c r="BL380" s="4"/>
      <c r="BM380" s="3"/>
      <c r="BN380" s="4"/>
      <c r="BO380" s="3"/>
      <c r="BP380" s="4"/>
      <c r="BQ380" s="3"/>
      <c r="BR380" s="4"/>
      <c r="BS380" s="3"/>
      <c r="BT380" s="4"/>
      <c r="BU380" s="3"/>
      <c r="BV380" s="4"/>
      <c r="BW380" s="3"/>
      <c r="BX380" s="4"/>
      <c r="BY380" s="3"/>
      <c r="BZ380" s="4"/>
      <c r="CA380" s="3"/>
      <c r="CB380" s="4"/>
      <c r="CC380" s="3"/>
      <c r="CD380" s="4"/>
    </row>
    <row r="381">
      <c r="A381" s="3"/>
      <c r="B381" s="4"/>
      <c r="C381" s="3"/>
      <c r="D381" s="4"/>
      <c r="E381" s="3"/>
      <c r="F381" s="4"/>
      <c r="G381" s="3"/>
      <c r="H381" s="4"/>
      <c r="I381" s="3"/>
      <c r="J381" s="4"/>
      <c r="K381" s="3"/>
      <c r="L381" s="4"/>
      <c r="M381" s="3"/>
      <c r="N381" s="4"/>
      <c r="O381" s="3"/>
      <c r="P381" s="4"/>
      <c r="Q381" s="3"/>
      <c r="R381" s="4"/>
      <c r="S381" s="3"/>
      <c r="T381" s="4"/>
      <c r="U381" s="3"/>
      <c r="V381" s="4"/>
      <c r="W381" s="3"/>
      <c r="X381" s="4"/>
      <c r="Y381" s="3"/>
      <c r="Z381" s="4"/>
      <c r="AA381" s="3"/>
      <c r="AB381" s="4"/>
      <c r="AC381" s="3"/>
      <c r="AD381" s="4"/>
      <c r="AE381" s="3"/>
      <c r="AF381" s="4"/>
      <c r="AG381" s="3"/>
      <c r="AH381" s="4"/>
      <c r="AI381" s="3"/>
      <c r="AJ381" s="4"/>
      <c r="AK381" s="3"/>
      <c r="AL381" s="4"/>
      <c r="AM381" s="3"/>
      <c r="AN381" s="4"/>
      <c r="AO381" s="3"/>
      <c r="AP381" s="4"/>
      <c r="AQ381" s="3"/>
      <c r="AR381" s="4"/>
      <c r="AS381" s="3"/>
      <c r="AT381" s="4"/>
      <c r="AU381" s="3"/>
      <c r="AV381" s="4"/>
      <c r="AW381" s="3"/>
      <c r="AX381" s="4"/>
      <c r="AY381" s="3"/>
      <c r="AZ381" s="4"/>
      <c r="BA381" s="3"/>
      <c r="BB381" s="4"/>
      <c r="BC381" s="3"/>
      <c r="BD381" s="4"/>
      <c r="BE381" s="3"/>
      <c r="BF381" s="4"/>
      <c r="BG381" s="3"/>
      <c r="BH381" s="4"/>
      <c r="BI381" s="3"/>
      <c r="BJ381" s="4"/>
      <c r="BK381" s="3"/>
      <c r="BL381" s="4"/>
      <c r="BM381" s="3"/>
      <c r="BN381" s="4"/>
      <c r="BO381" s="3"/>
      <c r="BP381" s="4"/>
      <c r="BQ381" s="3"/>
      <c r="BR381" s="4"/>
      <c r="BS381" s="3"/>
      <c r="BT381" s="4"/>
      <c r="BU381" s="3"/>
      <c r="BV381" s="4"/>
      <c r="BW381" s="3"/>
      <c r="BX381" s="4"/>
      <c r="BY381" s="3"/>
      <c r="BZ381" s="4"/>
      <c r="CA381" s="3"/>
      <c r="CB381" s="4"/>
      <c r="CC381" s="3"/>
      <c r="CD381" s="4"/>
    </row>
    <row r="382">
      <c r="A382" s="3"/>
      <c r="B382" s="4"/>
      <c r="C382" s="3"/>
      <c r="D382" s="4"/>
      <c r="E382" s="3"/>
      <c r="F382" s="4"/>
      <c r="G382" s="3"/>
      <c r="H382" s="4"/>
      <c r="I382" s="3"/>
      <c r="J382" s="4"/>
      <c r="K382" s="3"/>
      <c r="L382" s="4"/>
      <c r="M382" s="3"/>
      <c r="N382" s="4"/>
      <c r="O382" s="3"/>
      <c r="P382" s="4"/>
      <c r="Q382" s="3"/>
      <c r="R382" s="4"/>
      <c r="S382" s="3"/>
      <c r="T382" s="4"/>
      <c r="U382" s="3"/>
      <c r="V382" s="4"/>
      <c r="W382" s="3"/>
      <c r="X382" s="4"/>
      <c r="Y382" s="3"/>
      <c r="Z382" s="4"/>
      <c r="AA382" s="3"/>
      <c r="AB382" s="4"/>
      <c r="AC382" s="3"/>
      <c r="AD382" s="4"/>
      <c r="AE382" s="3"/>
      <c r="AF382" s="4"/>
      <c r="AG382" s="3"/>
      <c r="AH382" s="4"/>
      <c r="AI382" s="3"/>
      <c r="AJ382" s="4"/>
      <c r="AK382" s="3"/>
      <c r="AL382" s="4"/>
      <c r="AM382" s="3"/>
      <c r="AN382" s="4"/>
      <c r="AO382" s="3"/>
      <c r="AP382" s="4"/>
      <c r="AQ382" s="3"/>
      <c r="AR382" s="4"/>
      <c r="AS382" s="3"/>
      <c r="AT382" s="4"/>
      <c r="AU382" s="3"/>
      <c r="AV382" s="4"/>
      <c r="AW382" s="3"/>
      <c r="AX382" s="4"/>
      <c r="AY382" s="3"/>
      <c r="AZ382" s="4"/>
      <c r="BA382" s="3"/>
      <c r="BB382" s="4"/>
      <c r="BC382" s="3"/>
      <c r="BD382" s="4"/>
      <c r="BE382" s="3"/>
      <c r="BF382" s="4"/>
      <c r="BG382" s="3"/>
      <c r="BH382" s="4"/>
      <c r="BI382" s="3"/>
      <c r="BJ382" s="4"/>
      <c r="BK382" s="3"/>
      <c r="BL382" s="4"/>
      <c r="BM382" s="3"/>
      <c r="BN382" s="4"/>
      <c r="BO382" s="3"/>
      <c r="BP382" s="4"/>
      <c r="BQ382" s="3"/>
      <c r="BR382" s="4"/>
      <c r="BS382" s="3"/>
      <c r="BT382" s="4"/>
      <c r="BU382" s="3"/>
      <c r="BV382" s="4"/>
      <c r="BW382" s="3"/>
      <c r="BX382" s="4"/>
      <c r="BY382" s="3"/>
      <c r="BZ382" s="4"/>
      <c r="CA382" s="3"/>
      <c r="CB382" s="4"/>
      <c r="CC382" s="3"/>
      <c r="CD382" s="4"/>
    </row>
    <row r="383">
      <c r="A383" s="3"/>
      <c r="B383" s="4"/>
      <c r="C383" s="3"/>
      <c r="D383" s="4"/>
      <c r="E383" s="3"/>
      <c r="F383" s="4"/>
      <c r="G383" s="3"/>
      <c r="H383" s="4"/>
      <c r="I383" s="3"/>
      <c r="J383" s="4"/>
      <c r="K383" s="3"/>
      <c r="L383" s="4"/>
      <c r="M383" s="3"/>
      <c r="N383" s="4"/>
      <c r="O383" s="3"/>
      <c r="P383" s="4"/>
      <c r="Q383" s="3"/>
      <c r="R383" s="4"/>
      <c r="S383" s="3"/>
      <c r="T383" s="4"/>
      <c r="U383" s="3"/>
      <c r="V383" s="4"/>
      <c r="W383" s="3"/>
      <c r="X383" s="4"/>
      <c r="Y383" s="3"/>
      <c r="Z383" s="4"/>
      <c r="AA383" s="3"/>
      <c r="AB383" s="4"/>
      <c r="AC383" s="3"/>
      <c r="AD383" s="4"/>
      <c r="AE383" s="3"/>
      <c r="AF383" s="4"/>
      <c r="AG383" s="3"/>
      <c r="AH383" s="4"/>
      <c r="AI383" s="3"/>
      <c r="AJ383" s="4"/>
      <c r="AK383" s="3"/>
      <c r="AL383" s="4"/>
      <c r="AM383" s="3"/>
      <c r="AN383" s="4"/>
      <c r="AO383" s="3"/>
      <c r="AP383" s="4"/>
      <c r="AQ383" s="3"/>
      <c r="AR383" s="4"/>
      <c r="AS383" s="3"/>
      <c r="AT383" s="4"/>
      <c r="AU383" s="3"/>
      <c r="AV383" s="4"/>
      <c r="AW383" s="3"/>
      <c r="AX383" s="4"/>
      <c r="AY383" s="3"/>
      <c r="AZ383" s="4"/>
      <c r="BA383" s="3"/>
      <c r="BB383" s="4"/>
      <c r="BC383" s="3"/>
      <c r="BD383" s="4"/>
      <c r="BE383" s="3"/>
      <c r="BF383" s="4"/>
      <c r="BG383" s="3"/>
      <c r="BH383" s="4"/>
      <c r="BI383" s="3"/>
      <c r="BJ383" s="4"/>
      <c r="BK383" s="3"/>
      <c r="BL383" s="4"/>
      <c r="BM383" s="3"/>
      <c r="BN383" s="4"/>
      <c r="BO383" s="3"/>
      <c r="BP383" s="4"/>
      <c r="BQ383" s="3"/>
      <c r="BR383" s="4"/>
      <c r="BS383" s="3"/>
      <c r="BT383" s="4"/>
      <c r="BU383" s="3"/>
      <c r="BV383" s="4"/>
      <c r="BW383" s="3"/>
      <c r="BX383" s="4"/>
      <c r="BY383" s="3"/>
      <c r="BZ383" s="4"/>
      <c r="CA383" s="3"/>
      <c r="CB383" s="4"/>
      <c r="CC383" s="3"/>
      <c r="CD383" s="4"/>
    </row>
    <row r="384">
      <c r="A384" s="3"/>
      <c r="B384" s="4"/>
      <c r="C384" s="3"/>
      <c r="D384" s="4"/>
      <c r="E384" s="3"/>
      <c r="F384" s="4"/>
      <c r="G384" s="3"/>
      <c r="H384" s="4"/>
      <c r="I384" s="3"/>
      <c r="J384" s="4"/>
      <c r="K384" s="3"/>
      <c r="L384" s="4"/>
      <c r="M384" s="3"/>
      <c r="N384" s="4"/>
      <c r="O384" s="3"/>
      <c r="P384" s="4"/>
      <c r="Q384" s="3"/>
      <c r="R384" s="4"/>
      <c r="S384" s="3"/>
      <c r="T384" s="4"/>
      <c r="U384" s="3"/>
      <c r="V384" s="4"/>
      <c r="W384" s="3"/>
      <c r="X384" s="4"/>
      <c r="Y384" s="3"/>
      <c r="Z384" s="4"/>
      <c r="AA384" s="3"/>
      <c r="AB384" s="4"/>
      <c r="AC384" s="3"/>
      <c r="AD384" s="4"/>
      <c r="AE384" s="3"/>
      <c r="AF384" s="4"/>
      <c r="AG384" s="3"/>
      <c r="AH384" s="4"/>
      <c r="AI384" s="3"/>
      <c r="AJ384" s="4"/>
      <c r="AK384" s="3"/>
      <c r="AL384" s="4"/>
      <c r="AM384" s="3"/>
      <c r="AN384" s="4"/>
      <c r="AO384" s="3"/>
      <c r="AP384" s="4"/>
      <c r="AQ384" s="3"/>
      <c r="AR384" s="4"/>
      <c r="AS384" s="3"/>
      <c r="AT384" s="4"/>
      <c r="AU384" s="3"/>
      <c r="AV384" s="4"/>
      <c r="AW384" s="3"/>
      <c r="AX384" s="4"/>
      <c r="AY384" s="3"/>
      <c r="AZ384" s="4"/>
      <c r="BA384" s="3"/>
      <c r="BB384" s="4"/>
      <c r="BC384" s="3"/>
      <c r="BD384" s="4"/>
      <c r="BE384" s="3"/>
      <c r="BF384" s="4"/>
      <c r="BG384" s="3"/>
      <c r="BH384" s="4"/>
      <c r="BI384" s="3"/>
      <c r="BJ384" s="4"/>
      <c r="BK384" s="3"/>
      <c r="BL384" s="4"/>
      <c r="BM384" s="3"/>
      <c r="BN384" s="4"/>
      <c r="BO384" s="3"/>
      <c r="BP384" s="4"/>
      <c r="BQ384" s="3"/>
      <c r="BR384" s="4"/>
      <c r="BS384" s="3"/>
      <c r="BT384" s="4"/>
      <c r="BU384" s="3"/>
      <c r="BV384" s="4"/>
      <c r="BW384" s="3"/>
      <c r="BX384" s="4"/>
      <c r="BY384" s="3"/>
      <c r="BZ384" s="4"/>
      <c r="CA384" s="3"/>
      <c r="CB384" s="4"/>
      <c r="CC384" s="3"/>
      <c r="CD384" s="4"/>
    </row>
    <row r="385">
      <c r="A385" s="3"/>
      <c r="B385" s="4"/>
      <c r="C385" s="3"/>
      <c r="D385" s="4"/>
      <c r="E385" s="3"/>
      <c r="F385" s="4"/>
      <c r="G385" s="3"/>
      <c r="H385" s="4"/>
      <c r="I385" s="3"/>
      <c r="J385" s="4"/>
      <c r="K385" s="3"/>
      <c r="L385" s="4"/>
      <c r="M385" s="3"/>
      <c r="N385" s="4"/>
      <c r="O385" s="3"/>
      <c r="P385" s="4"/>
      <c r="Q385" s="3"/>
      <c r="R385" s="4"/>
      <c r="S385" s="3"/>
      <c r="T385" s="4"/>
      <c r="U385" s="3"/>
      <c r="V385" s="4"/>
      <c r="W385" s="3"/>
      <c r="X385" s="4"/>
      <c r="Y385" s="3"/>
      <c r="Z385" s="4"/>
      <c r="AA385" s="3"/>
      <c r="AB385" s="4"/>
      <c r="AC385" s="3"/>
      <c r="AD385" s="4"/>
      <c r="AE385" s="3"/>
      <c r="AF385" s="4"/>
      <c r="AG385" s="3"/>
      <c r="AH385" s="4"/>
      <c r="AI385" s="3"/>
      <c r="AJ385" s="4"/>
      <c r="AK385" s="3"/>
      <c r="AL385" s="4"/>
      <c r="AM385" s="3"/>
      <c r="AN385" s="4"/>
      <c r="AO385" s="3"/>
      <c r="AP385" s="4"/>
      <c r="AQ385" s="3"/>
      <c r="AR385" s="4"/>
      <c r="AS385" s="3"/>
      <c r="AT385" s="4"/>
      <c r="AU385" s="3"/>
      <c r="AV385" s="4"/>
      <c r="AW385" s="3"/>
      <c r="AX385" s="4"/>
      <c r="AY385" s="3"/>
      <c r="AZ385" s="4"/>
      <c r="BA385" s="3"/>
      <c r="BB385" s="4"/>
      <c r="BC385" s="3"/>
      <c r="BD385" s="4"/>
      <c r="BE385" s="3"/>
      <c r="BF385" s="4"/>
      <c r="BG385" s="3"/>
      <c r="BH385" s="4"/>
      <c r="BI385" s="3"/>
      <c r="BJ385" s="4"/>
      <c r="BK385" s="3"/>
      <c r="BL385" s="4"/>
      <c r="BM385" s="3"/>
      <c r="BN385" s="4"/>
      <c r="BO385" s="3"/>
      <c r="BP385" s="4"/>
      <c r="BQ385" s="3"/>
      <c r="BR385" s="4"/>
      <c r="BS385" s="3"/>
      <c r="BT385" s="4"/>
      <c r="BU385" s="3"/>
      <c r="BV385" s="4"/>
      <c r="BW385" s="3"/>
      <c r="BX385" s="4"/>
      <c r="BY385" s="3"/>
      <c r="BZ385" s="4"/>
      <c r="CA385" s="3"/>
      <c r="CB385" s="4"/>
      <c r="CC385" s="3"/>
      <c r="CD385" s="4"/>
    </row>
    <row r="386">
      <c r="A386" s="3"/>
      <c r="B386" s="4"/>
      <c r="C386" s="3"/>
      <c r="D386" s="4"/>
      <c r="E386" s="3"/>
      <c r="F386" s="4"/>
      <c r="G386" s="3"/>
      <c r="H386" s="4"/>
      <c r="I386" s="3"/>
      <c r="J386" s="4"/>
      <c r="K386" s="3"/>
      <c r="L386" s="4"/>
      <c r="M386" s="3"/>
      <c r="N386" s="4"/>
      <c r="O386" s="3"/>
      <c r="P386" s="4"/>
      <c r="Q386" s="3"/>
      <c r="R386" s="4"/>
      <c r="S386" s="3"/>
      <c r="T386" s="4"/>
      <c r="U386" s="3"/>
      <c r="V386" s="4"/>
      <c r="W386" s="3"/>
      <c r="X386" s="4"/>
      <c r="Y386" s="3"/>
      <c r="Z386" s="4"/>
      <c r="AA386" s="3"/>
      <c r="AB386" s="4"/>
      <c r="AC386" s="3"/>
      <c r="AD386" s="4"/>
      <c r="AE386" s="3"/>
      <c r="AF386" s="4"/>
      <c r="AG386" s="3"/>
      <c r="AH386" s="4"/>
      <c r="AI386" s="3"/>
      <c r="AJ386" s="4"/>
      <c r="AK386" s="3"/>
      <c r="AL386" s="4"/>
      <c r="AM386" s="3"/>
      <c r="AN386" s="4"/>
      <c r="AO386" s="3"/>
      <c r="AP386" s="4"/>
      <c r="AQ386" s="3"/>
      <c r="AR386" s="4"/>
      <c r="AS386" s="3"/>
      <c r="AT386" s="4"/>
      <c r="AU386" s="3"/>
      <c r="AV386" s="4"/>
      <c r="AW386" s="3"/>
      <c r="AX386" s="4"/>
      <c r="AY386" s="3"/>
      <c r="AZ386" s="4"/>
      <c r="BA386" s="3"/>
      <c r="BB386" s="4"/>
      <c r="BC386" s="3"/>
      <c r="BD386" s="4"/>
      <c r="BE386" s="3"/>
      <c r="BF386" s="4"/>
      <c r="BG386" s="3"/>
      <c r="BH386" s="4"/>
      <c r="BI386" s="3"/>
      <c r="BJ386" s="4"/>
      <c r="BK386" s="3"/>
      <c r="BL386" s="4"/>
      <c r="BM386" s="3"/>
      <c r="BN386" s="4"/>
      <c r="BO386" s="3"/>
      <c r="BP386" s="4"/>
      <c r="BQ386" s="3"/>
      <c r="BR386" s="4"/>
      <c r="BS386" s="3"/>
      <c r="BT386" s="4"/>
      <c r="BU386" s="3"/>
      <c r="BV386" s="4"/>
      <c r="BW386" s="3"/>
      <c r="BX386" s="4"/>
      <c r="BY386" s="3"/>
      <c r="BZ386" s="4"/>
      <c r="CA386" s="3"/>
      <c r="CB386" s="4"/>
      <c r="CC386" s="3"/>
      <c r="CD386" s="4"/>
    </row>
    <row r="387">
      <c r="A387" s="3"/>
      <c r="B387" s="4"/>
      <c r="C387" s="3"/>
      <c r="D387" s="4"/>
      <c r="E387" s="3"/>
      <c r="F387" s="4"/>
      <c r="G387" s="3"/>
      <c r="H387" s="4"/>
      <c r="I387" s="3"/>
      <c r="J387" s="4"/>
      <c r="K387" s="3"/>
      <c r="L387" s="4"/>
      <c r="M387" s="3"/>
      <c r="N387" s="4"/>
      <c r="O387" s="3"/>
      <c r="P387" s="4"/>
      <c r="Q387" s="3"/>
      <c r="R387" s="4"/>
      <c r="S387" s="3"/>
      <c r="T387" s="4"/>
      <c r="U387" s="3"/>
      <c r="V387" s="4"/>
      <c r="W387" s="3"/>
      <c r="X387" s="4"/>
      <c r="Y387" s="3"/>
      <c r="Z387" s="4"/>
      <c r="AA387" s="3"/>
      <c r="AB387" s="4"/>
      <c r="AC387" s="3"/>
      <c r="AD387" s="4"/>
      <c r="AE387" s="3"/>
      <c r="AF387" s="4"/>
      <c r="AG387" s="3"/>
      <c r="AH387" s="4"/>
      <c r="AI387" s="3"/>
      <c r="AJ387" s="4"/>
      <c r="AK387" s="3"/>
      <c r="AL387" s="4"/>
      <c r="AM387" s="3"/>
      <c r="AN387" s="4"/>
      <c r="AO387" s="3"/>
      <c r="AP387" s="4"/>
      <c r="AQ387" s="3"/>
      <c r="AR387" s="4"/>
      <c r="AS387" s="3"/>
      <c r="AT387" s="4"/>
      <c r="AU387" s="3"/>
      <c r="AV387" s="4"/>
      <c r="AW387" s="3"/>
      <c r="AX387" s="4"/>
      <c r="AY387" s="3"/>
      <c r="AZ387" s="4"/>
      <c r="BA387" s="3"/>
      <c r="BB387" s="4"/>
      <c r="BC387" s="3"/>
      <c r="BD387" s="4"/>
      <c r="BE387" s="3"/>
      <c r="BF387" s="4"/>
      <c r="BG387" s="3"/>
      <c r="BH387" s="4"/>
      <c r="BI387" s="3"/>
      <c r="BJ387" s="4"/>
      <c r="BK387" s="3"/>
      <c r="BL387" s="4"/>
      <c r="BM387" s="3"/>
      <c r="BN387" s="4"/>
      <c r="BO387" s="3"/>
      <c r="BP387" s="4"/>
      <c r="BQ387" s="3"/>
      <c r="BR387" s="4"/>
      <c r="BS387" s="3"/>
      <c r="BT387" s="4"/>
      <c r="BU387" s="3"/>
      <c r="BV387" s="4"/>
      <c r="BW387" s="3"/>
      <c r="BX387" s="4"/>
      <c r="BY387" s="3"/>
      <c r="BZ387" s="4"/>
      <c r="CA387" s="3"/>
      <c r="CB387" s="4"/>
      <c r="CC387" s="3"/>
      <c r="CD387" s="4"/>
    </row>
    <row r="388">
      <c r="A388" s="3"/>
      <c r="B388" s="4"/>
      <c r="C388" s="3"/>
      <c r="D388" s="4"/>
      <c r="E388" s="3"/>
      <c r="F388" s="4"/>
      <c r="G388" s="3"/>
      <c r="H388" s="4"/>
      <c r="I388" s="3"/>
      <c r="J388" s="4"/>
      <c r="K388" s="3"/>
      <c r="L388" s="4"/>
      <c r="M388" s="3"/>
      <c r="N388" s="4"/>
      <c r="O388" s="3"/>
      <c r="P388" s="4"/>
      <c r="Q388" s="3"/>
      <c r="R388" s="4"/>
      <c r="S388" s="3"/>
      <c r="T388" s="4"/>
      <c r="U388" s="3"/>
      <c r="V388" s="4"/>
      <c r="W388" s="3"/>
      <c r="X388" s="4"/>
      <c r="Y388" s="3"/>
      <c r="Z388" s="4"/>
      <c r="AA388" s="3"/>
      <c r="AB388" s="4"/>
      <c r="AC388" s="3"/>
      <c r="AD388" s="4"/>
      <c r="AE388" s="3"/>
      <c r="AF388" s="4"/>
      <c r="AG388" s="3"/>
      <c r="AH388" s="4"/>
      <c r="AI388" s="3"/>
      <c r="AJ388" s="4"/>
      <c r="AK388" s="3"/>
      <c r="AL388" s="4"/>
      <c r="AM388" s="3"/>
      <c r="AN388" s="4"/>
      <c r="AO388" s="3"/>
      <c r="AP388" s="4"/>
      <c r="AQ388" s="3"/>
      <c r="AR388" s="4"/>
      <c r="AS388" s="3"/>
      <c r="AT388" s="4"/>
      <c r="AU388" s="3"/>
      <c r="AV388" s="4"/>
      <c r="AW388" s="3"/>
      <c r="AX388" s="4"/>
      <c r="AY388" s="3"/>
      <c r="AZ388" s="4"/>
      <c r="BA388" s="3"/>
      <c r="BB388" s="4"/>
      <c r="BC388" s="3"/>
      <c r="BD388" s="4"/>
      <c r="BE388" s="3"/>
      <c r="BF388" s="4"/>
      <c r="BG388" s="3"/>
      <c r="BH388" s="4"/>
      <c r="BI388" s="3"/>
      <c r="BJ388" s="4"/>
      <c r="BK388" s="3"/>
      <c r="BL388" s="4"/>
      <c r="BM388" s="3"/>
      <c r="BN388" s="4"/>
      <c r="BO388" s="3"/>
      <c r="BP388" s="4"/>
      <c r="BQ388" s="3"/>
      <c r="BR388" s="4"/>
      <c r="BS388" s="3"/>
      <c r="BT388" s="4"/>
      <c r="BU388" s="3"/>
      <c r="BV388" s="4"/>
      <c r="BW388" s="3"/>
      <c r="BX388" s="4"/>
      <c r="BY388" s="3"/>
      <c r="BZ388" s="4"/>
      <c r="CA388" s="3"/>
      <c r="CB388" s="4"/>
      <c r="CC388" s="3"/>
      <c r="CD388" s="4"/>
    </row>
    <row r="389">
      <c r="A389" s="3"/>
      <c r="B389" s="4"/>
      <c r="C389" s="3"/>
      <c r="D389" s="4"/>
      <c r="E389" s="3"/>
      <c r="F389" s="4"/>
      <c r="G389" s="3"/>
      <c r="H389" s="4"/>
      <c r="I389" s="3"/>
      <c r="J389" s="4"/>
      <c r="K389" s="3"/>
      <c r="L389" s="4"/>
      <c r="M389" s="3"/>
      <c r="N389" s="4"/>
      <c r="O389" s="3"/>
      <c r="P389" s="4"/>
      <c r="Q389" s="3"/>
      <c r="R389" s="4"/>
      <c r="S389" s="3"/>
      <c r="T389" s="4"/>
      <c r="U389" s="3"/>
      <c r="V389" s="4"/>
      <c r="W389" s="3"/>
      <c r="X389" s="4"/>
      <c r="Y389" s="3"/>
      <c r="Z389" s="4"/>
      <c r="AA389" s="3"/>
      <c r="AB389" s="4"/>
      <c r="AC389" s="3"/>
      <c r="AD389" s="4"/>
      <c r="AE389" s="3"/>
      <c r="AF389" s="4"/>
      <c r="AG389" s="3"/>
      <c r="AH389" s="4"/>
      <c r="AI389" s="3"/>
      <c r="AJ389" s="4"/>
      <c r="AK389" s="3"/>
      <c r="AL389" s="4"/>
      <c r="AM389" s="3"/>
      <c r="AN389" s="4"/>
      <c r="AO389" s="3"/>
      <c r="AP389" s="4"/>
      <c r="AQ389" s="3"/>
      <c r="AR389" s="4"/>
      <c r="AS389" s="3"/>
      <c r="AT389" s="4"/>
      <c r="AU389" s="3"/>
      <c r="AV389" s="4"/>
      <c r="AW389" s="3"/>
      <c r="AX389" s="4"/>
      <c r="AY389" s="3"/>
      <c r="AZ389" s="4"/>
      <c r="BA389" s="3"/>
      <c r="BB389" s="4"/>
      <c r="BC389" s="3"/>
      <c r="BD389" s="4"/>
      <c r="BE389" s="3"/>
      <c r="BF389" s="4"/>
      <c r="BG389" s="3"/>
      <c r="BH389" s="4"/>
      <c r="BI389" s="3"/>
      <c r="BJ389" s="4"/>
      <c r="BK389" s="3"/>
      <c r="BL389" s="4"/>
      <c r="BM389" s="3"/>
      <c r="BN389" s="4"/>
      <c r="BO389" s="3"/>
      <c r="BP389" s="4"/>
      <c r="BQ389" s="3"/>
      <c r="BR389" s="4"/>
      <c r="BS389" s="3"/>
      <c r="BT389" s="4"/>
      <c r="BU389" s="3"/>
      <c r="BV389" s="4"/>
      <c r="BW389" s="3"/>
      <c r="BX389" s="4"/>
      <c r="BY389" s="3"/>
      <c r="BZ389" s="4"/>
      <c r="CA389" s="3"/>
      <c r="CB389" s="4"/>
      <c r="CC389" s="3"/>
      <c r="CD389" s="4"/>
    </row>
    <row r="390">
      <c r="A390" s="3"/>
      <c r="B390" s="4"/>
      <c r="C390" s="3"/>
      <c r="D390" s="4"/>
      <c r="E390" s="3"/>
      <c r="F390" s="4"/>
      <c r="G390" s="3"/>
      <c r="H390" s="4"/>
      <c r="I390" s="3"/>
      <c r="J390" s="4"/>
      <c r="K390" s="3"/>
      <c r="L390" s="4"/>
      <c r="M390" s="3"/>
      <c r="N390" s="4"/>
      <c r="O390" s="3"/>
      <c r="P390" s="4"/>
      <c r="Q390" s="3"/>
      <c r="R390" s="4"/>
      <c r="S390" s="3"/>
      <c r="T390" s="4"/>
      <c r="U390" s="3"/>
      <c r="V390" s="4"/>
      <c r="W390" s="3"/>
      <c r="X390" s="4"/>
      <c r="Y390" s="3"/>
      <c r="Z390" s="4"/>
      <c r="AA390" s="3"/>
      <c r="AB390" s="4"/>
      <c r="AC390" s="3"/>
      <c r="AD390" s="4"/>
      <c r="AE390" s="3"/>
      <c r="AF390" s="4"/>
      <c r="AG390" s="3"/>
      <c r="AH390" s="4"/>
      <c r="AI390" s="3"/>
      <c r="AJ390" s="4"/>
      <c r="AK390" s="3"/>
      <c r="AL390" s="4"/>
      <c r="AM390" s="3"/>
      <c r="AN390" s="4"/>
      <c r="AO390" s="3"/>
      <c r="AP390" s="4"/>
      <c r="AQ390" s="3"/>
      <c r="AR390" s="4"/>
      <c r="AS390" s="3"/>
      <c r="AT390" s="4"/>
      <c r="AU390" s="3"/>
      <c r="AV390" s="4"/>
      <c r="AW390" s="3"/>
      <c r="AX390" s="4"/>
      <c r="AY390" s="3"/>
      <c r="AZ390" s="4"/>
      <c r="BA390" s="3"/>
      <c r="BB390" s="4"/>
      <c r="BC390" s="3"/>
      <c r="BD390" s="4"/>
      <c r="BE390" s="3"/>
      <c r="BF390" s="4"/>
      <c r="BG390" s="3"/>
      <c r="BH390" s="4"/>
      <c r="BI390" s="3"/>
      <c r="BJ390" s="4"/>
      <c r="BK390" s="3"/>
      <c r="BL390" s="4"/>
      <c r="BM390" s="3"/>
      <c r="BN390" s="4"/>
      <c r="BO390" s="3"/>
      <c r="BP390" s="4"/>
      <c r="BQ390" s="3"/>
      <c r="BR390" s="4"/>
      <c r="BS390" s="3"/>
      <c r="BT390" s="4"/>
      <c r="BU390" s="3"/>
      <c r="BV390" s="4"/>
      <c r="BW390" s="3"/>
      <c r="BX390" s="4"/>
      <c r="BY390" s="3"/>
      <c r="BZ390" s="4"/>
      <c r="CA390" s="3"/>
      <c r="CB390" s="4"/>
      <c r="CC390" s="3"/>
      <c r="CD390" s="4"/>
    </row>
    <row r="391">
      <c r="A391" s="3"/>
      <c r="B391" s="4"/>
      <c r="C391" s="3"/>
      <c r="D391" s="4"/>
      <c r="E391" s="3"/>
      <c r="F391" s="4"/>
      <c r="G391" s="3"/>
      <c r="H391" s="4"/>
      <c r="I391" s="3"/>
      <c r="J391" s="4"/>
      <c r="K391" s="3"/>
      <c r="L391" s="4"/>
      <c r="M391" s="3"/>
      <c r="N391" s="4"/>
      <c r="O391" s="3"/>
      <c r="P391" s="4"/>
      <c r="Q391" s="3"/>
      <c r="R391" s="4"/>
      <c r="S391" s="3"/>
      <c r="T391" s="4"/>
      <c r="U391" s="3"/>
      <c r="V391" s="4"/>
      <c r="W391" s="3"/>
      <c r="X391" s="4"/>
      <c r="Y391" s="3"/>
      <c r="Z391" s="4"/>
      <c r="AA391" s="3"/>
      <c r="AB391" s="4"/>
      <c r="AC391" s="3"/>
      <c r="AD391" s="4"/>
      <c r="AE391" s="3"/>
      <c r="AF391" s="4"/>
      <c r="AG391" s="3"/>
      <c r="AH391" s="4"/>
      <c r="AI391" s="3"/>
      <c r="AJ391" s="4"/>
      <c r="AK391" s="3"/>
      <c r="AL391" s="4"/>
      <c r="AM391" s="3"/>
      <c r="AN391" s="4"/>
      <c r="AO391" s="3"/>
      <c r="AP391" s="4"/>
      <c r="AQ391" s="3"/>
      <c r="AR391" s="4"/>
      <c r="AS391" s="3"/>
      <c r="AT391" s="4"/>
      <c r="AU391" s="3"/>
      <c r="AV391" s="4"/>
      <c r="AW391" s="3"/>
      <c r="AX391" s="4"/>
      <c r="AY391" s="3"/>
      <c r="AZ391" s="4"/>
      <c r="BA391" s="3"/>
      <c r="BB391" s="4"/>
      <c r="BC391" s="3"/>
      <c r="BD391" s="4"/>
      <c r="BE391" s="3"/>
      <c r="BF391" s="4"/>
      <c r="BG391" s="3"/>
      <c r="BH391" s="4"/>
      <c r="BI391" s="3"/>
      <c r="BJ391" s="4"/>
      <c r="BK391" s="3"/>
      <c r="BL391" s="4"/>
      <c r="BM391" s="3"/>
      <c r="BN391" s="4"/>
      <c r="BO391" s="3"/>
      <c r="BP391" s="4"/>
      <c r="BQ391" s="3"/>
      <c r="BR391" s="4"/>
      <c r="BS391" s="3"/>
      <c r="BT391" s="4"/>
      <c r="BU391" s="3"/>
      <c r="BV391" s="4"/>
      <c r="BW391" s="3"/>
      <c r="BX391" s="4"/>
      <c r="BY391" s="3"/>
      <c r="BZ391" s="4"/>
      <c r="CA391" s="3"/>
      <c r="CB391" s="4"/>
      <c r="CC391" s="3"/>
      <c r="CD391" s="4"/>
    </row>
    <row r="392">
      <c r="A392" s="3"/>
      <c r="B392" s="4"/>
      <c r="C392" s="3"/>
      <c r="D392" s="4"/>
      <c r="E392" s="3"/>
      <c r="F392" s="4"/>
      <c r="G392" s="3"/>
      <c r="H392" s="4"/>
      <c r="I392" s="3"/>
      <c r="J392" s="4"/>
      <c r="K392" s="3"/>
      <c r="L392" s="4"/>
      <c r="M392" s="3"/>
      <c r="N392" s="4"/>
      <c r="O392" s="3"/>
      <c r="P392" s="4"/>
      <c r="Q392" s="3"/>
      <c r="R392" s="4"/>
      <c r="S392" s="3"/>
      <c r="T392" s="4"/>
      <c r="U392" s="3"/>
      <c r="V392" s="4"/>
      <c r="W392" s="3"/>
      <c r="X392" s="4"/>
      <c r="Y392" s="3"/>
      <c r="Z392" s="4"/>
      <c r="AA392" s="3"/>
      <c r="AB392" s="4"/>
      <c r="AC392" s="3"/>
      <c r="AD392" s="4"/>
      <c r="AE392" s="3"/>
      <c r="AF392" s="4"/>
      <c r="AG392" s="3"/>
      <c r="AH392" s="4"/>
      <c r="AI392" s="3"/>
      <c r="AJ392" s="4"/>
      <c r="AK392" s="3"/>
      <c r="AL392" s="4"/>
      <c r="AM392" s="3"/>
      <c r="AN392" s="4"/>
      <c r="AO392" s="3"/>
      <c r="AP392" s="4"/>
      <c r="AQ392" s="3"/>
      <c r="AR392" s="4"/>
      <c r="AS392" s="3"/>
      <c r="AT392" s="4"/>
      <c r="AU392" s="3"/>
      <c r="AV392" s="4"/>
      <c r="AW392" s="3"/>
      <c r="AX392" s="4"/>
      <c r="AY392" s="3"/>
      <c r="AZ392" s="4"/>
      <c r="BA392" s="3"/>
      <c r="BB392" s="4"/>
      <c r="BC392" s="3"/>
      <c r="BD392" s="4"/>
      <c r="BE392" s="3"/>
      <c r="BF392" s="4"/>
      <c r="BG392" s="3"/>
      <c r="BH392" s="4"/>
      <c r="BI392" s="3"/>
      <c r="BJ392" s="4"/>
      <c r="BK392" s="3"/>
      <c r="BL392" s="4"/>
      <c r="BM392" s="3"/>
      <c r="BN392" s="4"/>
      <c r="BO392" s="3"/>
      <c r="BP392" s="4"/>
      <c r="BQ392" s="3"/>
      <c r="BR392" s="4"/>
      <c r="BS392" s="3"/>
      <c r="BT392" s="4"/>
      <c r="BU392" s="3"/>
      <c r="BV392" s="4"/>
      <c r="BW392" s="3"/>
      <c r="BX392" s="4"/>
      <c r="BY392" s="3"/>
      <c r="BZ392" s="4"/>
      <c r="CA392" s="3"/>
      <c r="CB392" s="4"/>
      <c r="CC392" s="3"/>
      <c r="CD392" s="4"/>
    </row>
    <row r="393">
      <c r="A393" s="3"/>
      <c r="B393" s="4"/>
      <c r="C393" s="3"/>
      <c r="D393" s="4"/>
      <c r="E393" s="3"/>
      <c r="F393" s="4"/>
      <c r="G393" s="3"/>
      <c r="H393" s="4"/>
      <c r="I393" s="3"/>
      <c r="J393" s="4"/>
      <c r="K393" s="3"/>
      <c r="L393" s="4"/>
      <c r="M393" s="3"/>
      <c r="N393" s="4"/>
      <c r="O393" s="3"/>
      <c r="P393" s="4"/>
      <c r="Q393" s="3"/>
      <c r="R393" s="4"/>
      <c r="S393" s="3"/>
      <c r="T393" s="4"/>
      <c r="U393" s="3"/>
      <c r="V393" s="4"/>
      <c r="W393" s="3"/>
      <c r="X393" s="4"/>
      <c r="Y393" s="3"/>
      <c r="Z393" s="4"/>
      <c r="AA393" s="3"/>
      <c r="AB393" s="4"/>
      <c r="AC393" s="3"/>
      <c r="AD393" s="4"/>
      <c r="AE393" s="3"/>
      <c r="AF393" s="4"/>
      <c r="AG393" s="3"/>
      <c r="AH393" s="4"/>
      <c r="AI393" s="3"/>
      <c r="AJ393" s="4"/>
      <c r="AK393" s="3"/>
      <c r="AL393" s="4"/>
      <c r="AM393" s="3"/>
      <c r="AN393" s="4"/>
      <c r="AO393" s="3"/>
      <c r="AP393" s="4"/>
      <c r="AQ393" s="3"/>
      <c r="AR393" s="4"/>
      <c r="AS393" s="3"/>
      <c r="AT393" s="4"/>
      <c r="AU393" s="3"/>
      <c r="AV393" s="4"/>
      <c r="AW393" s="3"/>
      <c r="AX393" s="4"/>
      <c r="AY393" s="3"/>
      <c r="AZ393" s="4"/>
      <c r="BA393" s="3"/>
      <c r="BB393" s="4"/>
      <c r="BC393" s="3"/>
      <c r="BD393" s="4"/>
      <c r="BE393" s="3"/>
      <c r="BF393" s="4"/>
      <c r="BG393" s="3"/>
      <c r="BH393" s="4"/>
      <c r="BI393" s="3"/>
      <c r="BJ393" s="4"/>
      <c r="BK393" s="3"/>
      <c r="BL393" s="4"/>
      <c r="BM393" s="3"/>
      <c r="BN393" s="4"/>
      <c r="BO393" s="3"/>
      <c r="BP393" s="4"/>
      <c r="BQ393" s="3"/>
      <c r="BR393" s="4"/>
      <c r="BS393" s="3"/>
      <c r="BT393" s="4"/>
      <c r="BU393" s="3"/>
      <c r="BV393" s="4"/>
      <c r="BW393" s="3"/>
      <c r="BX393" s="4"/>
      <c r="BY393" s="3"/>
      <c r="BZ393" s="4"/>
      <c r="CA393" s="3"/>
      <c r="CB393" s="4"/>
      <c r="CC393" s="3"/>
      <c r="CD393" s="4"/>
    </row>
    <row r="394">
      <c r="A394" s="3"/>
      <c r="B394" s="4"/>
      <c r="C394" s="3"/>
      <c r="D394" s="4"/>
      <c r="E394" s="3"/>
      <c r="F394" s="4"/>
      <c r="G394" s="3"/>
      <c r="H394" s="4"/>
      <c r="I394" s="3"/>
      <c r="J394" s="4"/>
      <c r="K394" s="3"/>
      <c r="L394" s="4"/>
      <c r="M394" s="3"/>
      <c r="N394" s="4"/>
      <c r="O394" s="3"/>
      <c r="P394" s="4"/>
      <c r="Q394" s="3"/>
      <c r="R394" s="4"/>
      <c r="S394" s="3"/>
      <c r="T394" s="4"/>
      <c r="U394" s="3"/>
      <c r="V394" s="4"/>
      <c r="W394" s="3"/>
      <c r="X394" s="4"/>
      <c r="Y394" s="3"/>
      <c r="Z394" s="4"/>
      <c r="AA394" s="3"/>
      <c r="AB394" s="4"/>
      <c r="AC394" s="3"/>
      <c r="AD394" s="4"/>
      <c r="AE394" s="3"/>
      <c r="AF394" s="4"/>
      <c r="AG394" s="3"/>
      <c r="AH394" s="4"/>
      <c r="AI394" s="3"/>
      <c r="AJ394" s="4"/>
      <c r="AK394" s="3"/>
      <c r="AL394" s="4"/>
      <c r="AM394" s="3"/>
      <c r="AN394" s="4"/>
      <c r="AO394" s="3"/>
      <c r="AP394" s="4"/>
      <c r="AQ394" s="3"/>
      <c r="AR394" s="4"/>
      <c r="AS394" s="3"/>
      <c r="AT394" s="4"/>
      <c r="AU394" s="3"/>
      <c r="AV394" s="4"/>
      <c r="AW394" s="3"/>
      <c r="AX394" s="4"/>
      <c r="AY394" s="3"/>
      <c r="AZ394" s="4"/>
      <c r="BA394" s="3"/>
      <c r="BB394" s="4"/>
      <c r="BC394" s="3"/>
      <c r="BD394" s="4"/>
      <c r="BE394" s="3"/>
      <c r="BF394" s="4"/>
      <c r="BG394" s="3"/>
      <c r="BH394" s="4"/>
      <c r="BI394" s="3"/>
      <c r="BJ394" s="4"/>
      <c r="BK394" s="3"/>
      <c r="BL394" s="4"/>
      <c r="BM394" s="3"/>
      <c r="BN394" s="4"/>
      <c r="BO394" s="3"/>
      <c r="BP394" s="4"/>
      <c r="BQ394" s="3"/>
      <c r="BR394" s="4"/>
      <c r="BS394" s="3"/>
      <c r="BT394" s="4"/>
      <c r="BU394" s="3"/>
      <c r="BV394" s="4"/>
      <c r="BW394" s="3"/>
      <c r="BX394" s="4"/>
      <c r="BY394" s="3"/>
      <c r="BZ394" s="4"/>
      <c r="CA394" s="3"/>
      <c r="CB394" s="4"/>
      <c r="CC394" s="3"/>
      <c r="CD394" s="4"/>
    </row>
    <row r="395">
      <c r="A395" s="3"/>
      <c r="B395" s="4"/>
      <c r="C395" s="3"/>
      <c r="D395" s="4"/>
      <c r="E395" s="3"/>
      <c r="F395" s="4"/>
      <c r="G395" s="3"/>
      <c r="H395" s="4"/>
      <c r="I395" s="3"/>
      <c r="J395" s="4"/>
      <c r="K395" s="3"/>
      <c r="L395" s="4"/>
      <c r="M395" s="3"/>
      <c r="N395" s="4"/>
      <c r="O395" s="3"/>
      <c r="P395" s="4"/>
      <c r="Q395" s="3"/>
      <c r="R395" s="4"/>
      <c r="S395" s="3"/>
      <c r="T395" s="4"/>
      <c r="U395" s="3"/>
      <c r="V395" s="4"/>
      <c r="W395" s="3"/>
      <c r="X395" s="4"/>
      <c r="Y395" s="3"/>
      <c r="Z395" s="4"/>
      <c r="AA395" s="3"/>
      <c r="AB395" s="4"/>
      <c r="AC395" s="3"/>
      <c r="AD395" s="4"/>
      <c r="AE395" s="3"/>
      <c r="AF395" s="4"/>
      <c r="AG395" s="3"/>
      <c r="AH395" s="4"/>
      <c r="AI395" s="3"/>
      <c r="AJ395" s="4"/>
      <c r="AK395" s="3"/>
      <c r="AL395" s="4"/>
      <c r="AM395" s="3"/>
      <c r="AN395" s="4"/>
      <c r="AO395" s="3"/>
      <c r="AP395" s="4"/>
      <c r="AQ395" s="3"/>
      <c r="AR395" s="4"/>
      <c r="AS395" s="3"/>
      <c r="AT395" s="4"/>
      <c r="AU395" s="3"/>
      <c r="AV395" s="4"/>
      <c r="AW395" s="3"/>
      <c r="AX395" s="4"/>
      <c r="AY395" s="3"/>
      <c r="AZ395" s="4"/>
      <c r="BA395" s="3"/>
      <c r="BB395" s="4"/>
      <c r="BC395" s="3"/>
      <c r="BD395" s="4"/>
      <c r="BE395" s="3"/>
      <c r="BF395" s="4"/>
      <c r="BG395" s="3"/>
      <c r="BH395" s="4"/>
      <c r="BI395" s="3"/>
      <c r="BJ395" s="4"/>
      <c r="BK395" s="3"/>
      <c r="BL395" s="4"/>
      <c r="BM395" s="3"/>
      <c r="BN395" s="4"/>
      <c r="BO395" s="3"/>
      <c r="BP395" s="4"/>
      <c r="BQ395" s="3"/>
      <c r="BR395" s="4"/>
      <c r="BS395" s="3"/>
      <c r="BT395" s="4"/>
      <c r="BU395" s="3"/>
      <c r="BV395" s="4"/>
      <c r="BW395" s="3"/>
      <c r="BX395" s="4"/>
      <c r="BY395" s="3"/>
      <c r="BZ395" s="4"/>
      <c r="CA395" s="3"/>
      <c r="CB395" s="4"/>
      <c r="CC395" s="3"/>
      <c r="CD395" s="4"/>
    </row>
    <row r="396">
      <c r="A396" s="3"/>
      <c r="B396" s="4"/>
      <c r="C396" s="3"/>
      <c r="D396" s="4"/>
      <c r="E396" s="3"/>
      <c r="F396" s="4"/>
      <c r="G396" s="3"/>
      <c r="H396" s="4"/>
      <c r="I396" s="3"/>
      <c r="J396" s="4"/>
      <c r="K396" s="3"/>
      <c r="L396" s="4"/>
      <c r="M396" s="3"/>
      <c r="N396" s="4"/>
      <c r="O396" s="3"/>
      <c r="P396" s="4"/>
      <c r="Q396" s="3"/>
      <c r="R396" s="4"/>
      <c r="S396" s="3"/>
      <c r="T396" s="4"/>
      <c r="U396" s="3"/>
      <c r="V396" s="4"/>
      <c r="W396" s="3"/>
      <c r="X396" s="4"/>
      <c r="Y396" s="3"/>
      <c r="Z396" s="4"/>
      <c r="AA396" s="3"/>
      <c r="AB396" s="4"/>
      <c r="AC396" s="3"/>
      <c r="AD396" s="4"/>
      <c r="AE396" s="3"/>
      <c r="AF396" s="4"/>
      <c r="AG396" s="3"/>
      <c r="AH396" s="4"/>
      <c r="AI396" s="3"/>
      <c r="AJ396" s="4"/>
      <c r="AK396" s="3"/>
      <c r="AL396" s="4"/>
      <c r="AM396" s="3"/>
      <c r="AN396" s="4"/>
      <c r="AO396" s="3"/>
      <c r="AP396" s="4"/>
      <c r="AQ396" s="3"/>
      <c r="AR396" s="4"/>
      <c r="AS396" s="3"/>
      <c r="AT396" s="4"/>
      <c r="AU396" s="3"/>
      <c r="AV396" s="4"/>
      <c r="AW396" s="3"/>
      <c r="AX396" s="4"/>
      <c r="AY396" s="3"/>
      <c r="AZ396" s="4"/>
      <c r="BA396" s="3"/>
      <c r="BB396" s="4"/>
      <c r="BC396" s="3"/>
      <c r="BD396" s="4"/>
      <c r="BE396" s="3"/>
      <c r="BF396" s="4"/>
      <c r="BG396" s="3"/>
      <c r="BH396" s="4"/>
      <c r="BI396" s="3"/>
      <c r="BJ396" s="4"/>
      <c r="BK396" s="3"/>
      <c r="BL396" s="4"/>
      <c r="BM396" s="3"/>
      <c r="BN396" s="4"/>
      <c r="BO396" s="3"/>
      <c r="BP396" s="4"/>
      <c r="BQ396" s="3"/>
      <c r="BR396" s="4"/>
      <c r="BS396" s="3"/>
      <c r="BT396" s="4"/>
      <c r="BU396" s="3"/>
      <c r="BV396" s="4"/>
      <c r="BW396" s="3"/>
      <c r="BX396" s="4"/>
      <c r="BY396" s="3"/>
      <c r="BZ396" s="4"/>
      <c r="CA396" s="3"/>
      <c r="CB396" s="4"/>
      <c r="CC396" s="3"/>
      <c r="CD396" s="4"/>
    </row>
    <row r="397">
      <c r="A397" s="3"/>
      <c r="B397" s="4"/>
      <c r="C397" s="3"/>
      <c r="D397" s="4"/>
      <c r="E397" s="3"/>
      <c r="F397" s="4"/>
      <c r="G397" s="3"/>
      <c r="H397" s="4"/>
      <c r="I397" s="3"/>
      <c r="J397" s="4"/>
      <c r="K397" s="3"/>
      <c r="L397" s="4"/>
      <c r="M397" s="3"/>
      <c r="N397" s="4"/>
      <c r="O397" s="3"/>
      <c r="P397" s="4"/>
      <c r="Q397" s="3"/>
      <c r="R397" s="4"/>
      <c r="S397" s="3"/>
      <c r="T397" s="4"/>
      <c r="U397" s="3"/>
      <c r="V397" s="4"/>
      <c r="W397" s="3"/>
      <c r="X397" s="4"/>
      <c r="Y397" s="3"/>
      <c r="Z397" s="4"/>
      <c r="AA397" s="3"/>
      <c r="AB397" s="4"/>
      <c r="AC397" s="3"/>
      <c r="AD397" s="4"/>
      <c r="AE397" s="3"/>
      <c r="AF397" s="4"/>
      <c r="AG397" s="3"/>
      <c r="AH397" s="4"/>
      <c r="AI397" s="3"/>
      <c r="AJ397" s="4"/>
      <c r="AK397" s="3"/>
      <c r="AL397" s="4"/>
      <c r="AM397" s="3"/>
      <c r="AN397" s="4"/>
      <c r="AO397" s="3"/>
      <c r="AP397" s="4"/>
      <c r="AQ397" s="3"/>
      <c r="AR397" s="4"/>
      <c r="AS397" s="3"/>
      <c r="AT397" s="4"/>
      <c r="AU397" s="3"/>
      <c r="AV397" s="4"/>
      <c r="AW397" s="3"/>
      <c r="AX397" s="4"/>
      <c r="AY397" s="3"/>
      <c r="AZ397" s="4"/>
      <c r="BA397" s="3"/>
      <c r="BB397" s="4"/>
      <c r="BC397" s="3"/>
      <c r="BD397" s="4"/>
      <c r="BE397" s="3"/>
      <c r="BF397" s="4"/>
      <c r="BG397" s="3"/>
      <c r="BH397" s="4"/>
      <c r="BI397" s="3"/>
      <c r="BJ397" s="4"/>
      <c r="BK397" s="3"/>
      <c r="BL397" s="4"/>
      <c r="BM397" s="3"/>
      <c r="BN397" s="4"/>
      <c r="BO397" s="3"/>
      <c r="BP397" s="4"/>
      <c r="BQ397" s="3"/>
      <c r="BR397" s="4"/>
      <c r="BS397" s="3"/>
      <c r="BT397" s="4"/>
      <c r="BU397" s="3"/>
      <c r="BV397" s="4"/>
      <c r="BW397" s="3"/>
      <c r="BX397" s="4"/>
      <c r="BY397" s="3"/>
      <c r="BZ397" s="4"/>
      <c r="CA397" s="3"/>
      <c r="CB397" s="4"/>
      <c r="CC397" s="3"/>
      <c r="CD397" s="4"/>
    </row>
    <row r="398">
      <c r="A398" s="3"/>
      <c r="B398" s="4"/>
      <c r="C398" s="3"/>
      <c r="D398" s="4"/>
      <c r="E398" s="3"/>
      <c r="F398" s="4"/>
      <c r="G398" s="3"/>
      <c r="H398" s="4"/>
      <c r="I398" s="3"/>
      <c r="J398" s="4"/>
      <c r="K398" s="3"/>
      <c r="L398" s="4"/>
      <c r="M398" s="3"/>
      <c r="N398" s="4"/>
      <c r="O398" s="3"/>
      <c r="P398" s="4"/>
      <c r="Q398" s="3"/>
      <c r="R398" s="4"/>
      <c r="S398" s="3"/>
      <c r="T398" s="4"/>
      <c r="U398" s="3"/>
      <c r="V398" s="4"/>
      <c r="W398" s="3"/>
      <c r="X398" s="4"/>
      <c r="Y398" s="3"/>
      <c r="Z398" s="4"/>
      <c r="AA398" s="3"/>
      <c r="AB398" s="4"/>
      <c r="AC398" s="3"/>
      <c r="AD398" s="4"/>
      <c r="AE398" s="3"/>
      <c r="AF398" s="4"/>
      <c r="AG398" s="3"/>
      <c r="AH398" s="4"/>
      <c r="AI398" s="3"/>
      <c r="AJ398" s="4"/>
      <c r="AK398" s="3"/>
      <c r="AL398" s="4"/>
      <c r="AM398" s="3"/>
      <c r="AN398" s="4"/>
      <c r="AO398" s="3"/>
      <c r="AP398" s="4"/>
      <c r="AQ398" s="3"/>
      <c r="AR398" s="4"/>
      <c r="AS398" s="3"/>
      <c r="AT398" s="4"/>
      <c r="AU398" s="3"/>
      <c r="AV398" s="4"/>
      <c r="AW398" s="3"/>
      <c r="AX398" s="4"/>
      <c r="AY398" s="3"/>
      <c r="AZ398" s="4"/>
      <c r="BA398" s="3"/>
      <c r="BB398" s="4"/>
      <c r="BC398" s="3"/>
      <c r="BD398" s="4"/>
      <c r="BE398" s="3"/>
      <c r="BF398" s="4"/>
      <c r="BG398" s="3"/>
      <c r="BH398" s="4"/>
      <c r="BI398" s="3"/>
      <c r="BJ398" s="4"/>
      <c r="BK398" s="3"/>
      <c r="BL398" s="4"/>
      <c r="BM398" s="3"/>
      <c r="BN398" s="4"/>
      <c r="BO398" s="3"/>
      <c r="BP398" s="4"/>
      <c r="BQ398" s="3"/>
      <c r="BR398" s="4"/>
      <c r="BS398" s="3"/>
      <c r="BT398" s="4"/>
      <c r="BU398" s="3"/>
      <c r="BV398" s="4"/>
      <c r="BW398" s="3"/>
      <c r="BX398" s="4"/>
      <c r="BY398" s="3"/>
      <c r="BZ398" s="4"/>
      <c r="CA398" s="3"/>
      <c r="CB398" s="4"/>
      <c r="CC398" s="3"/>
      <c r="CD398" s="4"/>
    </row>
    <row r="399">
      <c r="A399" s="3"/>
      <c r="B399" s="4"/>
      <c r="C399" s="3"/>
      <c r="D399" s="4"/>
      <c r="E399" s="3"/>
      <c r="F399" s="4"/>
      <c r="G399" s="3"/>
      <c r="H399" s="4"/>
      <c r="I399" s="3"/>
      <c r="J399" s="4"/>
      <c r="K399" s="3"/>
      <c r="L399" s="4"/>
      <c r="M399" s="3"/>
      <c r="N399" s="4"/>
      <c r="O399" s="3"/>
      <c r="P399" s="4"/>
      <c r="Q399" s="3"/>
      <c r="R399" s="4"/>
      <c r="S399" s="3"/>
      <c r="T399" s="4"/>
      <c r="U399" s="3"/>
      <c r="V399" s="4"/>
      <c r="W399" s="3"/>
      <c r="X399" s="4"/>
      <c r="Y399" s="3"/>
      <c r="Z399" s="4"/>
      <c r="AA399" s="3"/>
      <c r="AB399" s="4"/>
      <c r="AC399" s="3"/>
      <c r="AD399" s="4"/>
      <c r="AE399" s="3"/>
      <c r="AF399" s="4"/>
      <c r="AG399" s="3"/>
      <c r="AH399" s="4"/>
      <c r="AI399" s="3"/>
      <c r="AJ399" s="4"/>
      <c r="AK399" s="3"/>
      <c r="AL399" s="4"/>
      <c r="AM399" s="3"/>
      <c r="AN399" s="4"/>
      <c r="AO399" s="3"/>
      <c r="AP399" s="4"/>
      <c r="AQ399" s="3"/>
      <c r="AR399" s="4"/>
      <c r="AS399" s="3"/>
      <c r="AT399" s="4"/>
      <c r="AU399" s="3"/>
      <c r="AV399" s="4"/>
      <c r="AW399" s="3"/>
      <c r="AX399" s="4"/>
      <c r="AY399" s="3"/>
      <c r="AZ399" s="4"/>
      <c r="BA399" s="3"/>
      <c r="BB399" s="4"/>
      <c r="BC399" s="3"/>
      <c r="BD399" s="4"/>
      <c r="BE399" s="3"/>
      <c r="BF399" s="4"/>
      <c r="BG399" s="3"/>
      <c r="BH399" s="4"/>
      <c r="BI399" s="3"/>
      <c r="BJ399" s="4"/>
      <c r="BK399" s="3"/>
      <c r="BL399" s="4"/>
      <c r="BM399" s="3"/>
      <c r="BN399" s="4"/>
      <c r="BO399" s="3"/>
      <c r="BP399" s="4"/>
      <c r="BQ399" s="3"/>
      <c r="BR399" s="4"/>
      <c r="BS399" s="3"/>
      <c r="BT399" s="4"/>
      <c r="BU399" s="3"/>
      <c r="BV399" s="4"/>
      <c r="BW399" s="3"/>
      <c r="BX399" s="4"/>
      <c r="BY399" s="3"/>
      <c r="BZ399" s="4"/>
      <c r="CA399" s="3"/>
      <c r="CB399" s="4"/>
      <c r="CC399" s="3"/>
      <c r="CD399" s="4"/>
    </row>
    <row r="400">
      <c r="A400" s="3"/>
      <c r="B400" s="4"/>
      <c r="C400" s="3"/>
      <c r="D400" s="4"/>
      <c r="E400" s="3"/>
      <c r="F400" s="4"/>
      <c r="G400" s="3"/>
      <c r="H400" s="4"/>
      <c r="I400" s="3"/>
      <c r="J400" s="4"/>
      <c r="K400" s="3"/>
      <c r="L400" s="4"/>
      <c r="M400" s="3"/>
      <c r="N400" s="4"/>
      <c r="O400" s="3"/>
      <c r="P400" s="4"/>
      <c r="Q400" s="3"/>
      <c r="R400" s="4"/>
      <c r="S400" s="3"/>
      <c r="T400" s="4"/>
      <c r="U400" s="3"/>
      <c r="V400" s="4"/>
      <c r="W400" s="3"/>
      <c r="X400" s="4"/>
      <c r="Y400" s="3"/>
      <c r="Z400" s="4"/>
      <c r="AA400" s="3"/>
      <c r="AB400" s="4"/>
      <c r="AC400" s="3"/>
      <c r="AD400" s="4"/>
      <c r="AE400" s="3"/>
      <c r="AF400" s="4"/>
      <c r="AG400" s="3"/>
      <c r="AH400" s="4"/>
      <c r="AI400" s="3"/>
      <c r="AJ400" s="4"/>
      <c r="AK400" s="3"/>
      <c r="AL400" s="4"/>
      <c r="AM400" s="3"/>
      <c r="AN400" s="4"/>
      <c r="AO400" s="3"/>
      <c r="AP400" s="4"/>
      <c r="AQ400" s="3"/>
      <c r="AR400" s="4"/>
      <c r="AS400" s="3"/>
      <c r="AT400" s="4"/>
      <c r="AU400" s="3"/>
      <c r="AV400" s="4"/>
      <c r="AW400" s="3"/>
      <c r="AX400" s="4"/>
      <c r="AY400" s="3"/>
      <c r="AZ400" s="4"/>
      <c r="BA400" s="3"/>
      <c r="BB400" s="4"/>
      <c r="BC400" s="3"/>
      <c r="BD400" s="4"/>
      <c r="BE400" s="3"/>
      <c r="BF400" s="4"/>
      <c r="BG400" s="3"/>
      <c r="BH400" s="4"/>
      <c r="BI400" s="3"/>
      <c r="BJ400" s="4"/>
      <c r="BK400" s="3"/>
      <c r="BL400" s="4"/>
      <c r="BM400" s="3"/>
      <c r="BN400" s="4"/>
      <c r="BO400" s="3"/>
      <c r="BP400" s="4"/>
      <c r="BQ400" s="3"/>
      <c r="BR400" s="4"/>
      <c r="BS400" s="3"/>
      <c r="BT400" s="4"/>
      <c r="BU400" s="3"/>
      <c r="BV400" s="4"/>
      <c r="BW400" s="3"/>
      <c r="BX400" s="4"/>
      <c r="BY400" s="3"/>
      <c r="BZ400" s="4"/>
      <c r="CA400" s="3"/>
      <c r="CB400" s="4"/>
      <c r="CC400" s="3"/>
      <c r="CD400" s="4"/>
    </row>
    <row r="401">
      <c r="A401" s="3"/>
      <c r="B401" s="4"/>
      <c r="C401" s="3"/>
      <c r="D401" s="4"/>
      <c r="E401" s="3"/>
      <c r="F401" s="4"/>
      <c r="G401" s="3"/>
      <c r="H401" s="4"/>
      <c r="I401" s="3"/>
      <c r="J401" s="4"/>
      <c r="K401" s="3"/>
      <c r="L401" s="4"/>
      <c r="M401" s="3"/>
      <c r="N401" s="4"/>
      <c r="O401" s="3"/>
      <c r="P401" s="4"/>
      <c r="Q401" s="3"/>
      <c r="R401" s="4"/>
      <c r="S401" s="3"/>
      <c r="T401" s="4"/>
      <c r="U401" s="3"/>
      <c r="V401" s="4"/>
      <c r="W401" s="3"/>
      <c r="X401" s="4"/>
      <c r="Y401" s="3"/>
      <c r="Z401" s="4"/>
      <c r="AA401" s="3"/>
      <c r="AB401" s="4"/>
      <c r="AC401" s="3"/>
      <c r="AD401" s="4"/>
      <c r="AE401" s="3"/>
      <c r="AF401" s="4"/>
      <c r="AG401" s="3"/>
      <c r="AH401" s="4"/>
      <c r="AI401" s="3"/>
      <c r="AJ401" s="4"/>
      <c r="AK401" s="3"/>
      <c r="AL401" s="4"/>
      <c r="AM401" s="3"/>
      <c r="AN401" s="4"/>
      <c r="AO401" s="3"/>
      <c r="AP401" s="4"/>
      <c r="AQ401" s="3"/>
      <c r="AR401" s="4"/>
      <c r="AS401" s="3"/>
      <c r="AT401" s="4"/>
      <c r="AU401" s="3"/>
      <c r="AV401" s="4"/>
      <c r="AW401" s="3"/>
      <c r="AX401" s="4"/>
      <c r="AY401" s="3"/>
      <c r="AZ401" s="4"/>
      <c r="BA401" s="3"/>
      <c r="BB401" s="4"/>
      <c r="BC401" s="3"/>
      <c r="BD401" s="4"/>
      <c r="BE401" s="3"/>
      <c r="BF401" s="4"/>
      <c r="BG401" s="3"/>
      <c r="BH401" s="4"/>
      <c r="BI401" s="3"/>
      <c r="BJ401" s="4"/>
      <c r="BK401" s="3"/>
      <c r="BL401" s="4"/>
      <c r="BM401" s="3"/>
      <c r="BN401" s="4"/>
      <c r="BO401" s="3"/>
      <c r="BP401" s="4"/>
      <c r="BQ401" s="3"/>
      <c r="BR401" s="4"/>
      <c r="BS401" s="3"/>
      <c r="BT401" s="4"/>
      <c r="BU401" s="3"/>
      <c r="BV401" s="4"/>
      <c r="BW401" s="3"/>
      <c r="BX401" s="4"/>
      <c r="BY401" s="3"/>
      <c r="BZ401" s="4"/>
      <c r="CA401" s="3"/>
      <c r="CB401" s="4"/>
      <c r="CC401" s="3"/>
      <c r="CD401" s="4"/>
    </row>
    <row r="402">
      <c r="A402" s="3"/>
      <c r="B402" s="4"/>
      <c r="C402" s="3"/>
      <c r="D402" s="4"/>
      <c r="E402" s="3"/>
      <c r="F402" s="4"/>
      <c r="G402" s="3"/>
      <c r="H402" s="4"/>
      <c r="I402" s="3"/>
      <c r="J402" s="4"/>
      <c r="K402" s="3"/>
      <c r="L402" s="4"/>
      <c r="M402" s="3"/>
      <c r="N402" s="4"/>
      <c r="O402" s="3"/>
      <c r="P402" s="4"/>
      <c r="Q402" s="3"/>
      <c r="R402" s="4"/>
      <c r="S402" s="3"/>
      <c r="T402" s="4"/>
      <c r="U402" s="3"/>
      <c r="V402" s="4"/>
      <c r="W402" s="3"/>
      <c r="X402" s="4"/>
      <c r="Y402" s="3"/>
      <c r="Z402" s="4"/>
      <c r="AA402" s="3"/>
      <c r="AB402" s="4"/>
      <c r="AC402" s="3"/>
      <c r="AD402" s="4"/>
      <c r="AE402" s="3"/>
      <c r="AF402" s="4"/>
      <c r="AG402" s="3"/>
      <c r="AH402" s="4"/>
      <c r="AI402" s="3"/>
      <c r="AJ402" s="4"/>
      <c r="AK402" s="3"/>
      <c r="AL402" s="4"/>
      <c r="AM402" s="3"/>
      <c r="AN402" s="4"/>
      <c r="AO402" s="3"/>
      <c r="AP402" s="4"/>
      <c r="AQ402" s="3"/>
      <c r="AR402" s="4"/>
      <c r="AS402" s="3"/>
      <c r="AT402" s="4"/>
      <c r="AU402" s="3"/>
      <c r="AV402" s="4"/>
      <c r="AW402" s="3"/>
      <c r="AX402" s="4"/>
      <c r="AY402" s="3"/>
      <c r="AZ402" s="4"/>
      <c r="BA402" s="3"/>
      <c r="BB402" s="4"/>
      <c r="BC402" s="3"/>
      <c r="BD402" s="4"/>
      <c r="BE402" s="3"/>
      <c r="BF402" s="4"/>
      <c r="BG402" s="3"/>
      <c r="BH402" s="4"/>
      <c r="BI402" s="3"/>
      <c r="BJ402" s="4"/>
      <c r="BK402" s="3"/>
      <c r="BL402" s="4"/>
      <c r="BM402" s="3"/>
      <c r="BN402" s="4"/>
      <c r="BO402" s="3"/>
      <c r="BP402" s="4"/>
      <c r="BQ402" s="3"/>
      <c r="BR402" s="4"/>
      <c r="BS402" s="3"/>
      <c r="BT402" s="4"/>
      <c r="BU402" s="3"/>
      <c r="BV402" s="4"/>
      <c r="BW402" s="3"/>
      <c r="BX402" s="4"/>
      <c r="BY402" s="3"/>
      <c r="BZ402" s="4"/>
      <c r="CA402" s="3"/>
      <c r="CB402" s="4"/>
      <c r="CC402" s="3"/>
      <c r="CD402" s="4"/>
    </row>
    <row r="403">
      <c r="A403" s="3"/>
      <c r="B403" s="4"/>
      <c r="C403" s="3"/>
      <c r="D403" s="4"/>
      <c r="E403" s="3"/>
      <c r="F403" s="4"/>
      <c r="G403" s="3"/>
      <c r="H403" s="4"/>
      <c r="I403" s="3"/>
      <c r="J403" s="4"/>
      <c r="K403" s="3"/>
      <c r="L403" s="4"/>
      <c r="M403" s="3"/>
      <c r="N403" s="4"/>
      <c r="O403" s="3"/>
      <c r="P403" s="4"/>
      <c r="Q403" s="3"/>
      <c r="R403" s="4"/>
      <c r="S403" s="3"/>
      <c r="T403" s="4"/>
      <c r="U403" s="3"/>
      <c r="V403" s="4"/>
      <c r="W403" s="3"/>
      <c r="X403" s="4"/>
      <c r="Y403" s="3"/>
      <c r="Z403" s="4"/>
      <c r="AA403" s="3"/>
      <c r="AB403" s="4"/>
      <c r="AC403" s="3"/>
      <c r="AD403" s="4"/>
      <c r="AE403" s="3"/>
      <c r="AF403" s="4"/>
      <c r="AG403" s="3"/>
      <c r="AH403" s="4"/>
      <c r="AI403" s="3"/>
      <c r="AJ403" s="4"/>
      <c r="AK403" s="3"/>
      <c r="AL403" s="4"/>
      <c r="AM403" s="3"/>
      <c r="AN403" s="4"/>
      <c r="AO403" s="3"/>
      <c r="AP403" s="4"/>
      <c r="AQ403" s="3"/>
      <c r="AR403" s="4"/>
      <c r="AS403" s="3"/>
      <c r="AT403" s="4"/>
      <c r="AU403" s="3"/>
      <c r="AV403" s="4"/>
      <c r="AW403" s="3"/>
      <c r="AX403" s="4"/>
      <c r="AY403" s="3"/>
      <c r="AZ403" s="4"/>
      <c r="BA403" s="3"/>
      <c r="BB403" s="4"/>
      <c r="BC403" s="3"/>
      <c r="BD403" s="4"/>
      <c r="BE403" s="3"/>
      <c r="BF403" s="4"/>
      <c r="BG403" s="3"/>
      <c r="BH403" s="4"/>
      <c r="BI403" s="3"/>
      <c r="BJ403" s="4"/>
      <c r="BK403" s="3"/>
      <c r="BL403" s="4"/>
      <c r="BM403" s="3"/>
      <c r="BN403" s="4"/>
      <c r="BO403" s="3"/>
      <c r="BP403" s="4"/>
      <c r="BQ403" s="3"/>
      <c r="BR403" s="4"/>
      <c r="BS403" s="3"/>
      <c r="BT403" s="4"/>
      <c r="BU403" s="3"/>
      <c r="BV403" s="4"/>
      <c r="BW403" s="3"/>
      <c r="BX403" s="4"/>
      <c r="BY403" s="3"/>
      <c r="BZ403" s="4"/>
      <c r="CA403" s="3"/>
      <c r="CB403" s="4"/>
      <c r="CC403" s="3"/>
      <c r="CD403" s="4"/>
    </row>
    <row r="404">
      <c r="A404" s="3"/>
      <c r="B404" s="4"/>
      <c r="C404" s="3"/>
      <c r="D404" s="4"/>
      <c r="E404" s="3"/>
      <c r="F404" s="4"/>
      <c r="G404" s="3"/>
      <c r="H404" s="4"/>
      <c r="I404" s="3"/>
      <c r="J404" s="4"/>
      <c r="K404" s="3"/>
      <c r="L404" s="4"/>
      <c r="M404" s="3"/>
      <c r="N404" s="4"/>
      <c r="O404" s="3"/>
      <c r="P404" s="4"/>
      <c r="Q404" s="3"/>
      <c r="R404" s="4"/>
      <c r="S404" s="3"/>
      <c r="T404" s="4"/>
      <c r="U404" s="3"/>
      <c r="V404" s="4"/>
      <c r="W404" s="3"/>
      <c r="X404" s="4"/>
      <c r="Y404" s="3"/>
      <c r="Z404" s="4"/>
      <c r="AA404" s="3"/>
      <c r="AB404" s="4"/>
      <c r="AC404" s="3"/>
      <c r="AD404" s="4"/>
      <c r="AE404" s="3"/>
      <c r="AF404" s="4"/>
      <c r="AG404" s="3"/>
      <c r="AH404" s="4"/>
      <c r="AI404" s="3"/>
      <c r="AJ404" s="4"/>
      <c r="AK404" s="3"/>
      <c r="AL404" s="4"/>
      <c r="AM404" s="3"/>
      <c r="AN404" s="4"/>
      <c r="AO404" s="3"/>
      <c r="AP404" s="4"/>
      <c r="AQ404" s="3"/>
      <c r="AR404" s="4"/>
      <c r="AS404" s="3"/>
      <c r="AT404" s="4"/>
      <c r="AU404" s="3"/>
      <c r="AV404" s="4"/>
      <c r="AW404" s="3"/>
      <c r="AX404" s="4"/>
      <c r="AY404" s="3"/>
      <c r="AZ404" s="4"/>
      <c r="BA404" s="3"/>
      <c r="BB404" s="4"/>
      <c r="BC404" s="3"/>
      <c r="BD404" s="4"/>
      <c r="BE404" s="3"/>
      <c r="BF404" s="4"/>
      <c r="BG404" s="3"/>
      <c r="BH404" s="4"/>
      <c r="BI404" s="3"/>
      <c r="BJ404" s="4"/>
      <c r="BK404" s="3"/>
      <c r="BL404" s="4"/>
      <c r="BM404" s="3"/>
      <c r="BN404" s="4"/>
      <c r="BO404" s="3"/>
      <c r="BP404" s="4"/>
      <c r="BQ404" s="3"/>
      <c r="BR404" s="4"/>
      <c r="BS404" s="3"/>
      <c r="BT404" s="4"/>
      <c r="BU404" s="3"/>
      <c r="BV404" s="4"/>
      <c r="BW404" s="3"/>
      <c r="BX404" s="4"/>
      <c r="BY404" s="3"/>
      <c r="BZ404" s="4"/>
      <c r="CA404" s="3"/>
      <c r="CB404" s="4"/>
      <c r="CC404" s="3"/>
      <c r="CD404" s="4"/>
    </row>
    <row r="405">
      <c r="A405" s="3"/>
      <c r="B405" s="4"/>
      <c r="C405" s="3"/>
      <c r="D405" s="4"/>
      <c r="E405" s="3"/>
      <c r="F405" s="4"/>
      <c r="G405" s="3"/>
      <c r="H405" s="4"/>
      <c r="I405" s="3"/>
      <c r="J405" s="4"/>
      <c r="K405" s="3"/>
      <c r="L405" s="4"/>
      <c r="M405" s="3"/>
      <c r="N405" s="4"/>
      <c r="O405" s="3"/>
      <c r="P405" s="4"/>
      <c r="Q405" s="3"/>
      <c r="R405" s="4"/>
      <c r="S405" s="3"/>
      <c r="T405" s="4"/>
      <c r="U405" s="3"/>
      <c r="V405" s="4"/>
      <c r="W405" s="3"/>
      <c r="X405" s="4"/>
      <c r="Y405" s="3"/>
      <c r="Z405" s="4"/>
      <c r="AA405" s="3"/>
      <c r="AB405" s="4"/>
      <c r="AC405" s="3"/>
      <c r="AD405" s="4"/>
      <c r="AE405" s="3"/>
      <c r="AF405" s="4"/>
      <c r="AG405" s="3"/>
      <c r="AH405" s="4"/>
      <c r="AI405" s="3"/>
      <c r="AJ405" s="4"/>
      <c r="AK405" s="3"/>
      <c r="AL405" s="4"/>
      <c r="AM405" s="3"/>
      <c r="AN405" s="4"/>
      <c r="AO405" s="3"/>
      <c r="AP405" s="4"/>
      <c r="AQ405" s="3"/>
      <c r="AR405" s="4"/>
      <c r="AS405" s="3"/>
      <c r="AT405" s="4"/>
      <c r="AU405" s="3"/>
      <c r="AV405" s="4"/>
      <c r="AW405" s="3"/>
      <c r="AX405" s="4"/>
      <c r="AY405" s="3"/>
      <c r="AZ405" s="4"/>
      <c r="BA405" s="3"/>
      <c r="BB405" s="4"/>
      <c r="BC405" s="3"/>
      <c r="BD405" s="4"/>
      <c r="BE405" s="3"/>
      <c r="BF405" s="4"/>
      <c r="BG405" s="3"/>
      <c r="BH405" s="4"/>
      <c r="BI405" s="3"/>
      <c r="BJ405" s="4"/>
      <c r="BK405" s="3"/>
      <c r="BL405" s="4"/>
      <c r="BM405" s="3"/>
      <c r="BN405" s="4"/>
      <c r="BO405" s="3"/>
      <c r="BP405" s="4"/>
      <c r="BQ405" s="3"/>
      <c r="BR405" s="4"/>
      <c r="BS405" s="3"/>
      <c r="BT405" s="4"/>
      <c r="BU405" s="3"/>
      <c r="BV405" s="4"/>
      <c r="BW405" s="3"/>
      <c r="BX405" s="4"/>
      <c r="BY405" s="3"/>
      <c r="BZ405" s="4"/>
      <c r="CA405" s="3"/>
      <c r="CB405" s="4"/>
      <c r="CC405" s="3"/>
      <c r="CD405" s="4"/>
    </row>
    <row r="406">
      <c r="A406" s="3"/>
      <c r="B406" s="4"/>
      <c r="C406" s="3"/>
      <c r="D406" s="4"/>
      <c r="E406" s="3"/>
      <c r="F406" s="4"/>
      <c r="G406" s="3"/>
      <c r="H406" s="4"/>
      <c r="I406" s="3"/>
      <c r="J406" s="4"/>
      <c r="K406" s="3"/>
      <c r="L406" s="4"/>
      <c r="M406" s="3"/>
      <c r="N406" s="4"/>
      <c r="O406" s="3"/>
      <c r="P406" s="4"/>
      <c r="Q406" s="3"/>
      <c r="R406" s="4"/>
      <c r="S406" s="3"/>
      <c r="T406" s="4"/>
      <c r="U406" s="3"/>
      <c r="V406" s="4"/>
      <c r="W406" s="3"/>
      <c r="X406" s="4"/>
      <c r="Y406" s="3"/>
      <c r="Z406" s="4"/>
      <c r="AA406" s="3"/>
      <c r="AB406" s="4"/>
      <c r="AC406" s="3"/>
      <c r="AD406" s="4"/>
      <c r="AE406" s="3"/>
      <c r="AF406" s="4"/>
      <c r="AG406" s="3"/>
      <c r="AH406" s="4"/>
      <c r="AI406" s="3"/>
      <c r="AJ406" s="4"/>
      <c r="AK406" s="3"/>
      <c r="AL406" s="4"/>
      <c r="AM406" s="3"/>
      <c r="AN406" s="4"/>
      <c r="AO406" s="3"/>
      <c r="AP406" s="4"/>
      <c r="AQ406" s="3"/>
      <c r="AR406" s="4"/>
      <c r="AS406" s="3"/>
      <c r="AT406" s="4"/>
      <c r="AU406" s="3"/>
      <c r="AV406" s="4"/>
      <c r="AW406" s="3"/>
      <c r="AX406" s="4"/>
      <c r="AY406" s="3"/>
      <c r="AZ406" s="4"/>
      <c r="BA406" s="3"/>
      <c r="BB406" s="4"/>
      <c r="BC406" s="3"/>
      <c r="BD406" s="4"/>
      <c r="BE406" s="3"/>
      <c r="BF406" s="4"/>
      <c r="BG406" s="3"/>
      <c r="BH406" s="4"/>
      <c r="BI406" s="3"/>
      <c r="BJ406" s="4"/>
      <c r="BK406" s="3"/>
      <c r="BL406" s="4"/>
      <c r="BM406" s="3"/>
      <c r="BN406" s="4"/>
      <c r="BO406" s="3"/>
      <c r="BP406" s="4"/>
      <c r="BQ406" s="3"/>
      <c r="BR406" s="4"/>
      <c r="BS406" s="3"/>
      <c r="BT406" s="4"/>
      <c r="BU406" s="3"/>
      <c r="BV406" s="4"/>
      <c r="BW406" s="3"/>
      <c r="BX406" s="4"/>
      <c r="BY406" s="3"/>
      <c r="BZ406" s="4"/>
      <c r="CA406" s="3"/>
      <c r="CB406" s="4"/>
      <c r="CC406" s="3"/>
      <c r="CD406" s="4"/>
    </row>
    <row r="407">
      <c r="A407" s="3"/>
      <c r="B407" s="4"/>
      <c r="C407" s="3"/>
      <c r="D407" s="4"/>
      <c r="E407" s="3"/>
      <c r="F407" s="4"/>
      <c r="G407" s="3"/>
      <c r="H407" s="4"/>
      <c r="I407" s="3"/>
      <c r="J407" s="4"/>
      <c r="K407" s="3"/>
      <c r="L407" s="4"/>
      <c r="M407" s="3"/>
      <c r="N407" s="4"/>
      <c r="O407" s="3"/>
      <c r="P407" s="4"/>
      <c r="Q407" s="3"/>
      <c r="R407" s="4"/>
      <c r="S407" s="3"/>
      <c r="T407" s="4"/>
      <c r="U407" s="3"/>
      <c r="V407" s="4"/>
      <c r="W407" s="3"/>
      <c r="X407" s="4"/>
      <c r="Y407" s="3"/>
      <c r="Z407" s="4"/>
      <c r="AA407" s="3"/>
      <c r="AB407" s="4"/>
      <c r="AC407" s="3"/>
      <c r="AD407" s="4"/>
      <c r="AE407" s="3"/>
      <c r="AF407" s="4"/>
      <c r="AG407" s="3"/>
      <c r="AH407" s="4"/>
      <c r="AI407" s="3"/>
      <c r="AJ407" s="4"/>
      <c r="AK407" s="3"/>
      <c r="AL407" s="4"/>
      <c r="AM407" s="3"/>
      <c r="AN407" s="4"/>
      <c r="AO407" s="3"/>
      <c r="AP407" s="4"/>
      <c r="AQ407" s="3"/>
      <c r="AR407" s="4"/>
      <c r="AS407" s="3"/>
      <c r="AT407" s="4"/>
      <c r="AU407" s="3"/>
      <c r="AV407" s="4"/>
      <c r="AW407" s="3"/>
      <c r="AX407" s="4"/>
      <c r="AY407" s="3"/>
      <c r="AZ407" s="4"/>
      <c r="BA407" s="3"/>
      <c r="BB407" s="4"/>
      <c r="BC407" s="3"/>
      <c r="BD407" s="4"/>
      <c r="BE407" s="3"/>
      <c r="BF407" s="4"/>
      <c r="BG407" s="3"/>
      <c r="BH407" s="4"/>
      <c r="BI407" s="3"/>
      <c r="BJ407" s="4"/>
      <c r="BK407" s="3"/>
      <c r="BL407" s="4"/>
      <c r="BM407" s="3"/>
      <c r="BN407" s="4"/>
      <c r="BO407" s="3"/>
      <c r="BP407" s="4"/>
      <c r="BQ407" s="3"/>
      <c r="BR407" s="4"/>
      <c r="BS407" s="3"/>
      <c r="BT407" s="4"/>
      <c r="BU407" s="3"/>
      <c r="BV407" s="4"/>
      <c r="BW407" s="3"/>
      <c r="BX407" s="4"/>
      <c r="BY407" s="3"/>
      <c r="BZ407" s="4"/>
      <c r="CA407" s="3"/>
      <c r="CB407" s="4"/>
      <c r="CC407" s="3"/>
      <c r="CD407" s="4"/>
    </row>
    <row r="408">
      <c r="A408" s="3"/>
      <c r="B408" s="4"/>
      <c r="C408" s="3"/>
      <c r="D408" s="4"/>
      <c r="E408" s="3"/>
      <c r="F408" s="4"/>
      <c r="G408" s="3"/>
      <c r="H408" s="4"/>
      <c r="I408" s="3"/>
      <c r="J408" s="4"/>
      <c r="K408" s="3"/>
      <c r="L408" s="4"/>
      <c r="M408" s="3"/>
      <c r="N408" s="4"/>
      <c r="O408" s="3"/>
      <c r="P408" s="4"/>
      <c r="Q408" s="3"/>
      <c r="R408" s="4"/>
      <c r="S408" s="3"/>
      <c r="T408" s="4"/>
      <c r="U408" s="3"/>
      <c r="V408" s="4"/>
      <c r="W408" s="3"/>
      <c r="X408" s="4"/>
      <c r="Y408" s="3"/>
      <c r="Z408" s="4"/>
      <c r="AA408" s="3"/>
      <c r="AB408" s="4"/>
      <c r="AC408" s="3"/>
      <c r="AD408" s="4"/>
      <c r="AE408" s="3"/>
      <c r="AF408" s="4"/>
      <c r="AG408" s="3"/>
      <c r="AH408" s="4"/>
      <c r="AI408" s="3"/>
      <c r="AJ408" s="4"/>
      <c r="AK408" s="3"/>
      <c r="AL408" s="4"/>
      <c r="AM408" s="3"/>
      <c r="AN408" s="4"/>
      <c r="AO408" s="3"/>
      <c r="AP408" s="4"/>
      <c r="AQ408" s="3"/>
      <c r="AR408" s="4"/>
      <c r="AS408" s="3"/>
      <c r="AT408" s="4"/>
      <c r="AU408" s="3"/>
      <c r="AV408" s="4"/>
      <c r="AW408" s="3"/>
      <c r="AX408" s="4"/>
      <c r="AY408" s="3"/>
      <c r="AZ408" s="4"/>
      <c r="BA408" s="3"/>
      <c r="BB408" s="4"/>
      <c r="BC408" s="3"/>
      <c r="BD408" s="4"/>
      <c r="BE408" s="3"/>
      <c r="BF408" s="4"/>
      <c r="BG408" s="3"/>
      <c r="BH408" s="4"/>
      <c r="BI408" s="3"/>
      <c r="BJ408" s="4"/>
      <c r="BK408" s="3"/>
      <c r="BL408" s="4"/>
      <c r="BM408" s="3"/>
      <c r="BN408" s="4"/>
      <c r="BO408" s="3"/>
      <c r="BP408" s="4"/>
      <c r="BQ408" s="3"/>
      <c r="BR408" s="4"/>
      <c r="BS408" s="3"/>
      <c r="BT408" s="4"/>
      <c r="BU408" s="3"/>
      <c r="BV408" s="4"/>
      <c r="BW408" s="3"/>
      <c r="BX408" s="4"/>
      <c r="BY408" s="3"/>
      <c r="BZ408" s="4"/>
      <c r="CA408" s="3"/>
      <c r="CB408" s="4"/>
      <c r="CC408" s="3"/>
      <c r="CD408" s="4"/>
    </row>
    <row r="409">
      <c r="A409" s="3"/>
      <c r="B409" s="4"/>
      <c r="C409" s="3"/>
      <c r="D409" s="4"/>
      <c r="E409" s="3"/>
      <c r="F409" s="4"/>
      <c r="G409" s="3"/>
      <c r="H409" s="4"/>
      <c r="I409" s="3"/>
      <c r="J409" s="4"/>
      <c r="K409" s="3"/>
      <c r="L409" s="4"/>
      <c r="M409" s="3"/>
      <c r="N409" s="4"/>
      <c r="O409" s="3"/>
      <c r="P409" s="4"/>
      <c r="Q409" s="3"/>
      <c r="R409" s="4"/>
      <c r="S409" s="3"/>
      <c r="T409" s="4"/>
      <c r="U409" s="3"/>
      <c r="V409" s="4"/>
      <c r="W409" s="3"/>
      <c r="X409" s="4"/>
      <c r="Y409" s="3"/>
      <c r="Z409" s="4"/>
      <c r="AA409" s="3"/>
      <c r="AB409" s="4"/>
      <c r="AC409" s="3"/>
      <c r="AD409" s="4"/>
      <c r="AE409" s="3"/>
      <c r="AF409" s="4"/>
      <c r="AG409" s="3"/>
      <c r="AH409" s="4"/>
      <c r="AI409" s="3"/>
      <c r="AJ409" s="4"/>
      <c r="AK409" s="3"/>
      <c r="AL409" s="4"/>
      <c r="AM409" s="3"/>
      <c r="AN409" s="4"/>
      <c r="AO409" s="3"/>
      <c r="AP409" s="4"/>
      <c r="AQ409" s="3"/>
      <c r="AR409" s="4"/>
      <c r="AS409" s="3"/>
      <c r="AT409" s="4"/>
      <c r="AU409" s="3"/>
      <c r="AV409" s="4"/>
      <c r="AW409" s="3"/>
      <c r="AX409" s="4"/>
      <c r="AY409" s="3"/>
      <c r="AZ409" s="4"/>
      <c r="BA409" s="3"/>
      <c r="BB409" s="4"/>
      <c r="BC409" s="3"/>
      <c r="BD409" s="4"/>
      <c r="BE409" s="3"/>
      <c r="BF409" s="4"/>
      <c r="BG409" s="3"/>
      <c r="BH409" s="4"/>
      <c r="BI409" s="3"/>
      <c r="BJ409" s="4"/>
      <c r="BK409" s="3"/>
      <c r="BL409" s="4"/>
      <c r="BM409" s="3"/>
      <c r="BN409" s="4"/>
      <c r="BO409" s="3"/>
      <c r="BP409" s="4"/>
      <c r="BQ409" s="3"/>
      <c r="BR409" s="4"/>
      <c r="BS409" s="3"/>
      <c r="BT409" s="4"/>
      <c r="BU409" s="3"/>
      <c r="BV409" s="4"/>
      <c r="BW409" s="3"/>
      <c r="BX409" s="4"/>
      <c r="BY409" s="3"/>
      <c r="BZ409" s="4"/>
      <c r="CA409" s="3"/>
      <c r="CB409" s="4"/>
      <c r="CC409" s="3"/>
      <c r="CD409" s="4"/>
    </row>
    <row r="410">
      <c r="A410" s="3"/>
      <c r="B410" s="4"/>
      <c r="C410" s="3"/>
      <c r="D410" s="4"/>
      <c r="E410" s="3"/>
      <c r="F410" s="4"/>
      <c r="G410" s="3"/>
      <c r="H410" s="4"/>
      <c r="I410" s="3"/>
      <c r="J410" s="4"/>
      <c r="K410" s="3"/>
      <c r="L410" s="4"/>
      <c r="M410" s="3"/>
      <c r="N410" s="4"/>
      <c r="O410" s="3"/>
      <c r="P410" s="4"/>
      <c r="Q410" s="3"/>
      <c r="R410" s="4"/>
      <c r="S410" s="3"/>
      <c r="T410" s="4"/>
      <c r="U410" s="3"/>
      <c r="V410" s="4"/>
      <c r="W410" s="3"/>
      <c r="X410" s="4"/>
      <c r="Y410" s="3"/>
      <c r="Z410" s="4"/>
      <c r="AA410" s="3"/>
      <c r="AB410" s="4"/>
      <c r="AC410" s="3"/>
      <c r="AD410" s="4"/>
      <c r="AE410" s="3"/>
      <c r="AF410" s="4"/>
      <c r="AG410" s="3"/>
      <c r="AH410" s="4"/>
      <c r="AI410" s="3"/>
      <c r="AJ410" s="4"/>
      <c r="AK410" s="3"/>
      <c r="AL410" s="4"/>
      <c r="AM410" s="3"/>
      <c r="AN410" s="4"/>
      <c r="AO410" s="3"/>
      <c r="AP410" s="4"/>
      <c r="AQ410" s="3"/>
      <c r="AR410" s="4"/>
      <c r="AS410" s="3"/>
      <c r="AT410" s="4"/>
      <c r="AU410" s="3"/>
      <c r="AV410" s="4"/>
      <c r="AW410" s="3"/>
      <c r="AX410" s="4"/>
      <c r="AY410" s="3"/>
      <c r="AZ410" s="4"/>
      <c r="BA410" s="3"/>
      <c r="BB410" s="4"/>
      <c r="BC410" s="3"/>
      <c r="BD410" s="4"/>
      <c r="BE410" s="3"/>
      <c r="BF410" s="4"/>
      <c r="BG410" s="3"/>
      <c r="BH410" s="4"/>
      <c r="BI410" s="3"/>
      <c r="BJ410" s="4"/>
      <c r="BK410" s="3"/>
      <c r="BL410" s="4"/>
      <c r="BM410" s="3"/>
      <c r="BN410" s="4"/>
      <c r="BO410" s="3"/>
      <c r="BP410" s="4"/>
      <c r="BQ410" s="3"/>
      <c r="BR410" s="4"/>
      <c r="BS410" s="3"/>
      <c r="BT410" s="4"/>
      <c r="BU410" s="3"/>
      <c r="BV410" s="4"/>
      <c r="BW410" s="3"/>
      <c r="BX410" s="4"/>
      <c r="BY410" s="3"/>
      <c r="BZ410" s="4"/>
      <c r="CA410" s="3"/>
      <c r="CB410" s="4"/>
      <c r="CC410" s="3"/>
      <c r="CD410" s="4"/>
    </row>
    <row r="411">
      <c r="A411" s="3"/>
      <c r="B411" s="4"/>
      <c r="C411" s="3"/>
      <c r="D411" s="4"/>
      <c r="E411" s="3"/>
      <c r="F411" s="4"/>
      <c r="G411" s="3"/>
      <c r="H411" s="4"/>
      <c r="I411" s="3"/>
      <c r="J411" s="4"/>
      <c r="K411" s="3"/>
      <c r="L411" s="4"/>
      <c r="M411" s="3"/>
      <c r="N411" s="4"/>
      <c r="O411" s="3"/>
      <c r="P411" s="4"/>
      <c r="Q411" s="3"/>
      <c r="R411" s="4"/>
      <c r="S411" s="3"/>
      <c r="T411" s="4"/>
      <c r="U411" s="3"/>
      <c r="V411" s="4"/>
      <c r="W411" s="3"/>
      <c r="X411" s="4"/>
      <c r="Y411" s="3"/>
      <c r="Z411" s="4"/>
      <c r="AA411" s="3"/>
      <c r="AB411" s="4"/>
      <c r="AC411" s="3"/>
      <c r="AD411" s="4"/>
      <c r="AE411" s="3"/>
      <c r="AF411" s="4"/>
      <c r="AG411" s="3"/>
      <c r="AH411" s="4"/>
      <c r="AI411" s="3"/>
      <c r="AJ411" s="4"/>
      <c r="AK411" s="3"/>
      <c r="AL411" s="4"/>
      <c r="AM411" s="3"/>
      <c r="AN411" s="4"/>
      <c r="AO411" s="3"/>
      <c r="AP411" s="4"/>
      <c r="AQ411" s="3"/>
      <c r="AR411" s="4"/>
      <c r="AS411" s="3"/>
      <c r="AT411" s="4"/>
      <c r="AU411" s="3"/>
      <c r="AV411" s="4"/>
      <c r="AW411" s="3"/>
      <c r="AX411" s="4"/>
      <c r="AY411" s="3"/>
      <c r="AZ411" s="4"/>
      <c r="BA411" s="3"/>
      <c r="BB411" s="4"/>
      <c r="BC411" s="3"/>
      <c r="BD411" s="4"/>
      <c r="BE411" s="3"/>
      <c r="BF411" s="4"/>
      <c r="BG411" s="3"/>
      <c r="BH411" s="4"/>
      <c r="BI411" s="3"/>
      <c r="BJ411" s="4"/>
      <c r="BK411" s="3"/>
      <c r="BL411" s="4"/>
      <c r="BM411" s="3"/>
      <c r="BN411" s="4"/>
      <c r="BO411" s="3"/>
      <c r="BP411" s="4"/>
      <c r="BQ411" s="3"/>
      <c r="BR411" s="4"/>
      <c r="BS411" s="3"/>
      <c r="BT411" s="4"/>
      <c r="BU411" s="3"/>
      <c r="BV411" s="4"/>
      <c r="BW411" s="3"/>
      <c r="BX411" s="4"/>
      <c r="BY411" s="3"/>
      <c r="BZ411" s="4"/>
      <c r="CA411" s="3"/>
      <c r="CB411" s="4"/>
      <c r="CC411" s="3"/>
      <c r="CD411" s="4"/>
    </row>
    <row r="412">
      <c r="A412" s="3"/>
      <c r="B412" s="4"/>
      <c r="C412" s="3"/>
      <c r="D412" s="4"/>
      <c r="E412" s="3"/>
      <c r="F412" s="4"/>
      <c r="G412" s="3"/>
      <c r="H412" s="4"/>
      <c r="I412" s="3"/>
      <c r="J412" s="4"/>
      <c r="K412" s="3"/>
      <c r="L412" s="4"/>
      <c r="M412" s="3"/>
      <c r="N412" s="4"/>
      <c r="O412" s="3"/>
      <c r="P412" s="4"/>
      <c r="Q412" s="3"/>
      <c r="R412" s="4"/>
      <c r="S412" s="3"/>
      <c r="T412" s="4"/>
      <c r="U412" s="3"/>
      <c r="V412" s="4"/>
      <c r="W412" s="3"/>
      <c r="X412" s="4"/>
      <c r="Y412" s="3"/>
      <c r="Z412" s="4"/>
      <c r="AA412" s="3"/>
      <c r="AB412" s="4"/>
      <c r="AC412" s="3"/>
      <c r="AD412" s="4"/>
      <c r="AE412" s="3"/>
      <c r="AF412" s="4"/>
      <c r="AG412" s="3"/>
      <c r="AH412" s="4"/>
      <c r="AI412" s="3"/>
      <c r="AJ412" s="4"/>
      <c r="AK412" s="3"/>
      <c r="AL412" s="4"/>
      <c r="AM412" s="3"/>
      <c r="AN412" s="4"/>
      <c r="AO412" s="3"/>
      <c r="AP412" s="4"/>
      <c r="AQ412" s="3"/>
      <c r="AR412" s="4"/>
      <c r="AS412" s="3"/>
      <c r="AT412" s="4"/>
      <c r="AU412" s="3"/>
      <c r="AV412" s="4"/>
      <c r="AW412" s="3"/>
      <c r="AX412" s="4"/>
      <c r="AY412" s="3"/>
      <c r="AZ412" s="4"/>
      <c r="BA412" s="3"/>
      <c r="BB412" s="4"/>
      <c r="BC412" s="3"/>
      <c r="BD412" s="4"/>
      <c r="BE412" s="3"/>
      <c r="BF412" s="4"/>
      <c r="BG412" s="3"/>
      <c r="BH412" s="4"/>
      <c r="BI412" s="3"/>
      <c r="BJ412" s="4"/>
      <c r="BK412" s="3"/>
      <c r="BL412" s="4"/>
      <c r="BM412" s="3"/>
      <c r="BN412" s="4"/>
      <c r="BO412" s="3"/>
      <c r="BP412" s="4"/>
      <c r="BQ412" s="3"/>
      <c r="BR412" s="4"/>
      <c r="BS412" s="3"/>
      <c r="BT412" s="4"/>
      <c r="BU412" s="3"/>
      <c r="BV412" s="4"/>
      <c r="BW412" s="3"/>
      <c r="BX412" s="4"/>
      <c r="BY412" s="3"/>
      <c r="BZ412" s="4"/>
      <c r="CA412" s="3"/>
      <c r="CB412" s="4"/>
      <c r="CC412" s="3"/>
      <c r="CD412" s="4"/>
    </row>
    <row r="413">
      <c r="A413" s="3"/>
      <c r="B413" s="4"/>
      <c r="C413" s="3"/>
      <c r="D413" s="4"/>
      <c r="E413" s="3"/>
      <c r="F413" s="4"/>
      <c r="G413" s="3"/>
      <c r="H413" s="4"/>
      <c r="I413" s="3"/>
      <c r="J413" s="4"/>
      <c r="K413" s="3"/>
      <c r="L413" s="4"/>
      <c r="M413" s="3"/>
      <c r="N413" s="4"/>
      <c r="O413" s="3"/>
      <c r="P413" s="4"/>
      <c r="Q413" s="3"/>
      <c r="R413" s="4"/>
      <c r="S413" s="3"/>
      <c r="T413" s="4"/>
      <c r="U413" s="3"/>
      <c r="V413" s="4"/>
      <c r="W413" s="3"/>
      <c r="X413" s="4"/>
      <c r="Y413" s="3"/>
      <c r="Z413" s="4"/>
      <c r="AA413" s="3"/>
      <c r="AB413" s="4"/>
      <c r="AC413" s="3"/>
      <c r="AD413" s="4"/>
      <c r="AE413" s="3"/>
      <c r="AF413" s="4"/>
      <c r="AG413" s="3"/>
      <c r="AH413" s="4"/>
      <c r="AI413" s="3"/>
      <c r="AJ413" s="4"/>
      <c r="AK413" s="3"/>
      <c r="AL413" s="4"/>
      <c r="AM413" s="3"/>
      <c r="AN413" s="4"/>
      <c r="AO413" s="3"/>
      <c r="AP413" s="4"/>
      <c r="AQ413" s="3"/>
      <c r="AR413" s="4"/>
      <c r="AS413" s="3"/>
      <c r="AT413" s="4"/>
      <c r="AU413" s="3"/>
      <c r="AV413" s="4"/>
      <c r="AW413" s="3"/>
      <c r="AX413" s="4"/>
      <c r="AY413" s="3"/>
      <c r="AZ413" s="4"/>
      <c r="BA413" s="3"/>
      <c r="BB413" s="4"/>
      <c r="BC413" s="3"/>
      <c r="BD413" s="4"/>
      <c r="BE413" s="3"/>
      <c r="BF413" s="4"/>
      <c r="BG413" s="3"/>
      <c r="BH413" s="4"/>
      <c r="BI413" s="3"/>
      <c r="BJ413" s="4"/>
      <c r="BK413" s="3"/>
      <c r="BL413" s="4"/>
      <c r="BM413" s="3"/>
      <c r="BN413" s="4"/>
      <c r="BO413" s="3"/>
      <c r="BP413" s="4"/>
      <c r="BQ413" s="3"/>
      <c r="BR413" s="4"/>
      <c r="BS413" s="3"/>
      <c r="BT413" s="4"/>
      <c r="BU413" s="3"/>
      <c r="BV413" s="4"/>
      <c r="BW413" s="3"/>
      <c r="BX413" s="4"/>
      <c r="BY413" s="3"/>
      <c r="BZ413" s="4"/>
      <c r="CA413" s="3"/>
      <c r="CB413" s="4"/>
      <c r="CC413" s="3"/>
      <c r="CD413" s="4"/>
    </row>
    <row r="414">
      <c r="A414" s="3"/>
      <c r="B414" s="4"/>
      <c r="C414" s="3"/>
      <c r="D414" s="4"/>
      <c r="E414" s="3"/>
      <c r="F414" s="4"/>
      <c r="G414" s="3"/>
      <c r="H414" s="4"/>
      <c r="I414" s="3"/>
      <c r="J414" s="4"/>
      <c r="K414" s="3"/>
      <c r="L414" s="4"/>
      <c r="M414" s="3"/>
      <c r="N414" s="4"/>
      <c r="O414" s="3"/>
      <c r="P414" s="4"/>
      <c r="Q414" s="3"/>
      <c r="R414" s="4"/>
      <c r="S414" s="3"/>
      <c r="T414" s="4"/>
      <c r="U414" s="3"/>
      <c r="V414" s="4"/>
      <c r="W414" s="3"/>
      <c r="X414" s="4"/>
      <c r="Y414" s="3"/>
      <c r="Z414" s="4"/>
      <c r="AA414" s="3"/>
      <c r="AB414" s="4"/>
      <c r="AC414" s="3"/>
      <c r="AD414" s="4"/>
      <c r="AE414" s="3"/>
      <c r="AF414" s="4"/>
      <c r="AG414" s="3"/>
      <c r="AH414" s="4"/>
      <c r="AI414" s="3"/>
      <c r="AJ414" s="4"/>
      <c r="AK414" s="3"/>
      <c r="AL414" s="4"/>
      <c r="AM414" s="3"/>
      <c r="AN414" s="4"/>
      <c r="AO414" s="3"/>
      <c r="AP414" s="4"/>
      <c r="AQ414" s="3"/>
      <c r="AR414" s="4"/>
      <c r="AS414" s="3"/>
      <c r="AT414" s="4"/>
      <c r="AU414" s="3"/>
      <c r="AV414" s="4"/>
      <c r="AW414" s="3"/>
      <c r="AX414" s="4"/>
      <c r="AY414" s="3"/>
      <c r="AZ414" s="4"/>
      <c r="BA414" s="3"/>
      <c r="BB414" s="4"/>
      <c r="BC414" s="3"/>
      <c r="BD414" s="4"/>
      <c r="BE414" s="3"/>
      <c r="BF414" s="4"/>
      <c r="BG414" s="3"/>
      <c r="BH414" s="4"/>
      <c r="BI414" s="3"/>
      <c r="BJ414" s="4"/>
      <c r="BK414" s="3"/>
      <c r="BL414" s="4"/>
      <c r="BM414" s="3"/>
      <c r="BN414" s="4"/>
      <c r="BO414" s="3"/>
      <c r="BP414" s="4"/>
      <c r="BQ414" s="3"/>
      <c r="BR414" s="4"/>
      <c r="BS414" s="3"/>
      <c r="BT414" s="4"/>
      <c r="BU414" s="3"/>
      <c r="BV414" s="4"/>
      <c r="BW414" s="3"/>
      <c r="BX414" s="4"/>
      <c r="BY414" s="3"/>
      <c r="BZ414" s="4"/>
      <c r="CA414" s="3"/>
      <c r="CB414" s="4"/>
      <c r="CC414" s="3"/>
      <c r="CD414" s="4"/>
    </row>
    <row r="415">
      <c r="A415" s="3"/>
      <c r="B415" s="4"/>
      <c r="C415" s="3"/>
      <c r="D415" s="4"/>
      <c r="E415" s="3"/>
      <c r="F415" s="4"/>
      <c r="G415" s="3"/>
      <c r="H415" s="4"/>
      <c r="I415" s="3"/>
      <c r="J415" s="4"/>
      <c r="K415" s="3"/>
      <c r="L415" s="4"/>
      <c r="M415" s="3"/>
      <c r="N415" s="4"/>
      <c r="O415" s="3"/>
      <c r="P415" s="4"/>
      <c r="Q415" s="3"/>
      <c r="R415" s="4"/>
      <c r="S415" s="3"/>
      <c r="T415" s="4"/>
      <c r="U415" s="3"/>
      <c r="V415" s="4"/>
      <c r="W415" s="3"/>
      <c r="X415" s="4"/>
      <c r="Y415" s="3"/>
      <c r="Z415" s="4"/>
      <c r="AA415" s="3"/>
      <c r="AB415" s="4"/>
      <c r="AC415" s="3"/>
      <c r="AD415" s="4"/>
      <c r="AE415" s="3"/>
      <c r="AF415" s="4"/>
      <c r="AG415" s="3"/>
      <c r="AH415" s="4"/>
      <c r="AI415" s="3"/>
      <c r="AJ415" s="4"/>
      <c r="AK415" s="3"/>
      <c r="AL415" s="4"/>
      <c r="AM415" s="3"/>
      <c r="AN415" s="4"/>
      <c r="AO415" s="3"/>
      <c r="AP415" s="4"/>
      <c r="AQ415" s="3"/>
      <c r="AR415" s="4"/>
      <c r="AS415" s="3"/>
      <c r="AT415" s="4"/>
      <c r="AU415" s="3"/>
      <c r="AV415" s="4"/>
      <c r="AW415" s="3"/>
      <c r="AX415" s="4"/>
      <c r="AY415" s="3"/>
      <c r="AZ415" s="4"/>
      <c r="BA415" s="3"/>
      <c r="BB415" s="4"/>
      <c r="BC415" s="3"/>
      <c r="BD415" s="4"/>
      <c r="BE415" s="3"/>
      <c r="BF415" s="4"/>
      <c r="BG415" s="3"/>
      <c r="BH415" s="4"/>
      <c r="BI415" s="3"/>
      <c r="BJ415" s="4"/>
      <c r="BK415" s="3"/>
      <c r="BL415" s="4"/>
      <c r="BM415" s="3"/>
      <c r="BN415" s="4"/>
      <c r="BO415" s="3"/>
      <c r="BP415" s="4"/>
      <c r="BQ415" s="3"/>
      <c r="BR415" s="4"/>
      <c r="BS415" s="3"/>
      <c r="BT415" s="4"/>
      <c r="BU415" s="3"/>
      <c r="BV415" s="4"/>
      <c r="BW415" s="3"/>
      <c r="BX415" s="4"/>
      <c r="BY415" s="3"/>
      <c r="BZ415" s="4"/>
      <c r="CA415" s="3"/>
      <c r="CB415" s="4"/>
      <c r="CC415" s="3"/>
      <c r="CD415" s="4"/>
    </row>
    <row r="416">
      <c r="A416" s="3"/>
      <c r="B416" s="4"/>
      <c r="C416" s="3"/>
      <c r="D416" s="4"/>
      <c r="E416" s="3"/>
      <c r="F416" s="4"/>
      <c r="G416" s="3"/>
      <c r="H416" s="4"/>
      <c r="I416" s="3"/>
      <c r="J416" s="4"/>
      <c r="K416" s="3"/>
      <c r="L416" s="4"/>
      <c r="M416" s="3"/>
      <c r="N416" s="4"/>
      <c r="O416" s="3"/>
      <c r="P416" s="4"/>
      <c r="Q416" s="3"/>
      <c r="R416" s="4"/>
      <c r="S416" s="3"/>
      <c r="T416" s="4"/>
      <c r="U416" s="3"/>
      <c r="V416" s="4"/>
      <c r="W416" s="3"/>
      <c r="X416" s="4"/>
      <c r="Y416" s="3"/>
      <c r="Z416" s="4"/>
      <c r="AA416" s="3"/>
      <c r="AB416" s="4"/>
      <c r="AC416" s="3"/>
      <c r="AD416" s="4"/>
      <c r="AE416" s="3"/>
      <c r="AF416" s="4"/>
      <c r="AG416" s="3"/>
      <c r="AH416" s="4"/>
      <c r="AI416" s="3"/>
      <c r="AJ416" s="4"/>
      <c r="AK416" s="3"/>
      <c r="AL416" s="4"/>
      <c r="AM416" s="3"/>
      <c r="AN416" s="4"/>
      <c r="AO416" s="3"/>
      <c r="AP416" s="4"/>
      <c r="AQ416" s="3"/>
      <c r="AR416" s="4"/>
      <c r="AS416" s="3"/>
      <c r="AT416" s="4"/>
      <c r="AU416" s="3"/>
      <c r="AV416" s="4"/>
      <c r="AW416" s="3"/>
      <c r="AX416" s="4"/>
      <c r="AY416" s="3"/>
      <c r="AZ416" s="4"/>
      <c r="BA416" s="3"/>
      <c r="BB416" s="4"/>
      <c r="BC416" s="3"/>
      <c r="BD416" s="4"/>
      <c r="BE416" s="3"/>
      <c r="BF416" s="4"/>
      <c r="BG416" s="3"/>
      <c r="BH416" s="4"/>
      <c r="BI416" s="3"/>
      <c r="BJ416" s="4"/>
      <c r="BK416" s="3"/>
      <c r="BL416" s="4"/>
      <c r="BM416" s="3"/>
      <c r="BN416" s="4"/>
      <c r="BO416" s="3"/>
      <c r="BP416" s="4"/>
      <c r="BQ416" s="3"/>
      <c r="BR416" s="4"/>
      <c r="BS416" s="3"/>
      <c r="BT416" s="4"/>
      <c r="BU416" s="3"/>
      <c r="BV416" s="4"/>
      <c r="BW416" s="3"/>
      <c r="BX416" s="4"/>
      <c r="BY416" s="3"/>
      <c r="BZ416" s="4"/>
      <c r="CA416" s="3"/>
      <c r="CB416" s="4"/>
      <c r="CC416" s="3"/>
      <c r="CD416" s="4"/>
    </row>
    <row r="417">
      <c r="A417" s="3"/>
      <c r="B417" s="4"/>
      <c r="C417" s="3"/>
      <c r="D417" s="4"/>
      <c r="E417" s="3"/>
      <c r="F417" s="4"/>
      <c r="G417" s="3"/>
      <c r="H417" s="4"/>
      <c r="I417" s="3"/>
      <c r="J417" s="4"/>
      <c r="K417" s="3"/>
      <c r="L417" s="4"/>
      <c r="M417" s="3"/>
      <c r="N417" s="4"/>
      <c r="O417" s="3"/>
      <c r="P417" s="4"/>
      <c r="Q417" s="3"/>
      <c r="R417" s="4"/>
      <c r="S417" s="3"/>
      <c r="T417" s="4"/>
      <c r="U417" s="3"/>
      <c r="V417" s="4"/>
      <c r="W417" s="3"/>
      <c r="X417" s="4"/>
      <c r="Y417" s="3"/>
      <c r="Z417" s="4"/>
      <c r="AA417" s="3"/>
      <c r="AB417" s="4"/>
      <c r="AC417" s="3"/>
      <c r="AD417" s="4"/>
      <c r="AE417" s="3"/>
      <c r="AF417" s="4"/>
      <c r="AG417" s="3"/>
      <c r="AH417" s="4"/>
      <c r="AI417" s="3"/>
      <c r="AJ417" s="4"/>
      <c r="AK417" s="3"/>
      <c r="AL417" s="4"/>
      <c r="AM417" s="3"/>
      <c r="AN417" s="4"/>
      <c r="AO417" s="3"/>
      <c r="AP417" s="4"/>
      <c r="AQ417" s="3"/>
      <c r="AR417" s="4"/>
      <c r="AS417" s="3"/>
      <c r="AT417" s="4"/>
      <c r="AU417" s="3"/>
      <c r="AV417" s="4"/>
      <c r="AW417" s="3"/>
      <c r="AX417" s="4"/>
      <c r="AY417" s="3"/>
      <c r="AZ417" s="4"/>
      <c r="BA417" s="3"/>
      <c r="BB417" s="4"/>
      <c r="BC417" s="3"/>
      <c r="BD417" s="4"/>
      <c r="BE417" s="3"/>
      <c r="BF417" s="4"/>
      <c r="BG417" s="3"/>
      <c r="BH417" s="4"/>
      <c r="BI417" s="3"/>
      <c r="BJ417" s="4"/>
      <c r="BK417" s="3"/>
      <c r="BL417" s="4"/>
      <c r="BM417" s="3"/>
      <c r="BN417" s="4"/>
      <c r="BO417" s="3"/>
      <c r="BP417" s="4"/>
      <c r="BQ417" s="3"/>
      <c r="BR417" s="4"/>
      <c r="BS417" s="3"/>
      <c r="BT417" s="4"/>
      <c r="BU417" s="3"/>
      <c r="BV417" s="4"/>
      <c r="BW417" s="3"/>
      <c r="BX417" s="4"/>
      <c r="BY417" s="3"/>
      <c r="BZ417" s="4"/>
      <c r="CA417" s="3"/>
      <c r="CB417" s="4"/>
      <c r="CC417" s="3"/>
      <c r="CD417" s="4"/>
    </row>
    <row r="418">
      <c r="A418" s="3"/>
      <c r="B418" s="4"/>
      <c r="C418" s="3"/>
      <c r="D418" s="4"/>
      <c r="E418" s="3"/>
      <c r="F418" s="4"/>
      <c r="G418" s="3"/>
      <c r="H418" s="4"/>
      <c r="I418" s="3"/>
      <c r="J418" s="4"/>
      <c r="K418" s="3"/>
      <c r="L418" s="4"/>
      <c r="M418" s="3"/>
      <c r="N418" s="4"/>
      <c r="O418" s="3"/>
      <c r="P418" s="4"/>
      <c r="Q418" s="3"/>
      <c r="R418" s="4"/>
      <c r="S418" s="3"/>
      <c r="T418" s="4"/>
      <c r="U418" s="3"/>
      <c r="V418" s="4"/>
      <c r="W418" s="3"/>
      <c r="X418" s="4"/>
      <c r="Y418" s="3"/>
      <c r="Z418" s="4"/>
      <c r="AA418" s="3"/>
      <c r="AB418" s="4"/>
      <c r="AC418" s="3"/>
      <c r="AD418" s="4"/>
      <c r="AE418" s="3"/>
      <c r="AF418" s="4"/>
      <c r="AG418" s="3"/>
      <c r="AH418" s="4"/>
      <c r="AI418" s="3"/>
      <c r="AJ418" s="4"/>
      <c r="AK418" s="3"/>
      <c r="AL418" s="4"/>
      <c r="AM418" s="3"/>
      <c r="AN418" s="4"/>
      <c r="AO418" s="3"/>
      <c r="AP418" s="4"/>
      <c r="AQ418" s="3"/>
      <c r="AR418" s="4"/>
      <c r="AS418" s="3"/>
      <c r="AT418" s="4"/>
      <c r="AU418" s="3"/>
      <c r="AV418" s="4"/>
      <c r="AW418" s="3"/>
      <c r="AX418" s="4"/>
      <c r="AY418" s="3"/>
      <c r="AZ418" s="4"/>
      <c r="BA418" s="3"/>
      <c r="BB418" s="4"/>
      <c r="BC418" s="3"/>
      <c r="BD418" s="4"/>
      <c r="BE418" s="3"/>
      <c r="BF418" s="4"/>
      <c r="BG418" s="3"/>
      <c r="BH418" s="4"/>
      <c r="BI418" s="3"/>
      <c r="BJ418" s="4"/>
      <c r="BK418" s="3"/>
      <c r="BL418" s="4"/>
      <c r="BM418" s="3"/>
      <c r="BN418" s="4"/>
      <c r="BO418" s="3"/>
      <c r="BP418" s="4"/>
      <c r="BQ418" s="3"/>
      <c r="BR418" s="4"/>
      <c r="BS418" s="3"/>
      <c r="BT418" s="4"/>
      <c r="BU418" s="3"/>
      <c r="BV418" s="4"/>
      <c r="BW418" s="3"/>
      <c r="BX418" s="4"/>
      <c r="BY418" s="3"/>
      <c r="BZ418" s="4"/>
      <c r="CA418" s="3"/>
      <c r="CB418" s="4"/>
      <c r="CC418" s="3"/>
      <c r="CD418" s="4"/>
    </row>
    <row r="419">
      <c r="A419" s="3"/>
      <c r="B419" s="4"/>
      <c r="C419" s="3"/>
      <c r="D419" s="4"/>
      <c r="E419" s="3"/>
      <c r="F419" s="4"/>
      <c r="G419" s="3"/>
      <c r="H419" s="4"/>
      <c r="I419" s="3"/>
      <c r="J419" s="4"/>
      <c r="K419" s="3"/>
      <c r="L419" s="4"/>
      <c r="M419" s="3"/>
      <c r="N419" s="4"/>
      <c r="O419" s="3"/>
      <c r="P419" s="4"/>
      <c r="Q419" s="3"/>
      <c r="R419" s="4"/>
      <c r="S419" s="3"/>
      <c r="T419" s="4"/>
      <c r="U419" s="3"/>
      <c r="V419" s="4"/>
      <c r="W419" s="3"/>
      <c r="X419" s="4"/>
      <c r="Y419" s="3"/>
      <c r="Z419" s="4"/>
      <c r="AA419" s="3"/>
      <c r="AB419" s="4"/>
      <c r="AC419" s="3"/>
      <c r="AD419" s="4"/>
      <c r="AE419" s="3"/>
      <c r="AF419" s="4"/>
      <c r="AG419" s="3"/>
      <c r="AH419" s="4"/>
      <c r="AI419" s="3"/>
      <c r="AJ419" s="4"/>
      <c r="AK419" s="3"/>
      <c r="AL419" s="4"/>
      <c r="AM419" s="3"/>
      <c r="AN419" s="4"/>
      <c r="AO419" s="3"/>
      <c r="AP419" s="4"/>
      <c r="AQ419" s="3"/>
      <c r="AR419" s="4"/>
      <c r="AS419" s="3"/>
      <c r="AT419" s="4"/>
      <c r="AU419" s="3"/>
      <c r="AV419" s="4"/>
      <c r="AW419" s="3"/>
      <c r="AX419" s="4"/>
      <c r="AY419" s="3"/>
      <c r="AZ419" s="4"/>
      <c r="BA419" s="3"/>
      <c r="BB419" s="4"/>
      <c r="BC419" s="3"/>
      <c r="BD419" s="4"/>
      <c r="BE419" s="3"/>
      <c r="BF419" s="4"/>
      <c r="BG419" s="3"/>
      <c r="BH419" s="4"/>
      <c r="BI419" s="3"/>
      <c r="BJ419" s="4"/>
      <c r="BK419" s="3"/>
      <c r="BL419" s="4"/>
      <c r="BM419" s="3"/>
      <c r="BN419" s="4"/>
      <c r="BO419" s="3"/>
      <c r="BP419" s="4"/>
      <c r="BQ419" s="3"/>
      <c r="BR419" s="4"/>
      <c r="BS419" s="3"/>
      <c r="BT419" s="4"/>
      <c r="BU419" s="3"/>
      <c r="BV419" s="4"/>
      <c r="BW419" s="3"/>
      <c r="BX419" s="4"/>
      <c r="BY419" s="3"/>
      <c r="BZ419" s="4"/>
      <c r="CA419" s="3"/>
      <c r="CB419" s="4"/>
      <c r="CC419" s="3"/>
      <c r="CD419" s="4"/>
    </row>
    <row r="420">
      <c r="A420" s="3"/>
      <c r="B420" s="4"/>
      <c r="C420" s="3"/>
      <c r="D420" s="4"/>
      <c r="E420" s="3"/>
      <c r="F420" s="4"/>
      <c r="G420" s="3"/>
      <c r="H420" s="4"/>
      <c r="I420" s="3"/>
      <c r="J420" s="4"/>
      <c r="K420" s="3"/>
      <c r="L420" s="4"/>
      <c r="M420" s="3"/>
      <c r="N420" s="4"/>
      <c r="O420" s="3"/>
      <c r="P420" s="4"/>
      <c r="Q420" s="3"/>
      <c r="R420" s="4"/>
      <c r="S420" s="3"/>
      <c r="T420" s="4"/>
      <c r="U420" s="3"/>
      <c r="V420" s="4"/>
      <c r="W420" s="3"/>
      <c r="X420" s="4"/>
      <c r="Y420" s="3"/>
      <c r="Z420" s="4"/>
      <c r="AA420" s="3"/>
      <c r="AB420" s="4"/>
      <c r="AC420" s="3"/>
      <c r="AD420" s="4"/>
      <c r="AE420" s="3"/>
      <c r="AF420" s="4"/>
      <c r="AG420" s="3"/>
      <c r="AH420" s="4"/>
      <c r="AI420" s="3"/>
      <c r="AJ420" s="4"/>
      <c r="AK420" s="3"/>
      <c r="AL420" s="4"/>
      <c r="AM420" s="3"/>
      <c r="AN420" s="4"/>
      <c r="AO420" s="3"/>
      <c r="AP420" s="4"/>
      <c r="AQ420" s="3"/>
      <c r="AR420" s="4"/>
      <c r="AS420" s="3"/>
      <c r="AT420" s="4"/>
      <c r="AU420" s="3"/>
      <c r="AV420" s="4"/>
      <c r="AW420" s="3"/>
      <c r="AX420" s="4"/>
      <c r="AY420" s="3"/>
      <c r="AZ420" s="4"/>
      <c r="BA420" s="3"/>
      <c r="BB420" s="4"/>
      <c r="BC420" s="3"/>
      <c r="BD420" s="4"/>
      <c r="BE420" s="3"/>
      <c r="BF420" s="4"/>
      <c r="BG420" s="3"/>
      <c r="BH420" s="4"/>
      <c r="BI420" s="3"/>
      <c r="BJ420" s="4"/>
      <c r="BK420" s="3"/>
      <c r="BL420" s="4"/>
      <c r="BM420" s="3"/>
      <c r="BN420" s="4"/>
      <c r="BO420" s="3"/>
      <c r="BP420" s="4"/>
      <c r="BQ420" s="3"/>
      <c r="BR420" s="4"/>
      <c r="BS420" s="3"/>
      <c r="BT420" s="4"/>
      <c r="BU420" s="3"/>
      <c r="BV420" s="4"/>
      <c r="BW420" s="3"/>
      <c r="BX420" s="4"/>
      <c r="BY420" s="3"/>
      <c r="BZ420" s="4"/>
      <c r="CA420" s="3"/>
      <c r="CB420" s="4"/>
      <c r="CC420" s="3"/>
      <c r="CD420" s="4"/>
    </row>
    <row r="421">
      <c r="A421" s="3"/>
      <c r="B421" s="4"/>
      <c r="C421" s="3"/>
      <c r="D421" s="4"/>
      <c r="E421" s="3"/>
      <c r="F421" s="4"/>
      <c r="G421" s="3"/>
      <c r="H421" s="4"/>
      <c r="I421" s="3"/>
      <c r="J421" s="4"/>
      <c r="K421" s="3"/>
      <c r="L421" s="4"/>
      <c r="M421" s="3"/>
      <c r="N421" s="4"/>
      <c r="O421" s="3"/>
      <c r="P421" s="4"/>
      <c r="Q421" s="3"/>
      <c r="R421" s="4"/>
      <c r="S421" s="3"/>
      <c r="T421" s="4"/>
      <c r="U421" s="3"/>
      <c r="V421" s="4"/>
      <c r="W421" s="3"/>
      <c r="X421" s="4"/>
      <c r="Y421" s="3"/>
      <c r="Z421" s="4"/>
      <c r="AA421" s="3"/>
      <c r="AB421" s="4"/>
      <c r="AC421" s="3"/>
      <c r="AD421" s="4"/>
      <c r="AE421" s="3"/>
      <c r="AF421" s="4"/>
      <c r="AG421" s="3"/>
      <c r="AH421" s="4"/>
      <c r="AI421" s="3"/>
      <c r="AJ421" s="4"/>
      <c r="AK421" s="3"/>
      <c r="AL421" s="4"/>
      <c r="AM421" s="3"/>
      <c r="AN421" s="4"/>
      <c r="AO421" s="3"/>
      <c r="AP421" s="4"/>
      <c r="AQ421" s="3"/>
      <c r="AR421" s="4"/>
      <c r="AS421" s="3"/>
      <c r="AT421" s="4"/>
      <c r="AU421" s="3"/>
      <c r="AV421" s="4"/>
      <c r="AW421" s="3"/>
      <c r="AX421" s="4"/>
      <c r="AY421" s="3"/>
      <c r="AZ421" s="4"/>
      <c r="BA421" s="3"/>
      <c r="BB421" s="4"/>
      <c r="BC421" s="3"/>
      <c r="BD421" s="4"/>
      <c r="BE421" s="3"/>
      <c r="BF421" s="4"/>
      <c r="BG421" s="3"/>
      <c r="BH421" s="4"/>
      <c r="BI421" s="3"/>
      <c r="BJ421" s="4"/>
      <c r="BK421" s="3"/>
      <c r="BL421" s="4"/>
      <c r="BM421" s="3"/>
      <c r="BN421" s="4"/>
      <c r="BO421" s="3"/>
      <c r="BP421" s="4"/>
      <c r="BQ421" s="3"/>
      <c r="BR421" s="4"/>
      <c r="BS421" s="3"/>
      <c r="BT421" s="4"/>
      <c r="BU421" s="3"/>
      <c r="BV421" s="4"/>
      <c r="BW421" s="3"/>
      <c r="BX421" s="4"/>
      <c r="BY421" s="3"/>
      <c r="BZ421" s="4"/>
      <c r="CA421" s="3"/>
      <c r="CB421" s="4"/>
      <c r="CC421" s="3"/>
      <c r="CD421" s="4"/>
    </row>
    <row r="422">
      <c r="A422" s="3"/>
      <c r="B422" s="4"/>
      <c r="C422" s="3"/>
      <c r="D422" s="4"/>
      <c r="E422" s="3"/>
      <c r="F422" s="4"/>
      <c r="G422" s="3"/>
      <c r="H422" s="4"/>
      <c r="I422" s="3"/>
      <c r="J422" s="4"/>
      <c r="K422" s="3"/>
      <c r="L422" s="4"/>
      <c r="M422" s="3"/>
      <c r="N422" s="4"/>
      <c r="O422" s="3"/>
      <c r="P422" s="4"/>
      <c r="Q422" s="3"/>
      <c r="R422" s="4"/>
      <c r="S422" s="3"/>
      <c r="T422" s="4"/>
      <c r="U422" s="3"/>
      <c r="V422" s="4"/>
      <c r="W422" s="3"/>
      <c r="X422" s="4"/>
      <c r="Y422" s="3"/>
      <c r="Z422" s="4"/>
      <c r="AA422" s="3"/>
      <c r="AB422" s="4"/>
      <c r="AC422" s="3"/>
      <c r="AD422" s="4"/>
      <c r="AE422" s="3"/>
      <c r="AF422" s="4"/>
      <c r="AG422" s="3"/>
      <c r="AH422" s="4"/>
      <c r="AI422" s="3"/>
      <c r="AJ422" s="4"/>
      <c r="AK422" s="3"/>
      <c r="AL422" s="4"/>
      <c r="AM422" s="3"/>
      <c r="AN422" s="4"/>
      <c r="AO422" s="3"/>
      <c r="AP422" s="4"/>
      <c r="AQ422" s="3"/>
      <c r="AR422" s="4"/>
      <c r="AS422" s="3"/>
      <c r="AT422" s="4"/>
      <c r="AU422" s="3"/>
      <c r="AV422" s="4"/>
      <c r="AW422" s="3"/>
      <c r="AX422" s="4"/>
      <c r="AY422" s="3"/>
      <c r="AZ422" s="4"/>
      <c r="BA422" s="3"/>
      <c r="BB422" s="4"/>
      <c r="BC422" s="3"/>
      <c r="BD422" s="4"/>
      <c r="BE422" s="3"/>
      <c r="BF422" s="4"/>
      <c r="BG422" s="3"/>
      <c r="BH422" s="4"/>
      <c r="BI422" s="3"/>
      <c r="BJ422" s="4"/>
      <c r="BK422" s="3"/>
      <c r="BL422" s="4"/>
      <c r="BM422" s="3"/>
      <c r="BN422" s="4"/>
      <c r="BO422" s="3"/>
      <c r="BP422" s="4"/>
      <c r="BQ422" s="3"/>
      <c r="BR422" s="4"/>
      <c r="BS422" s="3"/>
      <c r="BT422" s="4"/>
      <c r="BU422" s="3"/>
      <c r="BV422" s="4"/>
      <c r="BW422" s="3"/>
      <c r="BX422" s="4"/>
      <c r="BY422" s="3"/>
      <c r="BZ422" s="4"/>
      <c r="CA422" s="3"/>
      <c r="CB422" s="4"/>
      <c r="CC422" s="3"/>
      <c r="CD422" s="4"/>
    </row>
    <row r="423">
      <c r="A423" s="3"/>
      <c r="B423" s="4"/>
      <c r="C423" s="3"/>
      <c r="D423" s="4"/>
      <c r="E423" s="3"/>
      <c r="F423" s="4"/>
      <c r="G423" s="3"/>
      <c r="H423" s="4"/>
      <c r="I423" s="3"/>
      <c r="J423" s="4"/>
      <c r="K423" s="3"/>
      <c r="L423" s="4"/>
      <c r="M423" s="3"/>
      <c r="N423" s="4"/>
      <c r="O423" s="3"/>
      <c r="P423" s="4"/>
      <c r="Q423" s="3"/>
      <c r="R423" s="4"/>
      <c r="S423" s="3"/>
      <c r="T423" s="4"/>
      <c r="U423" s="3"/>
      <c r="V423" s="4"/>
      <c r="W423" s="3"/>
      <c r="X423" s="4"/>
      <c r="Y423" s="3"/>
      <c r="Z423" s="4"/>
      <c r="AA423" s="3"/>
      <c r="AB423" s="4"/>
      <c r="AC423" s="3"/>
      <c r="AD423" s="4"/>
      <c r="AE423" s="3"/>
      <c r="AF423" s="4"/>
      <c r="AG423" s="3"/>
      <c r="AH423" s="4"/>
      <c r="AI423" s="3"/>
      <c r="AJ423" s="4"/>
      <c r="AK423" s="3"/>
      <c r="AL423" s="4"/>
      <c r="AM423" s="3"/>
      <c r="AN423" s="4"/>
      <c r="AO423" s="3"/>
      <c r="AP423" s="4"/>
      <c r="AQ423" s="3"/>
      <c r="AR423" s="4"/>
      <c r="AS423" s="3"/>
      <c r="AT423" s="4"/>
      <c r="AU423" s="3"/>
      <c r="AV423" s="4"/>
      <c r="AW423" s="3"/>
      <c r="AX423" s="4"/>
      <c r="AY423" s="3"/>
      <c r="AZ423" s="4"/>
      <c r="BA423" s="3"/>
      <c r="BB423" s="4"/>
      <c r="BC423" s="3"/>
      <c r="BD423" s="4"/>
      <c r="BE423" s="3"/>
      <c r="BF423" s="4"/>
      <c r="BG423" s="3"/>
      <c r="BH423" s="4"/>
      <c r="BI423" s="3"/>
      <c r="BJ423" s="4"/>
      <c r="BK423" s="3"/>
      <c r="BL423" s="4"/>
      <c r="BM423" s="3"/>
      <c r="BN423" s="4"/>
      <c r="BO423" s="3"/>
      <c r="BP423" s="4"/>
      <c r="BQ423" s="3"/>
      <c r="BR423" s="4"/>
      <c r="BS423" s="3"/>
      <c r="BT423" s="4"/>
      <c r="BU423" s="3"/>
      <c r="BV423" s="4"/>
      <c r="BW423" s="3"/>
      <c r="BX423" s="4"/>
      <c r="BY423" s="3"/>
      <c r="BZ423" s="4"/>
      <c r="CA423" s="3"/>
      <c r="CB423" s="4"/>
      <c r="CC423" s="3"/>
      <c r="CD423" s="4"/>
    </row>
    <row r="424">
      <c r="A424" s="3"/>
      <c r="B424" s="4"/>
      <c r="C424" s="3"/>
      <c r="D424" s="4"/>
      <c r="E424" s="3"/>
      <c r="F424" s="4"/>
      <c r="G424" s="3"/>
      <c r="H424" s="4"/>
      <c r="I424" s="3"/>
      <c r="J424" s="4"/>
      <c r="K424" s="3"/>
      <c r="L424" s="4"/>
      <c r="M424" s="3"/>
      <c r="N424" s="4"/>
      <c r="O424" s="3"/>
      <c r="P424" s="4"/>
      <c r="Q424" s="3"/>
      <c r="R424" s="4"/>
      <c r="S424" s="3"/>
      <c r="T424" s="4"/>
      <c r="U424" s="3"/>
      <c r="V424" s="4"/>
      <c r="W424" s="3"/>
      <c r="X424" s="4"/>
      <c r="Y424" s="3"/>
      <c r="Z424" s="4"/>
      <c r="AA424" s="3"/>
      <c r="AB424" s="4"/>
      <c r="AC424" s="3"/>
      <c r="AD424" s="4"/>
      <c r="AE424" s="3"/>
      <c r="AF424" s="4"/>
      <c r="AG424" s="3"/>
      <c r="AH424" s="4"/>
      <c r="AI424" s="3"/>
      <c r="AJ424" s="4"/>
      <c r="AK424" s="3"/>
      <c r="AL424" s="4"/>
      <c r="AM424" s="3"/>
      <c r="AN424" s="4"/>
      <c r="AO424" s="3"/>
      <c r="AP424" s="4"/>
      <c r="AQ424" s="3"/>
      <c r="AR424" s="4"/>
      <c r="AS424" s="3"/>
      <c r="AT424" s="4"/>
      <c r="AU424" s="3"/>
      <c r="AV424" s="4"/>
      <c r="AW424" s="3"/>
      <c r="AX424" s="4"/>
      <c r="AY424" s="3"/>
      <c r="AZ424" s="4"/>
      <c r="BA424" s="3"/>
      <c r="BB424" s="4"/>
      <c r="BC424" s="3"/>
      <c r="BD424" s="4"/>
      <c r="BE424" s="3"/>
      <c r="BF424" s="4"/>
      <c r="BG424" s="3"/>
      <c r="BH424" s="4"/>
      <c r="BI424" s="3"/>
      <c r="BJ424" s="4"/>
      <c r="BK424" s="3"/>
      <c r="BL424" s="4"/>
      <c r="BM424" s="3"/>
      <c r="BN424" s="4"/>
      <c r="BO424" s="3"/>
      <c r="BP424" s="4"/>
      <c r="BQ424" s="3"/>
      <c r="BR424" s="4"/>
      <c r="BS424" s="3"/>
      <c r="BT424" s="4"/>
      <c r="BU424" s="3"/>
      <c r="BV424" s="4"/>
      <c r="BW424" s="3"/>
      <c r="BX424" s="4"/>
      <c r="BY424" s="3"/>
      <c r="BZ424" s="4"/>
      <c r="CA424" s="3"/>
      <c r="CB424" s="4"/>
      <c r="CC424" s="3"/>
      <c r="CD424" s="4"/>
    </row>
    <row r="425">
      <c r="A425" s="3"/>
      <c r="B425" s="4"/>
      <c r="C425" s="3"/>
      <c r="D425" s="4"/>
      <c r="E425" s="3"/>
      <c r="F425" s="4"/>
      <c r="G425" s="3"/>
      <c r="H425" s="4"/>
      <c r="I425" s="3"/>
      <c r="J425" s="4"/>
      <c r="K425" s="3"/>
      <c r="L425" s="4"/>
      <c r="M425" s="3"/>
      <c r="N425" s="4"/>
      <c r="O425" s="3"/>
      <c r="P425" s="4"/>
      <c r="Q425" s="3"/>
      <c r="R425" s="4"/>
      <c r="S425" s="3"/>
      <c r="T425" s="4"/>
      <c r="U425" s="3"/>
      <c r="V425" s="4"/>
      <c r="W425" s="3"/>
      <c r="X425" s="4"/>
      <c r="Y425" s="3"/>
      <c r="Z425" s="4"/>
      <c r="AA425" s="3"/>
      <c r="AB425" s="4"/>
      <c r="AC425" s="3"/>
      <c r="AD425" s="4"/>
      <c r="AE425" s="3"/>
      <c r="AF425" s="4"/>
      <c r="AG425" s="3"/>
      <c r="AH425" s="4"/>
      <c r="AI425" s="3"/>
      <c r="AJ425" s="4"/>
      <c r="AK425" s="3"/>
      <c r="AL425" s="4"/>
      <c r="AM425" s="3"/>
      <c r="AN425" s="4"/>
      <c r="AO425" s="3"/>
      <c r="AP425" s="4"/>
      <c r="AQ425" s="3"/>
      <c r="AR425" s="4"/>
      <c r="AS425" s="3"/>
      <c r="AT425" s="4"/>
      <c r="AU425" s="3"/>
      <c r="AV425" s="4"/>
      <c r="AW425" s="3"/>
      <c r="AX425" s="4"/>
      <c r="AY425" s="3"/>
      <c r="AZ425" s="4"/>
      <c r="BA425" s="3"/>
      <c r="BB425" s="4"/>
      <c r="BC425" s="3"/>
      <c r="BD425" s="4"/>
      <c r="BE425" s="3"/>
      <c r="BF425" s="4"/>
      <c r="BG425" s="3"/>
      <c r="BH425" s="4"/>
      <c r="BI425" s="3"/>
      <c r="BJ425" s="4"/>
      <c r="BK425" s="3"/>
      <c r="BL425" s="4"/>
      <c r="BM425" s="3"/>
      <c r="BN425" s="4"/>
      <c r="BO425" s="3"/>
      <c r="BP425" s="4"/>
      <c r="BQ425" s="3"/>
      <c r="BR425" s="4"/>
      <c r="BS425" s="3"/>
      <c r="BT425" s="4"/>
      <c r="BU425" s="3"/>
      <c r="BV425" s="4"/>
      <c r="BW425" s="3"/>
      <c r="BX425" s="4"/>
      <c r="BY425" s="3"/>
      <c r="BZ425" s="4"/>
      <c r="CA425" s="3"/>
      <c r="CB425" s="4"/>
      <c r="CC425" s="3"/>
      <c r="CD425" s="4"/>
    </row>
    <row r="426">
      <c r="A426" s="3"/>
      <c r="B426" s="4"/>
      <c r="C426" s="3"/>
      <c r="D426" s="4"/>
      <c r="E426" s="3"/>
      <c r="F426" s="4"/>
      <c r="G426" s="3"/>
      <c r="H426" s="4"/>
      <c r="I426" s="3"/>
      <c r="J426" s="4"/>
      <c r="K426" s="3"/>
      <c r="L426" s="4"/>
      <c r="M426" s="3"/>
      <c r="N426" s="4"/>
      <c r="O426" s="3"/>
      <c r="P426" s="4"/>
      <c r="Q426" s="3"/>
      <c r="R426" s="4"/>
      <c r="S426" s="3"/>
      <c r="T426" s="4"/>
      <c r="U426" s="3"/>
      <c r="V426" s="4"/>
      <c r="W426" s="3"/>
      <c r="X426" s="4"/>
      <c r="Y426" s="3"/>
      <c r="Z426" s="4"/>
      <c r="AA426" s="3"/>
      <c r="AB426" s="4"/>
      <c r="AC426" s="3"/>
      <c r="AD426" s="4"/>
      <c r="AE426" s="3"/>
      <c r="AF426" s="4"/>
      <c r="AG426" s="3"/>
      <c r="AH426" s="4"/>
      <c r="AI426" s="3"/>
      <c r="AJ426" s="4"/>
      <c r="AK426" s="3"/>
      <c r="AL426" s="4"/>
      <c r="AM426" s="3"/>
      <c r="AN426" s="4"/>
      <c r="AO426" s="3"/>
      <c r="AP426" s="4"/>
      <c r="AQ426" s="3"/>
      <c r="AR426" s="4"/>
      <c r="AS426" s="3"/>
      <c r="AT426" s="4"/>
      <c r="AU426" s="3"/>
      <c r="AV426" s="4"/>
      <c r="AW426" s="3"/>
      <c r="AX426" s="4"/>
      <c r="AY426" s="3"/>
      <c r="AZ426" s="4"/>
      <c r="BA426" s="3"/>
      <c r="BB426" s="4"/>
      <c r="BC426" s="3"/>
      <c r="BD426" s="4"/>
      <c r="BE426" s="3"/>
      <c r="BF426" s="4"/>
      <c r="BG426" s="3"/>
      <c r="BH426" s="4"/>
      <c r="BI426" s="3"/>
      <c r="BJ426" s="4"/>
      <c r="BK426" s="3"/>
      <c r="BL426" s="4"/>
      <c r="BM426" s="3"/>
      <c r="BN426" s="4"/>
      <c r="BO426" s="3"/>
      <c r="BP426" s="4"/>
      <c r="BQ426" s="3"/>
      <c r="BR426" s="4"/>
      <c r="BS426" s="3"/>
      <c r="BT426" s="4"/>
      <c r="BU426" s="3"/>
      <c r="BV426" s="4"/>
      <c r="BW426" s="3"/>
      <c r="BX426" s="4"/>
      <c r="BY426" s="3"/>
      <c r="BZ426" s="4"/>
      <c r="CA426" s="3"/>
      <c r="CB426" s="4"/>
      <c r="CC426" s="3"/>
      <c r="CD426" s="4"/>
    </row>
    <row r="427">
      <c r="A427" s="3"/>
      <c r="B427" s="4"/>
      <c r="C427" s="3"/>
      <c r="D427" s="4"/>
      <c r="E427" s="3"/>
      <c r="F427" s="4"/>
      <c r="G427" s="3"/>
      <c r="H427" s="4"/>
      <c r="I427" s="3"/>
      <c r="J427" s="4"/>
      <c r="K427" s="3"/>
      <c r="L427" s="4"/>
      <c r="M427" s="3"/>
      <c r="N427" s="4"/>
      <c r="O427" s="3"/>
      <c r="P427" s="4"/>
      <c r="Q427" s="3"/>
      <c r="R427" s="4"/>
      <c r="S427" s="3"/>
      <c r="T427" s="4"/>
      <c r="U427" s="3"/>
      <c r="V427" s="4"/>
      <c r="W427" s="3"/>
      <c r="X427" s="4"/>
      <c r="Y427" s="3"/>
      <c r="Z427" s="4"/>
      <c r="AA427" s="3"/>
      <c r="AB427" s="4"/>
      <c r="AC427" s="3"/>
      <c r="AD427" s="4"/>
      <c r="AE427" s="3"/>
      <c r="AF427" s="4"/>
      <c r="AG427" s="3"/>
      <c r="AH427" s="4"/>
      <c r="AI427" s="3"/>
      <c r="AJ427" s="4"/>
      <c r="AK427" s="3"/>
      <c r="AL427" s="4"/>
      <c r="AM427" s="3"/>
      <c r="AN427" s="4"/>
      <c r="AO427" s="3"/>
      <c r="AP427" s="4"/>
      <c r="AQ427" s="3"/>
      <c r="AR427" s="4"/>
      <c r="AS427" s="3"/>
      <c r="AT427" s="4"/>
      <c r="AU427" s="3"/>
      <c r="AV427" s="4"/>
      <c r="AW427" s="3"/>
      <c r="AX427" s="4"/>
      <c r="AY427" s="3"/>
      <c r="AZ427" s="4"/>
      <c r="BA427" s="3"/>
      <c r="BB427" s="4"/>
      <c r="BC427" s="3"/>
      <c r="BD427" s="4"/>
      <c r="BE427" s="3"/>
      <c r="BF427" s="4"/>
      <c r="BG427" s="3"/>
      <c r="BH427" s="4"/>
      <c r="BI427" s="3"/>
      <c r="BJ427" s="4"/>
      <c r="BK427" s="3"/>
      <c r="BL427" s="4"/>
      <c r="BM427" s="3"/>
      <c r="BN427" s="4"/>
      <c r="BO427" s="3"/>
      <c r="BP427" s="4"/>
      <c r="BQ427" s="3"/>
      <c r="BR427" s="4"/>
      <c r="BS427" s="3"/>
      <c r="BT427" s="4"/>
      <c r="BU427" s="3"/>
      <c r="BV427" s="4"/>
      <c r="BW427" s="3"/>
      <c r="BX427" s="4"/>
      <c r="BY427" s="3"/>
      <c r="BZ427" s="4"/>
      <c r="CA427" s="3"/>
      <c r="CB427" s="4"/>
      <c r="CC427" s="3"/>
      <c r="CD427" s="4"/>
    </row>
    <row r="428">
      <c r="A428" s="3"/>
      <c r="B428" s="4"/>
      <c r="C428" s="3"/>
      <c r="D428" s="4"/>
      <c r="E428" s="3"/>
      <c r="F428" s="4"/>
      <c r="G428" s="3"/>
      <c r="H428" s="4"/>
      <c r="I428" s="3"/>
      <c r="J428" s="4"/>
      <c r="K428" s="3"/>
      <c r="L428" s="4"/>
      <c r="M428" s="3"/>
      <c r="N428" s="4"/>
      <c r="O428" s="3"/>
      <c r="P428" s="4"/>
      <c r="Q428" s="3"/>
      <c r="R428" s="4"/>
      <c r="S428" s="3"/>
      <c r="T428" s="4"/>
      <c r="U428" s="3"/>
      <c r="V428" s="4"/>
      <c r="W428" s="3"/>
      <c r="X428" s="4"/>
      <c r="Y428" s="3"/>
      <c r="Z428" s="4"/>
      <c r="AA428" s="3"/>
      <c r="AB428" s="4"/>
      <c r="AC428" s="3"/>
      <c r="AD428" s="4"/>
      <c r="AE428" s="3"/>
      <c r="AF428" s="4"/>
      <c r="AG428" s="3"/>
      <c r="AH428" s="4"/>
      <c r="AI428" s="3"/>
      <c r="AJ428" s="4"/>
      <c r="AK428" s="3"/>
      <c r="AL428" s="4"/>
      <c r="AM428" s="3"/>
      <c r="AN428" s="4"/>
      <c r="AO428" s="3"/>
      <c r="AP428" s="4"/>
      <c r="AQ428" s="3"/>
      <c r="AR428" s="4"/>
      <c r="AS428" s="3"/>
      <c r="AT428" s="4"/>
      <c r="AU428" s="3"/>
      <c r="AV428" s="4"/>
      <c r="AW428" s="3"/>
      <c r="AX428" s="4"/>
      <c r="AY428" s="3"/>
      <c r="AZ428" s="4"/>
      <c r="BA428" s="3"/>
      <c r="BB428" s="4"/>
      <c r="BC428" s="3"/>
      <c r="BD428" s="4"/>
      <c r="BE428" s="3"/>
      <c r="BF428" s="4"/>
      <c r="BG428" s="3"/>
      <c r="BH428" s="4"/>
      <c r="BI428" s="3"/>
      <c r="BJ428" s="4"/>
      <c r="BK428" s="3"/>
      <c r="BL428" s="4"/>
      <c r="BM428" s="3"/>
      <c r="BN428" s="4"/>
      <c r="BO428" s="3"/>
      <c r="BP428" s="4"/>
      <c r="BQ428" s="3"/>
      <c r="BR428" s="4"/>
      <c r="BS428" s="3"/>
      <c r="BT428" s="4"/>
      <c r="BU428" s="3"/>
      <c r="BV428" s="4"/>
      <c r="BW428" s="3"/>
      <c r="BX428" s="4"/>
      <c r="BY428" s="3"/>
      <c r="BZ428" s="4"/>
      <c r="CA428" s="3"/>
      <c r="CB428" s="4"/>
      <c r="CC428" s="3"/>
      <c r="CD428" s="4"/>
    </row>
    <row r="429">
      <c r="A429" s="3"/>
      <c r="B429" s="4"/>
      <c r="C429" s="3"/>
      <c r="D429" s="4"/>
      <c r="E429" s="3"/>
      <c r="F429" s="4"/>
      <c r="G429" s="3"/>
      <c r="H429" s="4"/>
      <c r="I429" s="3"/>
      <c r="J429" s="4"/>
      <c r="K429" s="3"/>
      <c r="L429" s="4"/>
      <c r="M429" s="3"/>
      <c r="N429" s="4"/>
      <c r="O429" s="3"/>
      <c r="P429" s="4"/>
      <c r="Q429" s="3"/>
      <c r="R429" s="4"/>
      <c r="S429" s="3"/>
      <c r="T429" s="4"/>
      <c r="U429" s="3"/>
      <c r="V429" s="4"/>
      <c r="W429" s="3"/>
      <c r="X429" s="4"/>
      <c r="Y429" s="3"/>
      <c r="Z429" s="4"/>
      <c r="AA429" s="3"/>
      <c r="AB429" s="4"/>
      <c r="AC429" s="3"/>
      <c r="AD429" s="4"/>
      <c r="AE429" s="3"/>
      <c r="AF429" s="4"/>
      <c r="AG429" s="3"/>
      <c r="AH429" s="4"/>
      <c r="AI429" s="3"/>
      <c r="AJ429" s="4"/>
      <c r="AK429" s="3"/>
      <c r="AL429" s="4"/>
      <c r="AM429" s="3"/>
      <c r="AN429" s="4"/>
      <c r="AO429" s="3"/>
      <c r="AP429" s="4"/>
      <c r="AQ429" s="3"/>
      <c r="AR429" s="4"/>
      <c r="AS429" s="3"/>
      <c r="AT429" s="4"/>
      <c r="AU429" s="3"/>
      <c r="AV429" s="4"/>
      <c r="AW429" s="3"/>
      <c r="AX429" s="4"/>
      <c r="AY429" s="3"/>
      <c r="AZ429" s="4"/>
      <c r="BA429" s="3"/>
      <c r="BB429" s="4"/>
      <c r="BC429" s="3"/>
      <c r="BD429" s="4"/>
      <c r="BE429" s="3"/>
      <c r="BF429" s="4"/>
      <c r="BG429" s="3"/>
      <c r="BH429" s="4"/>
      <c r="BI429" s="3"/>
      <c r="BJ429" s="4"/>
      <c r="BK429" s="3"/>
      <c r="BL429" s="4"/>
      <c r="BM429" s="3"/>
      <c r="BN429" s="4"/>
      <c r="BO429" s="3"/>
      <c r="BP429" s="4"/>
      <c r="BQ429" s="3"/>
      <c r="BR429" s="4"/>
      <c r="BS429" s="3"/>
      <c r="BT429" s="4"/>
      <c r="BU429" s="3"/>
      <c r="BV429" s="4"/>
      <c r="BW429" s="3"/>
      <c r="BX429" s="4"/>
      <c r="BY429" s="3"/>
      <c r="BZ429" s="4"/>
      <c r="CA429" s="3"/>
      <c r="CB429" s="4"/>
      <c r="CC429" s="3"/>
      <c r="CD429" s="4"/>
    </row>
    <row r="430">
      <c r="A430" s="3"/>
      <c r="B430" s="4"/>
      <c r="C430" s="3"/>
      <c r="D430" s="4"/>
      <c r="E430" s="3"/>
      <c r="F430" s="4"/>
      <c r="G430" s="3"/>
      <c r="H430" s="4"/>
      <c r="I430" s="3"/>
      <c r="J430" s="4"/>
      <c r="K430" s="3"/>
      <c r="L430" s="4"/>
      <c r="M430" s="3"/>
      <c r="N430" s="4"/>
      <c r="O430" s="3"/>
      <c r="P430" s="4"/>
      <c r="Q430" s="3"/>
      <c r="R430" s="4"/>
      <c r="S430" s="3"/>
      <c r="T430" s="4"/>
      <c r="U430" s="3"/>
      <c r="V430" s="4"/>
      <c r="W430" s="3"/>
      <c r="X430" s="4"/>
      <c r="Y430" s="3"/>
      <c r="Z430" s="4"/>
      <c r="AA430" s="3"/>
      <c r="AB430" s="4"/>
      <c r="AC430" s="3"/>
      <c r="AD430" s="4"/>
      <c r="AE430" s="3"/>
      <c r="AF430" s="4"/>
      <c r="AG430" s="3"/>
      <c r="AH430" s="4"/>
      <c r="AI430" s="3"/>
      <c r="AJ430" s="4"/>
      <c r="AK430" s="3"/>
      <c r="AL430" s="4"/>
      <c r="AM430" s="3"/>
      <c r="AN430" s="4"/>
      <c r="AO430" s="3"/>
      <c r="AP430" s="4"/>
      <c r="AQ430" s="3"/>
      <c r="AR430" s="4"/>
      <c r="AS430" s="3"/>
      <c r="AT430" s="4"/>
      <c r="AU430" s="3"/>
      <c r="AV430" s="4"/>
      <c r="AW430" s="3"/>
      <c r="AX430" s="4"/>
      <c r="AY430" s="3"/>
      <c r="AZ430" s="4"/>
      <c r="BA430" s="3"/>
      <c r="BB430" s="4"/>
      <c r="BC430" s="3"/>
      <c r="BD430" s="4"/>
      <c r="BE430" s="3"/>
      <c r="BF430" s="4"/>
      <c r="BG430" s="3"/>
      <c r="BH430" s="4"/>
      <c r="BI430" s="3"/>
      <c r="BJ430" s="4"/>
      <c r="BK430" s="3"/>
      <c r="BL430" s="4"/>
      <c r="BM430" s="3"/>
      <c r="BN430" s="4"/>
      <c r="BO430" s="3"/>
      <c r="BP430" s="4"/>
      <c r="BQ430" s="3"/>
      <c r="BR430" s="4"/>
      <c r="BS430" s="3"/>
      <c r="BT430" s="4"/>
      <c r="BU430" s="3"/>
      <c r="BV430" s="4"/>
      <c r="BW430" s="3"/>
      <c r="BX430" s="4"/>
      <c r="BY430" s="3"/>
      <c r="BZ430" s="4"/>
      <c r="CA430" s="3"/>
      <c r="CB430" s="4"/>
      <c r="CC430" s="3"/>
      <c r="CD430" s="4"/>
    </row>
    <row r="431">
      <c r="A431" s="3"/>
      <c r="B431" s="4"/>
      <c r="C431" s="3"/>
      <c r="D431" s="4"/>
      <c r="E431" s="3"/>
      <c r="F431" s="4"/>
      <c r="G431" s="3"/>
      <c r="H431" s="4"/>
      <c r="I431" s="3"/>
      <c r="J431" s="4"/>
      <c r="K431" s="3"/>
      <c r="L431" s="4"/>
      <c r="M431" s="3"/>
      <c r="N431" s="4"/>
      <c r="O431" s="3"/>
      <c r="P431" s="4"/>
      <c r="Q431" s="3"/>
      <c r="R431" s="4"/>
      <c r="S431" s="3"/>
      <c r="T431" s="4"/>
      <c r="U431" s="3"/>
      <c r="V431" s="4"/>
      <c r="W431" s="3"/>
      <c r="X431" s="4"/>
      <c r="Y431" s="3"/>
      <c r="Z431" s="4"/>
      <c r="AA431" s="3"/>
      <c r="AB431" s="4"/>
      <c r="AC431" s="3"/>
      <c r="AD431" s="4"/>
      <c r="AE431" s="3"/>
      <c r="AF431" s="4"/>
      <c r="AG431" s="3"/>
      <c r="AH431" s="4"/>
      <c r="AI431" s="3"/>
      <c r="AJ431" s="4"/>
      <c r="AK431" s="3"/>
      <c r="AL431" s="4"/>
      <c r="AM431" s="3"/>
      <c r="AN431" s="4"/>
      <c r="AO431" s="3"/>
      <c r="AP431" s="4"/>
      <c r="AQ431" s="3"/>
      <c r="AR431" s="4"/>
      <c r="AS431" s="3"/>
      <c r="AT431" s="4"/>
      <c r="AU431" s="3"/>
      <c r="AV431" s="4"/>
      <c r="AW431" s="3"/>
      <c r="AX431" s="4"/>
      <c r="AY431" s="3"/>
      <c r="AZ431" s="4"/>
      <c r="BA431" s="3"/>
      <c r="BB431" s="4"/>
      <c r="BC431" s="3"/>
      <c r="BD431" s="4"/>
      <c r="BE431" s="3"/>
      <c r="BF431" s="4"/>
      <c r="BG431" s="3"/>
      <c r="BH431" s="4"/>
      <c r="BI431" s="3"/>
      <c r="BJ431" s="4"/>
      <c r="BK431" s="3"/>
      <c r="BL431" s="4"/>
      <c r="BM431" s="3"/>
      <c r="BN431" s="4"/>
      <c r="BO431" s="3"/>
      <c r="BP431" s="4"/>
      <c r="BQ431" s="3"/>
      <c r="BR431" s="4"/>
      <c r="BS431" s="3"/>
      <c r="BT431" s="4"/>
      <c r="BU431" s="3"/>
      <c r="BV431" s="4"/>
      <c r="BW431" s="3"/>
      <c r="BX431" s="4"/>
      <c r="BY431" s="3"/>
      <c r="BZ431" s="4"/>
      <c r="CA431" s="3"/>
      <c r="CB431" s="4"/>
      <c r="CC431" s="3"/>
      <c r="CD431" s="4"/>
    </row>
    <row r="432">
      <c r="A432" s="3"/>
      <c r="B432" s="4"/>
      <c r="C432" s="3"/>
      <c r="D432" s="4"/>
      <c r="E432" s="3"/>
      <c r="F432" s="4"/>
      <c r="G432" s="3"/>
      <c r="H432" s="4"/>
      <c r="I432" s="3"/>
      <c r="J432" s="4"/>
      <c r="K432" s="3"/>
      <c r="L432" s="4"/>
      <c r="M432" s="3"/>
      <c r="N432" s="4"/>
      <c r="O432" s="3"/>
      <c r="P432" s="4"/>
      <c r="Q432" s="3"/>
      <c r="R432" s="4"/>
      <c r="S432" s="3"/>
      <c r="T432" s="4"/>
      <c r="U432" s="3"/>
      <c r="V432" s="4"/>
      <c r="W432" s="3"/>
      <c r="X432" s="4"/>
      <c r="Y432" s="3"/>
      <c r="Z432" s="4"/>
      <c r="AA432" s="3"/>
      <c r="AB432" s="4"/>
      <c r="AC432" s="3"/>
      <c r="AD432" s="4"/>
      <c r="AE432" s="3"/>
      <c r="AF432" s="4"/>
      <c r="AG432" s="3"/>
      <c r="AH432" s="4"/>
      <c r="AI432" s="3"/>
      <c r="AJ432" s="4"/>
      <c r="AK432" s="3"/>
      <c r="AL432" s="4"/>
      <c r="AM432" s="3"/>
      <c r="AN432" s="4"/>
      <c r="AO432" s="3"/>
      <c r="AP432" s="4"/>
      <c r="AQ432" s="3"/>
      <c r="AR432" s="4"/>
      <c r="AS432" s="3"/>
      <c r="AT432" s="4"/>
      <c r="AU432" s="3"/>
      <c r="AV432" s="4"/>
      <c r="AW432" s="3"/>
      <c r="AX432" s="4"/>
      <c r="AY432" s="3"/>
      <c r="AZ432" s="4"/>
      <c r="BA432" s="3"/>
      <c r="BB432" s="4"/>
      <c r="BC432" s="3"/>
      <c r="BD432" s="4"/>
      <c r="BE432" s="3"/>
      <c r="BF432" s="4"/>
      <c r="BG432" s="3"/>
      <c r="BH432" s="4"/>
      <c r="BI432" s="3"/>
      <c r="BJ432" s="4"/>
      <c r="BK432" s="3"/>
      <c r="BL432" s="4"/>
      <c r="BM432" s="3"/>
      <c r="BN432" s="4"/>
      <c r="BO432" s="3"/>
      <c r="BP432" s="4"/>
      <c r="BQ432" s="3"/>
      <c r="BR432" s="4"/>
      <c r="BS432" s="3"/>
      <c r="BT432" s="4"/>
      <c r="BU432" s="3"/>
      <c r="BV432" s="4"/>
      <c r="BW432" s="3"/>
      <c r="BX432" s="4"/>
      <c r="BY432" s="3"/>
      <c r="BZ432" s="4"/>
      <c r="CA432" s="3"/>
      <c r="CB432" s="4"/>
      <c r="CC432" s="3"/>
      <c r="CD432" s="4"/>
    </row>
    <row r="433">
      <c r="A433" s="3"/>
      <c r="B433" s="4"/>
      <c r="C433" s="3"/>
      <c r="D433" s="4"/>
      <c r="E433" s="3"/>
      <c r="F433" s="4"/>
      <c r="G433" s="3"/>
      <c r="H433" s="4"/>
      <c r="I433" s="3"/>
      <c r="J433" s="4"/>
      <c r="K433" s="3"/>
      <c r="L433" s="4"/>
      <c r="M433" s="3"/>
      <c r="N433" s="4"/>
      <c r="O433" s="3"/>
      <c r="P433" s="4"/>
      <c r="Q433" s="3"/>
      <c r="R433" s="4"/>
      <c r="S433" s="3"/>
      <c r="T433" s="4"/>
      <c r="U433" s="3"/>
      <c r="V433" s="4"/>
      <c r="W433" s="3"/>
      <c r="X433" s="4"/>
      <c r="Y433" s="3"/>
      <c r="Z433" s="4"/>
      <c r="AA433" s="3"/>
      <c r="AB433" s="4"/>
      <c r="AC433" s="3"/>
      <c r="AD433" s="4"/>
      <c r="AE433" s="3"/>
      <c r="AF433" s="4"/>
      <c r="AG433" s="3"/>
      <c r="AH433" s="4"/>
      <c r="AI433" s="3"/>
      <c r="AJ433" s="4"/>
      <c r="AK433" s="3"/>
      <c r="AL433" s="4"/>
      <c r="AM433" s="3"/>
      <c r="AN433" s="4"/>
      <c r="AO433" s="3"/>
      <c r="AP433" s="4"/>
      <c r="AQ433" s="3"/>
      <c r="AR433" s="4"/>
      <c r="AS433" s="3"/>
      <c r="AT433" s="4"/>
      <c r="AU433" s="3"/>
      <c r="AV433" s="4"/>
      <c r="AW433" s="3"/>
      <c r="AX433" s="4"/>
      <c r="AY433" s="3"/>
      <c r="AZ433" s="4"/>
      <c r="BA433" s="3"/>
      <c r="BB433" s="4"/>
      <c r="BC433" s="3"/>
      <c r="BD433" s="4"/>
      <c r="BE433" s="3"/>
      <c r="BF433" s="4"/>
      <c r="BG433" s="3"/>
      <c r="BH433" s="4"/>
      <c r="BI433" s="3"/>
      <c r="BJ433" s="4"/>
      <c r="BK433" s="3"/>
      <c r="BL433" s="4"/>
      <c r="BM433" s="3"/>
      <c r="BN433" s="4"/>
      <c r="BO433" s="3"/>
      <c r="BP433" s="4"/>
      <c r="BQ433" s="3"/>
      <c r="BR433" s="4"/>
      <c r="BS433" s="3"/>
      <c r="BT433" s="4"/>
      <c r="BU433" s="3"/>
      <c r="BV433" s="4"/>
      <c r="BW433" s="3"/>
      <c r="BX433" s="4"/>
      <c r="BY433" s="3"/>
      <c r="BZ433" s="4"/>
      <c r="CA433" s="3"/>
      <c r="CB433" s="4"/>
      <c r="CC433" s="3"/>
      <c r="CD433" s="4"/>
    </row>
    <row r="434">
      <c r="A434" s="3"/>
      <c r="B434" s="4"/>
      <c r="C434" s="3"/>
      <c r="D434" s="4"/>
      <c r="E434" s="3"/>
      <c r="F434" s="4"/>
      <c r="G434" s="3"/>
      <c r="H434" s="4"/>
      <c r="I434" s="3"/>
      <c r="J434" s="4"/>
      <c r="K434" s="3"/>
      <c r="L434" s="4"/>
      <c r="M434" s="3"/>
      <c r="N434" s="4"/>
      <c r="O434" s="3"/>
      <c r="P434" s="4"/>
      <c r="Q434" s="3"/>
      <c r="R434" s="4"/>
      <c r="S434" s="3"/>
      <c r="T434" s="4"/>
      <c r="U434" s="3"/>
      <c r="V434" s="4"/>
      <c r="W434" s="3"/>
      <c r="X434" s="4"/>
      <c r="Y434" s="3"/>
      <c r="Z434" s="4"/>
      <c r="AA434" s="3"/>
      <c r="AB434" s="4"/>
      <c r="AC434" s="3"/>
      <c r="AD434" s="4"/>
      <c r="AE434" s="3"/>
      <c r="AF434" s="4"/>
      <c r="AG434" s="3"/>
      <c r="AH434" s="4"/>
      <c r="AI434" s="3"/>
      <c r="AJ434" s="4"/>
      <c r="AK434" s="3"/>
      <c r="AL434" s="4"/>
      <c r="AM434" s="3"/>
      <c r="AN434" s="4"/>
      <c r="AO434" s="3"/>
      <c r="AP434" s="4"/>
      <c r="AQ434" s="3"/>
      <c r="AR434" s="4"/>
      <c r="AS434" s="3"/>
      <c r="AT434" s="4"/>
      <c r="AU434" s="3"/>
      <c r="AV434" s="4"/>
      <c r="AW434" s="3"/>
      <c r="AX434" s="4"/>
      <c r="AY434" s="3"/>
      <c r="AZ434" s="4"/>
      <c r="BA434" s="3"/>
      <c r="BB434" s="4"/>
      <c r="BC434" s="3"/>
      <c r="BD434" s="4"/>
      <c r="BE434" s="3"/>
      <c r="BF434" s="4"/>
      <c r="BG434" s="3"/>
      <c r="BH434" s="4"/>
      <c r="BI434" s="3"/>
      <c r="BJ434" s="4"/>
      <c r="BK434" s="3"/>
      <c r="BL434" s="4"/>
      <c r="BM434" s="3"/>
      <c r="BN434" s="4"/>
      <c r="BO434" s="3"/>
      <c r="BP434" s="4"/>
      <c r="BQ434" s="3"/>
      <c r="BR434" s="4"/>
      <c r="BS434" s="3"/>
      <c r="BT434" s="4"/>
      <c r="BU434" s="3"/>
      <c r="BV434" s="4"/>
      <c r="BW434" s="3"/>
      <c r="BX434" s="4"/>
      <c r="BY434" s="3"/>
      <c r="BZ434" s="4"/>
      <c r="CA434" s="3"/>
      <c r="CB434" s="4"/>
      <c r="CC434" s="3"/>
      <c r="CD434" s="4"/>
    </row>
    <row r="435">
      <c r="A435" s="3"/>
      <c r="B435" s="4"/>
      <c r="C435" s="3"/>
      <c r="D435" s="4"/>
      <c r="E435" s="3"/>
      <c r="F435" s="4"/>
      <c r="G435" s="3"/>
      <c r="H435" s="4"/>
      <c r="I435" s="3"/>
      <c r="J435" s="4"/>
      <c r="K435" s="3"/>
      <c r="L435" s="4"/>
      <c r="M435" s="3"/>
      <c r="N435" s="4"/>
      <c r="O435" s="3"/>
      <c r="P435" s="4"/>
      <c r="Q435" s="3"/>
      <c r="R435" s="4"/>
      <c r="S435" s="3"/>
      <c r="T435" s="4"/>
      <c r="U435" s="3"/>
      <c r="V435" s="4"/>
      <c r="W435" s="3"/>
      <c r="X435" s="4"/>
      <c r="Y435" s="3"/>
      <c r="Z435" s="4"/>
      <c r="AA435" s="3"/>
      <c r="AB435" s="4"/>
      <c r="AC435" s="3"/>
      <c r="AD435" s="4"/>
      <c r="AE435" s="3"/>
      <c r="AF435" s="4"/>
      <c r="AG435" s="3"/>
      <c r="AH435" s="4"/>
      <c r="AI435" s="3"/>
      <c r="AJ435" s="4"/>
      <c r="AK435" s="3"/>
      <c r="AL435" s="4"/>
      <c r="AM435" s="3"/>
      <c r="AN435" s="4"/>
      <c r="AO435" s="3"/>
      <c r="AP435" s="4"/>
      <c r="AQ435" s="3"/>
      <c r="AR435" s="4"/>
      <c r="AS435" s="3"/>
      <c r="AT435" s="4"/>
      <c r="AU435" s="3"/>
      <c r="AV435" s="4"/>
      <c r="AW435" s="3"/>
      <c r="AX435" s="4"/>
      <c r="AY435" s="3"/>
      <c r="AZ435" s="4"/>
      <c r="BA435" s="3"/>
      <c r="BB435" s="4"/>
      <c r="BC435" s="3"/>
      <c r="BD435" s="4"/>
      <c r="BE435" s="3"/>
      <c r="BF435" s="4"/>
      <c r="BG435" s="3"/>
      <c r="BH435" s="4"/>
      <c r="BI435" s="3"/>
      <c r="BJ435" s="4"/>
      <c r="BK435" s="3"/>
      <c r="BL435" s="4"/>
      <c r="BM435" s="3"/>
      <c r="BN435" s="4"/>
      <c r="BO435" s="3"/>
      <c r="BP435" s="4"/>
      <c r="BQ435" s="3"/>
      <c r="BR435" s="4"/>
      <c r="BS435" s="3"/>
      <c r="BT435" s="4"/>
      <c r="BU435" s="3"/>
      <c r="BV435" s="4"/>
      <c r="BW435" s="3"/>
      <c r="BX435" s="4"/>
      <c r="BY435" s="3"/>
      <c r="BZ435" s="4"/>
      <c r="CA435" s="3"/>
      <c r="CB435" s="4"/>
      <c r="CC435" s="3"/>
      <c r="CD435" s="4"/>
    </row>
    <row r="436">
      <c r="A436" s="3"/>
      <c r="B436" s="4"/>
      <c r="C436" s="3"/>
      <c r="D436" s="4"/>
      <c r="E436" s="3"/>
      <c r="F436" s="4"/>
      <c r="G436" s="3"/>
      <c r="H436" s="4"/>
      <c r="I436" s="3"/>
      <c r="J436" s="4"/>
      <c r="K436" s="3"/>
      <c r="L436" s="4"/>
      <c r="M436" s="3"/>
      <c r="N436" s="4"/>
      <c r="O436" s="3"/>
      <c r="P436" s="4"/>
      <c r="Q436" s="3"/>
      <c r="R436" s="4"/>
      <c r="S436" s="3"/>
      <c r="T436" s="4"/>
      <c r="U436" s="3"/>
      <c r="V436" s="4"/>
      <c r="W436" s="3"/>
      <c r="X436" s="4"/>
      <c r="Y436" s="3"/>
      <c r="Z436" s="4"/>
      <c r="AA436" s="3"/>
      <c r="AB436" s="4"/>
      <c r="AC436" s="3"/>
      <c r="AD436" s="4"/>
      <c r="AE436" s="3"/>
      <c r="AF436" s="4"/>
      <c r="AG436" s="3"/>
      <c r="AH436" s="4"/>
      <c r="AI436" s="3"/>
      <c r="AJ436" s="4"/>
      <c r="AK436" s="3"/>
      <c r="AL436" s="4"/>
      <c r="AM436" s="3"/>
      <c r="AN436" s="4"/>
      <c r="AO436" s="3"/>
      <c r="AP436" s="4"/>
      <c r="AQ436" s="3"/>
      <c r="AR436" s="4"/>
      <c r="AS436" s="3"/>
      <c r="AT436" s="4"/>
      <c r="AU436" s="3"/>
      <c r="AV436" s="4"/>
      <c r="AW436" s="3"/>
      <c r="AX436" s="4"/>
      <c r="AY436" s="3"/>
      <c r="AZ436" s="4"/>
      <c r="BA436" s="3"/>
      <c r="BB436" s="4"/>
      <c r="BC436" s="3"/>
      <c r="BD436" s="4"/>
      <c r="BE436" s="3"/>
      <c r="BF436" s="4"/>
      <c r="BG436" s="3"/>
      <c r="BH436" s="4"/>
      <c r="BI436" s="3"/>
      <c r="BJ436" s="4"/>
      <c r="BK436" s="3"/>
      <c r="BL436" s="4"/>
      <c r="BM436" s="3"/>
      <c r="BN436" s="4"/>
      <c r="BO436" s="3"/>
      <c r="BP436" s="4"/>
      <c r="BQ436" s="3"/>
      <c r="BR436" s="4"/>
      <c r="BS436" s="3"/>
      <c r="BT436" s="4"/>
      <c r="BU436" s="3"/>
      <c r="BV436" s="4"/>
      <c r="BW436" s="3"/>
      <c r="BX436" s="4"/>
      <c r="BY436" s="3"/>
      <c r="BZ436" s="4"/>
      <c r="CA436" s="3"/>
      <c r="CB436" s="4"/>
      <c r="CC436" s="3"/>
      <c r="CD436" s="4"/>
    </row>
    <row r="437">
      <c r="A437" s="3"/>
      <c r="B437" s="4"/>
      <c r="C437" s="3"/>
      <c r="D437" s="4"/>
      <c r="E437" s="3"/>
      <c r="F437" s="4"/>
      <c r="G437" s="3"/>
      <c r="H437" s="4"/>
      <c r="I437" s="3"/>
      <c r="J437" s="4"/>
      <c r="K437" s="3"/>
      <c r="L437" s="4"/>
      <c r="M437" s="3"/>
      <c r="N437" s="4"/>
      <c r="O437" s="3"/>
      <c r="P437" s="4"/>
      <c r="Q437" s="3"/>
      <c r="R437" s="4"/>
      <c r="S437" s="3"/>
      <c r="T437" s="4"/>
      <c r="U437" s="3"/>
      <c r="V437" s="4"/>
      <c r="W437" s="3"/>
      <c r="X437" s="4"/>
      <c r="Y437" s="3"/>
      <c r="Z437" s="4"/>
      <c r="AA437" s="3"/>
      <c r="AB437" s="4"/>
      <c r="AC437" s="3"/>
      <c r="AD437" s="4"/>
      <c r="AE437" s="3"/>
      <c r="AF437" s="4"/>
      <c r="AG437" s="3"/>
      <c r="AH437" s="4"/>
      <c r="AI437" s="3"/>
      <c r="AJ437" s="4"/>
      <c r="AK437" s="3"/>
      <c r="AL437" s="4"/>
      <c r="AM437" s="3"/>
      <c r="AN437" s="4"/>
      <c r="AO437" s="3"/>
      <c r="AP437" s="4"/>
      <c r="AQ437" s="3"/>
      <c r="AR437" s="4"/>
      <c r="AS437" s="3"/>
      <c r="AT437" s="4"/>
      <c r="AU437" s="3"/>
      <c r="AV437" s="4"/>
      <c r="AW437" s="3"/>
      <c r="AX437" s="4"/>
      <c r="AY437" s="3"/>
      <c r="AZ437" s="4"/>
      <c r="BA437" s="3"/>
      <c r="BB437" s="4"/>
      <c r="BC437" s="3"/>
      <c r="BD437" s="4"/>
      <c r="BE437" s="3"/>
      <c r="BF437" s="4"/>
      <c r="BG437" s="3"/>
      <c r="BH437" s="4"/>
      <c r="BI437" s="3"/>
      <c r="BJ437" s="4"/>
      <c r="BK437" s="3"/>
      <c r="BL437" s="4"/>
      <c r="BM437" s="3"/>
      <c r="BN437" s="4"/>
      <c r="BO437" s="3"/>
      <c r="BP437" s="4"/>
      <c r="BQ437" s="3"/>
      <c r="BR437" s="4"/>
      <c r="BS437" s="3"/>
      <c r="BT437" s="4"/>
      <c r="BU437" s="3"/>
      <c r="BV437" s="4"/>
      <c r="BW437" s="3"/>
      <c r="BX437" s="4"/>
      <c r="BY437" s="3"/>
      <c r="BZ437" s="4"/>
      <c r="CA437" s="3"/>
      <c r="CB437" s="4"/>
      <c r="CC437" s="3"/>
      <c r="CD437" s="4"/>
    </row>
    <row r="438">
      <c r="A438" s="3"/>
      <c r="B438" s="4"/>
      <c r="C438" s="3"/>
      <c r="D438" s="4"/>
      <c r="E438" s="3"/>
      <c r="F438" s="4"/>
      <c r="G438" s="3"/>
      <c r="H438" s="4"/>
      <c r="I438" s="3"/>
      <c r="J438" s="4"/>
      <c r="K438" s="3"/>
      <c r="L438" s="4"/>
      <c r="M438" s="3"/>
      <c r="N438" s="4"/>
      <c r="O438" s="3"/>
      <c r="P438" s="4"/>
      <c r="Q438" s="3"/>
      <c r="R438" s="4"/>
      <c r="S438" s="3"/>
      <c r="T438" s="4"/>
      <c r="U438" s="3"/>
      <c r="V438" s="4"/>
      <c r="W438" s="3"/>
      <c r="X438" s="4"/>
      <c r="Y438" s="3"/>
      <c r="Z438" s="4"/>
      <c r="AA438" s="3"/>
      <c r="AB438" s="4"/>
      <c r="AC438" s="3"/>
      <c r="AD438" s="4"/>
      <c r="AE438" s="3"/>
      <c r="AF438" s="4"/>
      <c r="AG438" s="3"/>
      <c r="AH438" s="4"/>
      <c r="AI438" s="3"/>
      <c r="AJ438" s="4"/>
      <c r="AK438" s="3"/>
      <c r="AL438" s="4"/>
      <c r="AM438" s="3"/>
      <c r="AN438" s="4"/>
      <c r="AO438" s="3"/>
      <c r="AP438" s="4"/>
      <c r="AQ438" s="3"/>
      <c r="AR438" s="4"/>
      <c r="AS438" s="3"/>
      <c r="AT438" s="4"/>
      <c r="AU438" s="3"/>
      <c r="AV438" s="4"/>
      <c r="AW438" s="3"/>
      <c r="AX438" s="4"/>
      <c r="AY438" s="3"/>
      <c r="AZ438" s="4"/>
      <c r="BA438" s="3"/>
      <c r="BB438" s="4"/>
      <c r="BC438" s="3"/>
      <c r="BD438" s="4"/>
      <c r="BE438" s="3"/>
      <c r="BF438" s="4"/>
      <c r="BG438" s="3"/>
      <c r="BH438" s="4"/>
      <c r="BI438" s="3"/>
      <c r="BJ438" s="4"/>
      <c r="BK438" s="3"/>
      <c r="BL438" s="4"/>
      <c r="BM438" s="3"/>
      <c r="BN438" s="4"/>
      <c r="BO438" s="3"/>
      <c r="BP438" s="4"/>
      <c r="BQ438" s="3"/>
      <c r="BR438" s="4"/>
      <c r="BS438" s="3"/>
      <c r="BT438" s="4"/>
      <c r="BU438" s="3"/>
      <c r="BV438" s="4"/>
      <c r="BW438" s="3"/>
      <c r="BX438" s="4"/>
      <c r="BY438" s="3"/>
      <c r="BZ438" s="4"/>
      <c r="CA438" s="3"/>
      <c r="CB438" s="4"/>
      <c r="CC438" s="3"/>
      <c r="CD438" s="4"/>
    </row>
    <row r="439">
      <c r="A439" s="3"/>
      <c r="B439" s="4"/>
      <c r="C439" s="3"/>
      <c r="D439" s="4"/>
      <c r="E439" s="3"/>
      <c r="F439" s="4"/>
      <c r="G439" s="3"/>
      <c r="H439" s="4"/>
      <c r="I439" s="3"/>
      <c r="J439" s="4"/>
      <c r="K439" s="3"/>
      <c r="L439" s="4"/>
      <c r="M439" s="3"/>
      <c r="N439" s="4"/>
      <c r="O439" s="3"/>
      <c r="P439" s="4"/>
      <c r="Q439" s="3"/>
      <c r="R439" s="4"/>
      <c r="S439" s="3"/>
      <c r="T439" s="4"/>
      <c r="U439" s="3"/>
      <c r="V439" s="4"/>
      <c r="W439" s="3"/>
      <c r="X439" s="4"/>
      <c r="Y439" s="3"/>
      <c r="Z439" s="4"/>
      <c r="AA439" s="3"/>
      <c r="AB439" s="4"/>
      <c r="AC439" s="3"/>
      <c r="AD439" s="4"/>
      <c r="AE439" s="3"/>
      <c r="AF439" s="4"/>
      <c r="AG439" s="3"/>
      <c r="AH439" s="4"/>
      <c r="AI439" s="3"/>
      <c r="AJ439" s="4"/>
      <c r="AK439" s="3"/>
      <c r="AL439" s="4"/>
      <c r="AM439" s="3"/>
      <c r="AN439" s="4"/>
      <c r="AO439" s="3"/>
      <c r="AP439" s="4"/>
      <c r="AQ439" s="3"/>
      <c r="AR439" s="4"/>
      <c r="AS439" s="3"/>
      <c r="AT439" s="4"/>
      <c r="AU439" s="3"/>
      <c r="AV439" s="4"/>
      <c r="AW439" s="3"/>
      <c r="AX439" s="4"/>
      <c r="AY439" s="3"/>
      <c r="AZ439" s="4"/>
      <c r="BA439" s="3"/>
      <c r="BB439" s="4"/>
      <c r="BC439" s="3"/>
      <c r="BD439" s="4"/>
      <c r="BE439" s="3"/>
      <c r="BF439" s="4"/>
      <c r="BG439" s="3"/>
      <c r="BH439" s="4"/>
      <c r="BI439" s="3"/>
      <c r="BJ439" s="4"/>
      <c r="BK439" s="3"/>
      <c r="BL439" s="4"/>
      <c r="BM439" s="3"/>
      <c r="BN439" s="4"/>
      <c r="BO439" s="3"/>
      <c r="BP439" s="4"/>
      <c r="BQ439" s="3"/>
      <c r="BR439" s="4"/>
      <c r="BS439" s="3"/>
      <c r="BT439" s="4"/>
      <c r="BU439" s="3"/>
      <c r="BV439" s="4"/>
      <c r="BW439" s="3"/>
      <c r="BX439" s="4"/>
      <c r="BY439" s="3"/>
      <c r="BZ439" s="4"/>
      <c r="CA439" s="3"/>
      <c r="CB439" s="4"/>
      <c r="CC439" s="3"/>
      <c r="CD439" s="4"/>
    </row>
    <row r="440">
      <c r="A440" s="3"/>
      <c r="B440" s="4"/>
      <c r="C440" s="3"/>
      <c r="D440" s="4"/>
      <c r="E440" s="3"/>
      <c r="F440" s="4"/>
      <c r="G440" s="3"/>
      <c r="H440" s="4"/>
      <c r="I440" s="3"/>
      <c r="J440" s="4"/>
      <c r="K440" s="3"/>
      <c r="L440" s="4"/>
      <c r="M440" s="3"/>
      <c r="N440" s="4"/>
      <c r="O440" s="3"/>
      <c r="P440" s="4"/>
      <c r="Q440" s="3"/>
      <c r="R440" s="4"/>
      <c r="S440" s="3"/>
      <c r="T440" s="4"/>
      <c r="U440" s="3"/>
      <c r="V440" s="4"/>
      <c r="W440" s="3"/>
      <c r="X440" s="4"/>
      <c r="Y440" s="3"/>
      <c r="Z440" s="4"/>
      <c r="AA440" s="3"/>
      <c r="AB440" s="4"/>
      <c r="AC440" s="3"/>
      <c r="AD440" s="4"/>
      <c r="AE440" s="3"/>
      <c r="AF440" s="4"/>
      <c r="AG440" s="3"/>
      <c r="AH440" s="4"/>
      <c r="AI440" s="3"/>
      <c r="AJ440" s="4"/>
      <c r="AK440" s="3"/>
      <c r="AL440" s="4"/>
      <c r="AM440" s="3"/>
      <c r="AN440" s="4"/>
      <c r="AO440" s="3"/>
      <c r="AP440" s="4"/>
      <c r="AQ440" s="3"/>
      <c r="AR440" s="4"/>
      <c r="AS440" s="3"/>
      <c r="AT440" s="4"/>
      <c r="AU440" s="3"/>
      <c r="AV440" s="4"/>
      <c r="AW440" s="3"/>
      <c r="AX440" s="4"/>
      <c r="AY440" s="3"/>
      <c r="AZ440" s="4"/>
      <c r="BA440" s="3"/>
      <c r="BB440" s="4"/>
      <c r="BC440" s="3"/>
      <c r="BD440" s="4"/>
      <c r="BE440" s="3"/>
      <c r="BF440" s="4"/>
      <c r="BG440" s="3"/>
      <c r="BH440" s="4"/>
      <c r="BI440" s="3"/>
      <c r="BJ440" s="4"/>
      <c r="BK440" s="3"/>
      <c r="BL440" s="4"/>
      <c r="BM440" s="3"/>
      <c r="BN440" s="4"/>
      <c r="BO440" s="3"/>
      <c r="BP440" s="4"/>
      <c r="BQ440" s="3"/>
      <c r="BR440" s="4"/>
      <c r="BS440" s="3"/>
      <c r="BT440" s="4"/>
      <c r="BU440" s="3"/>
      <c r="BV440" s="4"/>
      <c r="BW440" s="3"/>
      <c r="BX440" s="4"/>
      <c r="BY440" s="3"/>
      <c r="BZ440" s="4"/>
      <c r="CA440" s="3"/>
      <c r="CB440" s="4"/>
      <c r="CC440" s="3"/>
      <c r="CD440" s="4"/>
    </row>
    <row r="441">
      <c r="A441" s="3"/>
      <c r="B441" s="4"/>
      <c r="C441" s="3"/>
      <c r="D441" s="4"/>
      <c r="E441" s="3"/>
      <c r="F441" s="4"/>
      <c r="G441" s="3"/>
      <c r="H441" s="4"/>
      <c r="I441" s="3"/>
      <c r="J441" s="4"/>
      <c r="K441" s="3"/>
      <c r="L441" s="4"/>
      <c r="M441" s="3"/>
      <c r="N441" s="4"/>
      <c r="O441" s="3"/>
      <c r="P441" s="4"/>
      <c r="Q441" s="3"/>
      <c r="R441" s="4"/>
      <c r="S441" s="3"/>
      <c r="T441" s="4"/>
      <c r="U441" s="3"/>
      <c r="V441" s="4"/>
      <c r="W441" s="3"/>
      <c r="X441" s="4"/>
      <c r="Y441" s="3"/>
      <c r="Z441" s="4"/>
      <c r="AA441" s="3"/>
      <c r="AB441" s="4"/>
      <c r="AC441" s="3"/>
      <c r="AD441" s="4"/>
      <c r="AE441" s="3"/>
      <c r="AF441" s="4"/>
      <c r="AG441" s="3"/>
      <c r="AH441" s="4"/>
      <c r="AI441" s="3"/>
      <c r="AJ441" s="4"/>
      <c r="AK441" s="3"/>
      <c r="AL441" s="4"/>
      <c r="AM441" s="3"/>
      <c r="AN441" s="4"/>
      <c r="AO441" s="3"/>
      <c r="AP441" s="4"/>
      <c r="AQ441" s="3"/>
      <c r="AR441" s="4"/>
      <c r="AS441" s="3"/>
      <c r="AT441" s="4"/>
      <c r="AU441" s="3"/>
      <c r="AV441" s="4"/>
      <c r="AW441" s="3"/>
      <c r="AX441" s="4"/>
      <c r="AY441" s="3"/>
      <c r="AZ441" s="4"/>
      <c r="BA441" s="3"/>
      <c r="BB441" s="4"/>
      <c r="BC441" s="3"/>
      <c r="BD441" s="4"/>
      <c r="BE441" s="3"/>
      <c r="BF441" s="4"/>
      <c r="BG441" s="3"/>
      <c r="BH441" s="4"/>
      <c r="BI441" s="3"/>
      <c r="BJ441" s="4"/>
      <c r="BK441" s="3"/>
      <c r="BL441" s="4"/>
      <c r="BM441" s="3"/>
      <c r="BN441" s="4"/>
      <c r="BO441" s="3"/>
      <c r="BP441" s="4"/>
      <c r="BQ441" s="3"/>
      <c r="BR441" s="4"/>
      <c r="BS441" s="3"/>
      <c r="BT441" s="4"/>
      <c r="BU441" s="3"/>
      <c r="BV441" s="4"/>
      <c r="BW441" s="3"/>
      <c r="BX441" s="4"/>
      <c r="BY441" s="3"/>
      <c r="BZ441" s="4"/>
      <c r="CA441" s="3"/>
      <c r="CB441" s="4"/>
      <c r="CC441" s="3"/>
      <c r="CD441" s="4"/>
    </row>
    <row r="442">
      <c r="A442" s="3"/>
      <c r="B442" s="4"/>
      <c r="C442" s="3"/>
      <c r="D442" s="4"/>
      <c r="E442" s="3"/>
      <c r="F442" s="4"/>
      <c r="G442" s="3"/>
      <c r="H442" s="4"/>
      <c r="I442" s="3"/>
      <c r="J442" s="4"/>
      <c r="K442" s="3"/>
      <c r="L442" s="4"/>
      <c r="M442" s="3"/>
      <c r="N442" s="4"/>
      <c r="O442" s="3"/>
      <c r="P442" s="4"/>
      <c r="Q442" s="3"/>
      <c r="R442" s="4"/>
      <c r="S442" s="3"/>
      <c r="T442" s="4"/>
      <c r="U442" s="3"/>
      <c r="V442" s="4"/>
      <c r="W442" s="3"/>
      <c r="X442" s="4"/>
      <c r="Y442" s="3"/>
      <c r="Z442" s="4"/>
      <c r="AA442" s="3"/>
      <c r="AB442" s="4"/>
      <c r="AC442" s="3"/>
      <c r="AD442" s="4"/>
      <c r="AE442" s="3"/>
      <c r="AF442" s="4"/>
      <c r="AG442" s="3"/>
      <c r="AH442" s="4"/>
      <c r="AI442" s="3"/>
      <c r="AJ442" s="4"/>
      <c r="AK442" s="3"/>
      <c r="AL442" s="4"/>
      <c r="AM442" s="3"/>
      <c r="AN442" s="4"/>
      <c r="AO442" s="3"/>
      <c r="AP442" s="4"/>
      <c r="AQ442" s="3"/>
      <c r="AR442" s="4"/>
      <c r="AS442" s="3"/>
      <c r="AT442" s="4"/>
      <c r="AU442" s="3"/>
      <c r="AV442" s="4"/>
      <c r="AW442" s="3"/>
      <c r="AX442" s="4"/>
      <c r="AY442" s="3"/>
      <c r="AZ442" s="4"/>
      <c r="BA442" s="3"/>
      <c r="BB442" s="4"/>
      <c r="BC442" s="3"/>
      <c r="BD442" s="4"/>
      <c r="BE442" s="3"/>
      <c r="BF442" s="4"/>
      <c r="BG442" s="3"/>
      <c r="BH442" s="4"/>
      <c r="BI442" s="3"/>
      <c r="BJ442" s="4"/>
      <c r="BK442" s="3"/>
      <c r="BL442" s="4"/>
      <c r="BM442" s="3"/>
      <c r="BN442" s="4"/>
      <c r="BO442" s="3"/>
      <c r="BP442" s="4"/>
      <c r="BQ442" s="3"/>
      <c r="BR442" s="4"/>
      <c r="BS442" s="3"/>
      <c r="BT442" s="4"/>
      <c r="BU442" s="3"/>
      <c r="BV442" s="4"/>
      <c r="BW442" s="3"/>
      <c r="BX442" s="4"/>
      <c r="BY442" s="3"/>
      <c r="BZ442" s="4"/>
      <c r="CA442" s="3"/>
      <c r="CB442" s="4"/>
      <c r="CC442" s="3"/>
      <c r="CD442" s="4"/>
    </row>
    <row r="443">
      <c r="A443" s="3"/>
      <c r="B443" s="4"/>
      <c r="C443" s="3"/>
      <c r="D443" s="4"/>
      <c r="E443" s="3"/>
      <c r="F443" s="4"/>
      <c r="G443" s="3"/>
      <c r="H443" s="4"/>
      <c r="I443" s="3"/>
      <c r="J443" s="4"/>
      <c r="K443" s="3"/>
      <c r="L443" s="4"/>
      <c r="M443" s="3"/>
      <c r="N443" s="4"/>
      <c r="O443" s="3"/>
      <c r="P443" s="4"/>
      <c r="Q443" s="3"/>
      <c r="R443" s="4"/>
      <c r="S443" s="3"/>
      <c r="T443" s="4"/>
      <c r="U443" s="3"/>
      <c r="V443" s="4"/>
      <c r="W443" s="3"/>
      <c r="X443" s="4"/>
      <c r="Y443" s="3"/>
      <c r="Z443" s="4"/>
      <c r="AA443" s="3"/>
      <c r="AB443" s="4"/>
      <c r="AC443" s="3"/>
      <c r="AD443" s="4"/>
      <c r="AE443" s="3"/>
      <c r="AF443" s="4"/>
      <c r="AG443" s="3"/>
      <c r="AH443" s="4"/>
      <c r="AI443" s="3"/>
      <c r="AJ443" s="4"/>
      <c r="AK443" s="3"/>
      <c r="AL443" s="4"/>
      <c r="AM443" s="3"/>
      <c r="AN443" s="4"/>
      <c r="AO443" s="3"/>
      <c r="AP443" s="4"/>
      <c r="AQ443" s="3"/>
      <c r="AR443" s="4"/>
      <c r="AS443" s="3"/>
      <c r="AT443" s="4"/>
      <c r="AU443" s="3"/>
      <c r="AV443" s="4"/>
      <c r="AW443" s="3"/>
      <c r="AX443" s="4"/>
      <c r="AY443" s="3"/>
      <c r="AZ443" s="4"/>
      <c r="BA443" s="3"/>
      <c r="BB443" s="4"/>
      <c r="BC443" s="3"/>
      <c r="BD443" s="4"/>
      <c r="BE443" s="3"/>
      <c r="BF443" s="4"/>
      <c r="BG443" s="3"/>
      <c r="BH443" s="4"/>
      <c r="BI443" s="3"/>
      <c r="BJ443" s="4"/>
      <c r="BK443" s="3"/>
      <c r="BL443" s="4"/>
      <c r="BM443" s="3"/>
      <c r="BN443" s="4"/>
      <c r="BO443" s="3"/>
      <c r="BP443" s="4"/>
      <c r="BQ443" s="3"/>
      <c r="BR443" s="4"/>
      <c r="BS443" s="3"/>
      <c r="BT443" s="4"/>
      <c r="BU443" s="3"/>
      <c r="BV443" s="4"/>
      <c r="BW443" s="3"/>
      <c r="BX443" s="4"/>
      <c r="BY443" s="3"/>
      <c r="BZ443" s="4"/>
      <c r="CA443" s="3"/>
      <c r="CB443" s="4"/>
      <c r="CC443" s="3"/>
      <c r="CD443" s="4"/>
    </row>
    <row r="444">
      <c r="A444" s="3"/>
      <c r="B444" s="4"/>
      <c r="C444" s="3"/>
      <c r="D444" s="4"/>
      <c r="E444" s="3"/>
      <c r="F444" s="4"/>
      <c r="G444" s="3"/>
      <c r="H444" s="4"/>
      <c r="I444" s="3"/>
      <c r="J444" s="4"/>
      <c r="K444" s="3"/>
      <c r="L444" s="4"/>
      <c r="M444" s="3"/>
      <c r="N444" s="4"/>
      <c r="O444" s="3"/>
      <c r="P444" s="4"/>
      <c r="Q444" s="3"/>
      <c r="R444" s="4"/>
      <c r="S444" s="3"/>
      <c r="T444" s="4"/>
      <c r="U444" s="3"/>
      <c r="V444" s="4"/>
      <c r="W444" s="3"/>
      <c r="X444" s="4"/>
      <c r="Y444" s="3"/>
      <c r="Z444" s="4"/>
      <c r="AA444" s="3"/>
      <c r="AB444" s="4"/>
      <c r="AC444" s="3"/>
      <c r="AD444" s="4"/>
      <c r="AE444" s="3"/>
      <c r="AF444" s="4"/>
      <c r="AG444" s="3"/>
      <c r="AH444" s="4"/>
      <c r="AI444" s="3"/>
      <c r="AJ444" s="4"/>
      <c r="AK444" s="3"/>
      <c r="AL444" s="4"/>
      <c r="AM444" s="3"/>
      <c r="AN444" s="4"/>
      <c r="AO444" s="3"/>
      <c r="AP444" s="4"/>
      <c r="AQ444" s="3"/>
      <c r="AR444" s="4"/>
      <c r="AS444" s="3"/>
      <c r="AT444" s="4"/>
      <c r="AU444" s="3"/>
      <c r="AV444" s="4"/>
      <c r="AW444" s="3"/>
      <c r="AX444" s="4"/>
      <c r="AY444" s="3"/>
      <c r="AZ444" s="4"/>
      <c r="BA444" s="3"/>
      <c r="BB444" s="4"/>
      <c r="BC444" s="3"/>
      <c r="BD444" s="4"/>
      <c r="BE444" s="3"/>
      <c r="BF444" s="4"/>
      <c r="BG444" s="3"/>
      <c r="BH444" s="4"/>
      <c r="BI444" s="3"/>
      <c r="BJ444" s="4"/>
      <c r="BK444" s="3"/>
      <c r="BL444" s="4"/>
      <c r="BM444" s="3"/>
      <c r="BN444" s="4"/>
      <c r="BO444" s="3"/>
      <c r="BP444" s="4"/>
      <c r="BQ444" s="3"/>
      <c r="BR444" s="4"/>
      <c r="BS444" s="3"/>
      <c r="BT444" s="4"/>
      <c r="BU444" s="3"/>
      <c r="BV444" s="4"/>
      <c r="BW444" s="3"/>
      <c r="BX444" s="4"/>
      <c r="BY444" s="3"/>
      <c r="BZ444" s="4"/>
      <c r="CA444" s="3"/>
      <c r="CB444" s="4"/>
      <c r="CC444" s="3"/>
      <c r="CD444" s="4"/>
    </row>
    <row r="445">
      <c r="A445" s="3"/>
      <c r="B445" s="4"/>
      <c r="C445" s="3"/>
      <c r="D445" s="4"/>
      <c r="E445" s="3"/>
      <c r="F445" s="4"/>
      <c r="G445" s="3"/>
      <c r="H445" s="4"/>
      <c r="I445" s="3"/>
      <c r="J445" s="4"/>
      <c r="K445" s="3"/>
      <c r="L445" s="4"/>
      <c r="M445" s="3"/>
      <c r="N445" s="4"/>
      <c r="O445" s="3"/>
      <c r="P445" s="4"/>
      <c r="Q445" s="3"/>
      <c r="R445" s="4"/>
      <c r="S445" s="3"/>
      <c r="T445" s="4"/>
      <c r="U445" s="3"/>
      <c r="V445" s="4"/>
      <c r="W445" s="3"/>
      <c r="X445" s="4"/>
      <c r="Y445" s="3"/>
      <c r="Z445" s="4"/>
      <c r="AA445" s="3"/>
      <c r="AB445" s="4"/>
      <c r="AC445" s="3"/>
      <c r="AD445" s="4"/>
      <c r="AE445" s="3"/>
      <c r="AF445" s="4"/>
      <c r="AG445" s="3"/>
      <c r="AH445" s="4"/>
      <c r="AI445" s="3"/>
      <c r="AJ445" s="4"/>
      <c r="AK445" s="3"/>
      <c r="AL445" s="4"/>
      <c r="AM445" s="3"/>
      <c r="AN445" s="4"/>
      <c r="AO445" s="3"/>
      <c r="AP445" s="4"/>
      <c r="AQ445" s="3"/>
      <c r="AR445" s="4"/>
      <c r="AS445" s="3"/>
      <c r="AT445" s="4"/>
      <c r="AU445" s="3"/>
      <c r="AV445" s="4"/>
      <c r="AW445" s="3"/>
      <c r="AX445" s="4"/>
      <c r="AY445" s="3"/>
      <c r="AZ445" s="4"/>
      <c r="BA445" s="3"/>
      <c r="BB445" s="4"/>
      <c r="BC445" s="3"/>
      <c r="BD445" s="4"/>
      <c r="BE445" s="3"/>
      <c r="BF445" s="4"/>
      <c r="BG445" s="3"/>
      <c r="BH445" s="4"/>
      <c r="BI445" s="3"/>
      <c r="BJ445" s="4"/>
      <c r="BK445" s="3"/>
      <c r="BL445" s="4"/>
      <c r="BM445" s="3"/>
      <c r="BN445" s="4"/>
      <c r="BO445" s="3"/>
      <c r="BP445" s="4"/>
      <c r="BQ445" s="3"/>
      <c r="BR445" s="4"/>
      <c r="BS445" s="3"/>
      <c r="BT445" s="4"/>
      <c r="BU445" s="3"/>
      <c r="BV445" s="4"/>
      <c r="BW445" s="3"/>
      <c r="BX445" s="4"/>
      <c r="BY445" s="3"/>
      <c r="BZ445" s="4"/>
      <c r="CA445" s="3"/>
      <c r="CB445" s="4"/>
      <c r="CC445" s="3"/>
      <c r="CD445" s="4"/>
    </row>
    <row r="446">
      <c r="A446" s="3"/>
      <c r="B446" s="4"/>
      <c r="C446" s="3"/>
      <c r="D446" s="4"/>
      <c r="E446" s="3"/>
      <c r="F446" s="4"/>
      <c r="G446" s="3"/>
      <c r="H446" s="4"/>
      <c r="I446" s="3"/>
      <c r="J446" s="4"/>
      <c r="K446" s="3"/>
      <c r="L446" s="4"/>
      <c r="M446" s="3"/>
      <c r="N446" s="4"/>
      <c r="O446" s="3"/>
      <c r="P446" s="4"/>
      <c r="Q446" s="3"/>
      <c r="R446" s="4"/>
      <c r="S446" s="3"/>
      <c r="T446" s="4"/>
      <c r="U446" s="3"/>
      <c r="V446" s="4"/>
      <c r="W446" s="3"/>
      <c r="X446" s="4"/>
      <c r="Y446" s="3"/>
      <c r="Z446" s="4"/>
      <c r="AA446" s="3"/>
      <c r="AB446" s="4"/>
      <c r="AC446" s="3"/>
      <c r="AD446" s="4"/>
      <c r="AE446" s="3"/>
      <c r="AF446" s="4"/>
      <c r="AG446" s="3"/>
      <c r="AH446" s="4"/>
      <c r="AI446" s="3"/>
      <c r="AJ446" s="4"/>
      <c r="AK446" s="3"/>
      <c r="AL446" s="4"/>
      <c r="AM446" s="3"/>
      <c r="AN446" s="4"/>
      <c r="AO446" s="3"/>
      <c r="AP446" s="4"/>
      <c r="AQ446" s="3"/>
      <c r="AR446" s="4"/>
      <c r="AS446" s="3"/>
      <c r="AT446" s="4"/>
      <c r="AU446" s="3"/>
      <c r="AV446" s="4"/>
      <c r="AW446" s="3"/>
      <c r="AX446" s="4"/>
      <c r="AY446" s="3"/>
      <c r="AZ446" s="4"/>
      <c r="BA446" s="3"/>
      <c r="BB446" s="4"/>
      <c r="BC446" s="3"/>
      <c r="BD446" s="4"/>
      <c r="BE446" s="3"/>
      <c r="BF446" s="4"/>
      <c r="BG446" s="3"/>
      <c r="BH446" s="4"/>
      <c r="BI446" s="3"/>
      <c r="BJ446" s="4"/>
      <c r="BK446" s="3"/>
      <c r="BL446" s="4"/>
      <c r="BM446" s="3"/>
      <c r="BN446" s="4"/>
      <c r="BO446" s="3"/>
      <c r="BP446" s="4"/>
      <c r="BQ446" s="3"/>
      <c r="BR446" s="4"/>
      <c r="BS446" s="3"/>
      <c r="BT446" s="4"/>
      <c r="BU446" s="3"/>
      <c r="BV446" s="4"/>
      <c r="BW446" s="3"/>
      <c r="BX446" s="4"/>
      <c r="BY446" s="3"/>
      <c r="BZ446" s="4"/>
      <c r="CA446" s="3"/>
      <c r="CB446" s="4"/>
      <c r="CC446" s="3"/>
      <c r="CD446" s="4"/>
    </row>
    <row r="447">
      <c r="A447" s="3"/>
      <c r="B447" s="4"/>
      <c r="C447" s="3"/>
      <c r="D447" s="4"/>
      <c r="E447" s="3"/>
      <c r="F447" s="4"/>
      <c r="G447" s="3"/>
      <c r="H447" s="4"/>
      <c r="I447" s="3"/>
      <c r="J447" s="4"/>
      <c r="K447" s="3"/>
      <c r="L447" s="4"/>
      <c r="M447" s="3"/>
      <c r="N447" s="4"/>
      <c r="O447" s="3"/>
      <c r="P447" s="4"/>
      <c r="Q447" s="3"/>
      <c r="R447" s="4"/>
      <c r="S447" s="3"/>
      <c r="T447" s="4"/>
      <c r="U447" s="3"/>
      <c r="V447" s="4"/>
      <c r="W447" s="3"/>
      <c r="X447" s="4"/>
      <c r="Y447" s="3"/>
      <c r="Z447" s="4"/>
      <c r="AA447" s="3"/>
      <c r="AB447" s="4"/>
      <c r="AC447" s="3"/>
      <c r="AD447" s="4"/>
      <c r="AE447" s="3"/>
      <c r="AF447" s="4"/>
      <c r="AG447" s="3"/>
      <c r="AH447" s="4"/>
      <c r="AI447" s="3"/>
      <c r="AJ447" s="4"/>
      <c r="AK447" s="3"/>
      <c r="AL447" s="4"/>
      <c r="AM447" s="3"/>
      <c r="AN447" s="4"/>
      <c r="AO447" s="3"/>
      <c r="AP447" s="4"/>
      <c r="AQ447" s="3"/>
      <c r="AR447" s="4"/>
      <c r="AS447" s="3"/>
      <c r="AT447" s="4"/>
      <c r="AU447" s="3"/>
      <c r="AV447" s="4"/>
      <c r="AW447" s="3"/>
      <c r="AX447" s="4"/>
      <c r="AY447" s="3"/>
      <c r="AZ447" s="4"/>
      <c r="BA447" s="3"/>
      <c r="BB447" s="4"/>
      <c r="BC447" s="3"/>
      <c r="BD447" s="4"/>
      <c r="BE447" s="3"/>
      <c r="BF447" s="4"/>
      <c r="BG447" s="3"/>
      <c r="BH447" s="4"/>
      <c r="BI447" s="3"/>
      <c r="BJ447" s="4"/>
      <c r="BK447" s="3"/>
      <c r="BL447" s="4"/>
      <c r="BM447" s="3"/>
      <c r="BN447" s="4"/>
      <c r="BO447" s="3"/>
      <c r="BP447" s="4"/>
      <c r="BQ447" s="3"/>
      <c r="BR447" s="4"/>
      <c r="BS447" s="3"/>
      <c r="BT447" s="4"/>
      <c r="BU447" s="3"/>
      <c r="BV447" s="4"/>
      <c r="BW447" s="3"/>
      <c r="BX447" s="4"/>
      <c r="BY447" s="3"/>
      <c r="BZ447" s="4"/>
      <c r="CA447" s="3"/>
      <c r="CB447" s="4"/>
      <c r="CC447" s="3"/>
      <c r="CD447" s="4"/>
    </row>
    <row r="448">
      <c r="A448" s="3"/>
      <c r="B448" s="4"/>
      <c r="C448" s="3"/>
      <c r="D448" s="4"/>
      <c r="E448" s="3"/>
      <c r="F448" s="4"/>
      <c r="G448" s="3"/>
      <c r="H448" s="4"/>
      <c r="I448" s="3"/>
      <c r="J448" s="4"/>
      <c r="K448" s="3"/>
      <c r="L448" s="4"/>
      <c r="M448" s="3"/>
      <c r="N448" s="4"/>
      <c r="O448" s="3"/>
      <c r="P448" s="4"/>
      <c r="Q448" s="3"/>
      <c r="R448" s="4"/>
      <c r="S448" s="3"/>
      <c r="T448" s="4"/>
      <c r="U448" s="3"/>
      <c r="V448" s="4"/>
      <c r="W448" s="3"/>
      <c r="X448" s="4"/>
      <c r="Y448" s="3"/>
      <c r="Z448" s="4"/>
      <c r="AA448" s="3"/>
      <c r="AB448" s="4"/>
      <c r="AC448" s="3"/>
      <c r="AD448" s="4"/>
      <c r="AE448" s="3"/>
      <c r="AF448" s="4"/>
      <c r="AG448" s="3"/>
      <c r="AH448" s="4"/>
      <c r="AI448" s="3"/>
      <c r="AJ448" s="4"/>
      <c r="AK448" s="3"/>
      <c r="AL448" s="4"/>
      <c r="AM448" s="3"/>
      <c r="AN448" s="4"/>
      <c r="AO448" s="3"/>
      <c r="AP448" s="4"/>
      <c r="AQ448" s="3"/>
      <c r="AR448" s="4"/>
      <c r="AS448" s="3"/>
      <c r="AT448" s="4"/>
      <c r="AU448" s="3"/>
      <c r="AV448" s="4"/>
      <c r="AW448" s="3"/>
      <c r="AX448" s="4"/>
      <c r="AY448" s="3"/>
      <c r="AZ448" s="4"/>
      <c r="BA448" s="3"/>
      <c r="BB448" s="4"/>
      <c r="BC448" s="3"/>
      <c r="BD448" s="4"/>
      <c r="BE448" s="3"/>
      <c r="BF448" s="4"/>
      <c r="BG448" s="3"/>
      <c r="BH448" s="4"/>
      <c r="BI448" s="3"/>
      <c r="BJ448" s="4"/>
      <c r="BK448" s="3"/>
      <c r="BL448" s="4"/>
      <c r="BM448" s="3"/>
      <c r="BN448" s="4"/>
      <c r="BO448" s="3"/>
      <c r="BP448" s="4"/>
      <c r="BQ448" s="3"/>
      <c r="BR448" s="4"/>
      <c r="BS448" s="3"/>
      <c r="BT448" s="4"/>
      <c r="BU448" s="3"/>
      <c r="BV448" s="4"/>
      <c r="BW448" s="3"/>
      <c r="BX448" s="4"/>
      <c r="BY448" s="3"/>
      <c r="BZ448" s="4"/>
      <c r="CA448" s="3"/>
      <c r="CB448" s="4"/>
      <c r="CC448" s="3"/>
      <c r="CD448" s="4"/>
    </row>
    <row r="449">
      <c r="A449" s="3"/>
      <c r="B449" s="4"/>
      <c r="C449" s="3"/>
      <c r="D449" s="4"/>
      <c r="E449" s="3"/>
      <c r="F449" s="4"/>
      <c r="G449" s="3"/>
      <c r="H449" s="4"/>
      <c r="I449" s="3"/>
      <c r="J449" s="4"/>
      <c r="K449" s="3"/>
      <c r="L449" s="4"/>
      <c r="M449" s="3"/>
      <c r="N449" s="4"/>
      <c r="O449" s="3"/>
      <c r="P449" s="4"/>
      <c r="Q449" s="3"/>
      <c r="R449" s="4"/>
      <c r="S449" s="3"/>
      <c r="T449" s="4"/>
      <c r="U449" s="3"/>
      <c r="V449" s="4"/>
      <c r="W449" s="3"/>
      <c r="X449" s="4"/>
      <c r="Y449" s="3"/>
      <c r="Z449" s="4"/>
      <c r="AA449" s="3"/>
      <c r="AB449" s="4"/>
      <c r="AC449" s="3"/>
      <c r="AD449" s="4"/>
      <c r="AE449" s="3"/>
      <c r="AF449" s="4"/>
      <c r="AG449" s="3"/>
      <c r="AH449" s="4"/>
      <c r="AI449" s="3"/>
      <c r="AJ449" s="4"/>
      <c r="AK449" s="3"/>
      <c r="AL449" s="4"/>
      <c r="AM449" s="3"/>
      <c r="AN449" s="4"/>
      <c r="AO449" s="3"/>
      <c r="AP449" s="4"/>
      <c r="AQ449" s="3"/>
      <c r="AR449" s="4"/>
      <c r="AS449" s="3"/>
      <c r="AT449" s="4"/>
      <c r="AU449" s="3"/>
      <c r="AV449" s="4"/>
      <c r="AW449" s="3"/>
      <c r="AX449" s="4"/>
      <c r="AY449" s="3"/>
      <c r="AZ449" s="4"/>
      <c r="BA449" s="3"/>
      <c r="BB449" s="4"/>
      <c r="BC449" s="3"/>
      <c r="BD449" s="4"/>
      <c r="BE449" s="3"/>
      <c r="BF449" s="4"/>
      <c r="BG449" s="3"/>
      <c r="BH449" s="4"/>
      <c r="BI449" s="3"/>
      <c r="BJ449" s="4"/>
      <c r="BK449" s="3"/>
      <c r="BL449" s="4"/>
      <c r="BM449" s="3"/>
      <c r="BN449" s="4"/>
      <c r="BO449" s="3"/>
      <c r="BP449" s="4"/>
      <c r="BQ449" s="3"/>
      <c r="BR449" s="4"/>
      <c r="BS449" s="3"/>
      <c r="BT449" s="4"/>
      <c r="BU449" s="3"/>
      <c r="BV449" s="4"/>
      <c r="BW449" s="3"/>
      <c r="BX449" s="4"/>
      <c r="BY449" s="3"/>
      <c r="BZ449" s="4"/>
      <c r="CA449" s="3"/>
      <c r="CB449" s="4"/>
      <c r="CC449" s="3"/>
      <c r="CD449" s="4"/>
    </row>
    <row r="450">
      <c r="A450" s="3"/>
      <c r="B450" s="4"/>
      <c r="C450" s="3"/>
      <c r="D450" s="4"/>
      <c r="E450" s="3"/>
      <c r="F450" s="4"/>
      <c r="G450" s="3"/>
      <c r="H450" s="4"/>
      <c r="I450" s="3"/>
      <c r="J450" s="4"/>
      <c r="K450" s="3"/>
      <c r="L450" s="4"/>
      <c r="M450" s="3"/>
      <c r="N450" s="4"/>
      <c r="O450" s="3"/>
      <c r="P450" s="4"/>
      <c r="Q450" s="3"/>
      <c r="R450" s="4"/>
      <c r="S450" s="3"/>
      <c r="T450" s="4"/>
      <c r="U450" s="3"/>
      <c r="V450" s="4"/>
      <c r="W450" s="3"/>
      <c r="X450" s="4"/>
      <c r="Y450" s="3"/>
      <c r="Z450" s="4"/>
      <c r="AA450" s="3"/>
      <c r="AB450" s="4"/>
      <c r="AC450" s="3"/>
      <c r="AD450" s="4"/>
      <c r="AE450" s="3"/>
      <c r="AF450" s="4"/>
      <c r="AG450" s="3"/>
      <c r="AH450" s="4"/>
      <c r="AI450" s="3"/>
      <c r="AJ450" s="4"/>
      <c r="AK450" s="3"/>
      <c r="AL450" s="4"/>
      <c r="AM450" s="3"/>
      <c r="AN450" s="4"/>
      <c r="AO450" s="3"/>
      <c r="AP450" s="4"/>
      <c r="AQ450" s="3"/>
      <c r="AR450" s="4"/>
      <c r="AS450" s="3"/>
      <c r="AT450" s="4"/>
      <c r="AU450" s="3"/>
      <c r="AV450" s="4"/>
      <c r="AW450" s="3"/>
      <c r="AX450" s="4"/>
      <c r="AY450" s="3"/>
      <c r="AZ450" s="4"/>
      <c r="BA450" s="3"/>
      <c r="BB450" s="4"/>
      <c r="BC450" s="3"/>
      <c r="BD450" s="4"/>
      <c r="BE450" s="3"/>
      <c r="BF450" s="4"/>
      <c r="BG450" s="3"/>
      <c r="BH450" s="4"/>
      <c r="BI450" s="3"/>
      <c r="BJ450" s="4"/>
      <c r="BK450" s="3"/>
      <c r="BL450" s="4"/>
      <c r="BM450" s="3"/>
      <c r="BN450" s="4"/>
      <c r="BO450" s="3"/>
      <c r="BP450" s="4"/>
      <c r="BQ450" s="3"/>
      <c r="BR450" s="4"/>
      <c r="BS450" s="3"/>
      <c r="BT450" s="4"/>
      <c r="BU450" s="3"/>
      <c r="BV450" s="4"/>
      <c r="BW450" s="3"/>
      <c r="BX450" s="4"/>
      <c r="BY450" s="3"/>
      <c r="BZ450" s="4"/>
      <c r="CA450" s="3"/>
      <c r="CB450" s="4"/>
      <c r="CC450" s="3"/>
      <c r="CD450" s="4"/>
    </row>
    <row r="451">
      <c r="A451" s="3"/>
      <c r="B451" s="4"/>
      <c r="C451" s="3"/>
      <c r="D451" s="4"/>
      <c r="E451" s="3"/>
      <c r="F451" s="4"/>
      <c r="G451" s="3"/>
      <c r="H451" s="4"/>
      <c r="I451" s="3"/>
      <c r="J451" s="4"/>
      <c r="K451" s="3"/>
      <c r="L451" s="4"/>
      <c r="M451" s="3"/>
      <c r="N451" s="4"/>
      <c r="O451" s="3"/>
      <c r="P451" s="4"/>
      <c r="Q451" s="3"/>
      <c r="R451" s="4"/>
      <c r="S451" s="3"/>
      <c r="T451" s="4"/>
      <c r="U451" s="3"/>
      <c r="V451" s="4"/>
      <c r="W451" s="3"/>
      <c r="X451" s="4"/>
      <c r="Y451" s="3"/>
      <c r="Z451" s="4"/>
      <c r="AA451" s="3"/>
      <c r="AB451" s="4"/>
      <c r="AC451" s="3"/>
      <c r="AD451" s="4"/>
      <c r="AE451" s="3"/>
      <c r="AF451" s="4"/>
      <c r="AG451" s="3"/>
      <c r="AH451" s="4"/>
      <c r="AI451" s="3"/>
      <c r="AJ451" s="4"/>
      <c r="AK451" s="3"/>
      <c r="AL451" s="4"/>
      <c r="AM451" s="3"/>
      <c r="AN451" s="4"/>
      <c r="AO451" s="3"/>
      <c r="AP451" s="4"/>
      <c r="AQ451" s="3"/>
      <c r="AR451" s="4"/>
      <c r="AS451" s="3"/>
      <c r="AT451" s="4"/>
      <c r="AU451" s="3"/>
      <c r="AV451" s="4"/>
      <c r="AW451" s="3"/>
      <c r="AX451" s="4"/>
      <c r="AY451" s="3"/>
      <c r="AZ451" s="4"/>
      <c r="BA451" s="3"/>
      <c r="BB451" s="4"/>
      <c r="BC451" s="3"/>
      <c r="BD451" s="4"/>
      <c r="BE451" s="3"/>
      <c r="BF451" s="4"/>
      <c r="BG451" s="3"/>
      <c r="BH451" s="4"/>
      <c r="BI451" s="3"/>
      <c r="BJ451" s="4"/>
      <c r="BK451" s="3"/>
      <c r="BL451" s="4"/>
      <c r="BM451" s="3"/>
      <c r="BN451" s="4"/>
      <c r="BO451" s="3"/>
      <c r="BP451" s="4"/>
      <c r="BQ451" s="3"/>
      <c r="BR451" s="4"/>
      <c r="BS451" s="3"/>
      <c r="BT451" s="4"/>
      <c r="BU451" s="3"/>
      <c r="BV451" s="4"/>
      <c r="BW451" s="3"/>
      <c r="BX451" s="4"/>
      <c r="BY451" s="3"/>
      <c r="BZ451" s="4"/>
      <c r="CA451" s="3"/>
      <c r="CB451" s="4"/>
      <c r="CC451" s="3"/>
      <c r="CD451" s="4"/>
    </row>
    <row r="452">
      <c r="A452" s="3"/>
      <c r="B452" s="4"/>
      <c r="C452" s="3"/>
      <c r="D452" s="4"/>
      <c r="E452" s="3"/>
      <c r="F452" s="4"/>
      <c r="G452" s="3"/>
      <c r="H452" s="4"/>
      <c r="I452" s="3"/>
      <c r="J452" s="4"/>
      <c r="K452" s="3"/>
      <c r="L452" s="4"/>
      <c r="M452" s="3"/>
      <c r="N452" s="4"/>
      <c r="O452" s="3"/>
      <c r="P452" s="4"/>
      <c r="Q452" s="3"/>
      <c r="R452" s="4"/>
      <c r="S452" s="3"/>
      <c r="T452" s="4"/>
      <c r="U452" s="3"/>
      <c r="V452" s="4"/>
      <c r="W452" s="3"/>
      <c r="X452" s="4"/>
      <c r="Y452" s="3"/>
      <c r="Z452" s="4"/>
      <c r="AA452" s="3"/>
      <c r="AB452" s="4"/>
      <c r="AC452" s="3"/>
      <c r="AD452" s="4"/>
      <c r="AE452" s="3"/>
      <c r="AF452" s="4"/>
      <c r="AG452" s="3"/>
      <c r="AH452" s="4"/>
      <c r="AI452" s="3"/>
      <c r="AJ452" s="4"/>
      <c r="AK452" s="3"/>
      <c r="AL452" s="4"/>
      <c r="AM452" s="3"/>
      <c r="AN452" s="4"/>
      <c r="AO452" s="3"/>
      <c r="AP452" s="4"/>
      <c r="AQ452" s="3"/>
      <c r="AR452" s="4"/>
      <c r="AS452" s="3"/>
      <c r="AT452" s="4"/>
      <c r="AU452" s="3"/>
      <c r="AV452" s="4"/>
      <c r="AW452" s="3"/>
      <c r="AX452" s="4"/>
      <c r="AY452" s="3"/>
      <c r="AZ452" s="4"/>
      <c r="BA452" s="3"/>
      <c r="BB452" s="4"/>
      <c r="BC452" s="3"/>
      <c r="BD452" s="4"/>
      <c r="BE452" s="3"/>
      <c r="BF452" s="4"/>
      <c r="BG452" s="3"/>
      <c r="BH452" s="4"/>
      <c r="BI452" s="3"/>
      <c r="BJ452" s="4"/>
      <c r="BK452" s="3"/>
      <c r="BL452" s="4"/>
      <c r="BM452" s="3"/>
      <c r="BN452" s="4"/>
      <c r="BO452" s="3"/>
      <c r="BP452" s="4"/>
      <c r="BQ452" s="3"/>
      <c r="BR452" s="4"/>
      <c r="BS452" s="3"/>
      <c r="BT452" s="4"/>
      <c r="BU452" s="3"/>
      <c r="BV452" s="4"/>
      <c r="BW452" s="3"/>
      <c r="BX452" s="4"/>
      <c r="BY452" s="3"/>
      <c r="BZ452" s="4"/>
      <c r="CA452" s="3"/>
      <c r="CB452" s="4"/>
      <c r="CC452" s="3"/>
      <c r="CD452" s="4"/>
    </row>
    <row r="453">
      <c r="A453" s="3"/>
      <c r="B453" s="4"/>
      <c r="C453" s="3"/>
      <c r="D453" s="4"/>
      <c r="E453" s="3"/>
      <c r="F453" s="4"/>
      <c r="G453" s="3"/>
      <c r="H453" s="4"/>
      <c r="I453" s="3"/>
      <c r="J453" s="4"/>
      <c r="K453" s="3"/>
      <c r="L453" s="4"/>
      <c r="M453" s="3"/>
      <c r="N453" s="4"/>
      <c r="O453" s="3"/>
      <c r="P453" s="4"/>
      <c r="Q453" s="3"/>
      <c r="R453" s="4"/>
      <c r="S453" s="3"/>
      <c r="T453" s="4"/>
      <c r="U453" s="3"/>
      <c r="V453" s="4"/>
      <c r="W453" s="3"/>
      <c r="X453" s="4"/>
      <c r="Y453" s="3"/>
      <c r="Z453" s="4"/>
      <c r="AA453" s="3"/>
      <c r="AB453" s="4"/>
      <c r="AC453" s="3"/>
      <c r="AD453" s="4"/>
      <c r="AE453" s="3"/>
      <c r="AF453" s="4"/>
      <c r="AG453" s="3"/>
      <c r="AH453" s="4"/>
      <c r="AI453" s="3"/>
      <c r="AJ453" s="4"/>
      <c r="AK453" s="3"/>
      <c r="AL453" s="4"/>
      <c r="AM453" s="3"/>
      <c r="AN453" s="4"/>
      <c r="AO453" s="3"/>
      <c r="AP453" s="4"/>
      <c r="AQ453" s="3"/>
      <c r="AR453" s="4"/>
      <c r="AS453" s="3"/>
      <c r="AT453" s="4"/>
      <c r="AU453" s="3"/>
      <c r="AV453" s="4"/>
      <c r="AW453" s="3"/>
      <c r="AX453" s="4"/>
      <c r="AY453" s="3"/>
      <c r="AZ453" s="4"/>
      <c r="BA453" s="3"/>
      <c r="BB453" s="4"/>
      <c r="BC453" s="3"/>
      <c r="BD453" s="4"/>
      <c r="BE453" s="3"/>
      <c r="BF453" s="4"/>
      <c r="BG453" s="3"/>
      <c r="BH453" s="4"/>
      <c r="BI453" s="3"/>
      <c r="BJ453" s="4"/>
      <c r="BK453" s="3"/>
      <c r="BL453" s="4"/>
      <c r="BM453" s="3"/>
      <c r="BN453" s="4"/>
      <c r="BO453" s="3"/>
      <c r="BP453" s="4"/>
      <c r="BQ453" s="3"/>
      <c r="BR453" s="4"/>
      <c r="BS453" s="3"/>
      <c r="BT453" s="4"/>
      <c r="BU453" s="3"/>
      <c r="BV453" s="4"/>
      <c r="BW453" s="3"/>
      <c r="BX453" s="4"/>
      <c r="BY453" s="3"/>
      <c r="BZ453" s="4"/>
      <c r="CA453" s="3"/>
      <c r="CB453" s="4"/>
      <c r="CC453" s="3"/>
      <c r="CD453" s="4"/>
    </row>
    <row r="454">
      <c r="A454" s="3"/>
      <c r="B454" s="4"/>
      <c r="C454" s="3"/>
      <c r="D454" s="4"/>
      <c r="E454" s="3"/>
      <c r="F454" s="4"/>
      <c r="G454" s="3"/>
      <c r="H454" s="4"/>
      <c r="I454" s="3"/>
      <c r="J454" s="4"/>
      <c r="K454" s="3"/>
      <c r="L454" s="4"/>
      <c r="M454" s="3"/>
      <c r="N454" s="4"/>
      <c r="O454" s="3"/>
      <c r="P454" s="4"/>
      <c r="Q454" s="3"/>
      <c r="R454" s="4"/>
      <c r="S454" s="3"/>
      <c r="T454" s="4"/>
      <c r="U454" s="3"/>
      <c r="V454" s="4"/>
      <c r="W454" s="3"/>
      <c r="X454" s="4"/>
      <c r="Y454" s="3"/>
      <c r="Z454" s="4"/>
      <c r="AA454" s="3"/>
      <c r="AB454" s="4"/>
      <c r="AC454" s="3"/>
      <c r="AD454" s="4"/>
      <c r="AE454" s="3"/>
      <c r="AF454" s="4"/>
      <c r="AG454" s="3"/>
      <c r="AH454" s="4"/>
      <c r="AI454" s="3"/>
      <c r="AJ454" s="4"/>
      <c r="AK454" s="3"/>
      <c r="AL454" s="4"/>
      <c r="AM454" s="3"/>
      <c r="AN454" s="4"/>
      <c r="AO454" s="3"/>
      <c r="AP454" s="4"/>
      <c r="AQ454" s="3"/>
      <c r="AR454" s="4"/>
      <c r="AS454" s="3"/>
      <c r="AT454" s="4"/>
      <c r="AU454" s="3"/>
      <c r="AV454" s="4"/>
      <c r="AW454" s="3"/>
      <c r="AX454" s="4"/>
      <c r="AY454" s="3"/>
      <c r="AZ454" s="4"/>
      <c r="BA454" s="3"/>
      <c r="BB454" s="4"/>
      <c r="BC454" s="3"/>
      <c r="BD454" s="4"/>
      <c r="BE454" s="3"/>
      <c r="BF454" s="4"/>
      <c r="BG454" s="3"/>
      <c r="BH454" s="4"/>
      <c r="BI454" s="3"/>
      <c r="BJ454" s="4"/>
      <c r="BK454" s="3"/>
      <c r="BL454" s="4"/>
      <c r="BM454" s="3"/>
      <c r="BN454" s="4"/>
      <c r="BO454" s="3"/>
      <c r="BP454" s="4"/>
      <c r="BQ454" s="3"/>
      <c r="BR454" s="4"/>
      <c r="BS454" s="3"/>
      <c r="BT454" s="4"/>
      <c r="BU454" s="3"/>
      <c r="BV454" s="4"/>
      <c r="BW454" s="3"/>
      <c r="BX454" s="4"/>
      <c r="BY454" s="3"/>
      <c r="BZ454" s="4"/>
      <c r="CA454" s="3"/>
      <c r="CB454" s="4"/>
      <c r="CC454" s="3"/>
      <c r="CD454" s="4"/>
    </row>
    <row r="455">
      <c r="A455" s="3"/>
      <c r="B455" s="4"/>
      <c r="C455" s="3"/>
      <c r="D455" s="4"/>
      <c r="E455" s="3"/>
      <c r="F455" s="4"/>
      <c r="G455" s="3"/>
      <c r="H455" s="4"/>
      <c r="I455" s="3"/>
      <c r="J455" s="4"/>
      <c r="K455" s="3"/>
      <c r="L455" s="4"/>
      <c r="M455" s="3"/>
      <c r="N455" s="4"/>
      <c r="O455" s="3"/>
      <c r="P455" s="4"/>
      <c r="Q455" s="3"/>
      <c r="R455" s="4"/>
      <c r="S455" s="3"/>
      <c r="T455" s="4"/>
      <c r="U455" s="3"/>
      <c r="V455" s="4"/>
      <c r="W455" s="3"/>
      <c r="X455" s="4"/>
      <c r="Y455" s="3"/>
      <c r="Z455" s="4"/>
      <c r="AA455" s="3"/>
      <c r="AB455" s="4"/>
      <c r="AC455" s="3"/>
      <c r="AD455" s="4"/>
      <c r="AE455" s="3"/>
      <c r="AF455" s="4"/>
      <c r="AG455" s="3"/>
      <c r="AH455" s="4"/>
      <c r="AI455" s="3"/>
      <c r="AJ455" s="4"/>
      <c r="AK455" s="3"/>
      <c r="AL455" s="4"/>
      <c r="AM455" s="3"/>
      <c r="AN455" s="4"/>
      <c r="AO455" s="3"/>
      <c r="AP455" s="4"/>
      <c r="AQ455" s="3"/>
      <c r="AR455" s="4"/>
      <c r="AS455" s="3"/>
      <c r="AT455" s="4"/>
      <c r="AU455" s="3"/>
      <c r="AV455" s="4"/>
      <c r="AW455" s="3"/>
      <c r="AX455" s="4"/>
      <c r="AY455" s="3"/>
      <c r="AZ455" s="4"/>
      <c r="BA455" s="3"/>
      <c r="BB455" s="4"/>
      <c r="BC455" s="3"/>
      <c r="BD455" s="4"/>
      <c r="BE455" s="3"/>
      <c r="BF455" s="4"/>
      <c r="BG455" s="3"/>
      <c r="BH455" s="4"/>
      <c r="BI455" s="3"/>
      <c r="BJ455" s="4"/>
      <c r="BK455" s="3"/>
      <c r="BL455" s="4"/>
      <c r="BM455" s="3"/>
      <c r="BN455" s="4"/>
      <c r="BO455" s="3"/>
      <c r="BP455" s="4"/>
      <c r="BQ455" s="3"/>
      <c r="BR455" s="4"/>
      <c r="BS455" s="3"/>
      <c r="BT455" s="4"/>
      <c r="BU455" s="3"/>
      <c r="BV455" s="4"/>
      <c r="BW455" s="3"/>
      <c r="BX455" s="4"/>
      <c r="BY455" s="3"/>
      <c r="BZ455" s="4"/>
      <c r="CA455" s="3"/>
      <c r="CB455" s="4"/>
      <c r="CC455" s="3"/>
      <c r="CD455" s="4"/>
    </row>
    <row r="456">
      <c r="A456" s="3"/>
      <c r="B456" s="4"/>
      <c r="C456" s="3"/>
      <c r="D456" s="4"/>
      <c r="E456" s="3"/>
      <c r="F456" s="4"/>
      <c r="G456" s="3"/>
      <c r="H456" s="4"/>
      <c r="I456" s="3"/>
      <c r="J456" s="4"/>
      <c r="K456" s="3"/>
      <c r="L456" s="4"/>
      <c r="M456" s="3"/>
      <c r="N456" s="4"/>
      <c r="O456" s="3"/>
      <c r="P456" s="4"/>
      <c r="Q456" s="3"/>
      <c r="R456" s="4"/>
      <c r="S456" s="3"/>
      <c r="T456" s="4"/>
      <c r="U456" s="3"/>
      <c r="V456" s="4"/>
      <c r="W456" s="3"/>
      <c r="X456" s="4"/>
      <c r="Y456" s="3"/>
      <c r="Z456" s="4"/>
      <c r="AA456" s="3"/>
      <c r="AB456" s="4"/>
      <c r="AC456" s="3"/>
      <c r="AD456" s="4"/>
      <c r="AE456" s="3"/>
      <c r="AF456" s="4"/>
      <c r="AG456" s="3"/>
      <c r="AH456" s="4"/>
      <c r="AI456" s="3"/>
      <c r="AJ456" s="4"/>
      <c r="AK456" s="3"/>
      <c r="AL456" s="4"/>
      <c r="AM456" s="3"/>
      <c r="AN456" s="4"/>
      <c r="AO456" s="3"/>
      <c r="AP456" s="4"/>
      <c r="AQ456" s="3"/>
      <c r="AR456" s="4"/>
      <c r="AS456" s="3"/>
      <c r="AT456" s="4"/>
      <c r="AU456" s="3"/>
      <c r="AV456" s="4"/>
      <c r="AW456" s="3"/>
      <c r="AX456" s="4"/>
      <c r="AY456" s="3"/>
      <c r="AZ456" s="4"/>
      <c r="BA456" s="3"/>
      <c r="BB456" s="4"/>
      <c r="BC456" s="3"/>
      <c r="BD456" s="4"/>
      <c r="BE456" s="3"/>
      <c r="BF456" s="4"/>
      <c r="BG456" s="3"/>
      <c r="BH456" s="4"/>
      <c r="BI456" s="3"/>
      <c r="BJ456" s="4"/>
      <c r="BK456" s="3"/>
      <c r="BL456" s="4"/>
      <c r="BM456" s="3"/>
      <c r="BN456" s="4"/>
      <c r="BO456" s="3"/>
      <c r="BP456" s="4"/>
      <c r="BQ456" s="3"/>
      <c r="BR456" s="4"/>
      <c r="BS456" s="3"/>
      <c r="BT456" s="4"/>
      <c r="BU456" s="3"/>
      <c r="BV456" s="4"/>
      <c r="BW456" s="3"/>
      <c r="BX456" s="4"/>
      <c r="BY456" s="3"/>
      <c r="BZ456" s="4"/>
      <c r="CA456" s="3"/>
      <c r="CB456" s="4"/>
      <c r="CC456" s="3"/>
      <c r="CD456" s="4"/>
    </row>
    <row r="457">
      <c r="A457" s="3"/>
      <c r="B457" s="4"/>
      <c r="C457" s="3"/>
      <c r="D457" s="4"/>
      <c r="E457" s="3"/>
      <c r="F457" s="4"/>
      <c r="G457" s="3"/>
      <c r="H457" s="4"/>
      <c r="I457" s="3"/>
      <c r="J457" s="4"/>
      <c r="K457" s="3"/>
      <c r="L457" s="4"/>
      <c r="M457" s="3"/>
      <c r="N457" s="4"/>
      <c r="O457" s="3"/>
      <c r="P457" s="4"/>
      <c r="Q457" s="3"/>
      <c r="R457" s="4"/>
      <c r="S457" s="3"/>
      <c r="T457" s="4"/>
      <c r="U457" s="3"/>
      <c r="V457" s="4"/>
      <c r="W457" s="3"/>
      <c r="X457" s="4"/>
      <c r="Y457" s="3"/>
      <c r="Z457" s="4"/>
      <c r="AA457" s="3"/>
      <c r="AB457" s="4"/>
      <c r="AC457" s="3"/>
      <c r="AD457" s="4"/>
      <c r="AE457" s="3"/>
      <c r="AF457" s="4"/>
      <c r="AG457" s="3"/>
      <c r="AH457" s="4"/>
      <c r="AI457" s="3"/>
      <c r="AJ457" s="4"/>
      <c r="AK457" s="3"/>
      <c r="AL457" s="4"/>
      <c r="AM457" s="3"/>
      <c r="AN457" s="4"/>
      <c r="AO457" s="3"/>
      <c r="AP457" s="4"/>
      <c r="AQ457" s="3"/>
      <c r="AR457" s="4"/>
      <c r="AS457" s="3"/>
      <c r="AT457" s="4"/>
      <c r="AU457" s="3"/>
      <c r="AV457" s="4"/>
      <c r="AW457" s="3"/>
      <c r="AX457" s="4"/>
      <c r="AY457" s="3"/>
      <c r="AZ457" s="4"/>
      <c r="BA457" s="3"/>
      <c r="BB457" s="4"/>
      <c r="BC457" s="3"/>
      <c r="BD457" s="4"/>
      <c r="BE457" s="3"/>
      <c r="BF457" s="4"/>
      <c r="BG457" s="3"/>
      <c r="BH457" s="4"/>
      <c r="BI457" s="3"/>
      <c r="BJ457" s="4"/>
      <c r="BK457" s="3"/>
      <c r="BL457" s="4"/>
      <c r="BM457" s="3"/>
      <c r="BN457" s="4"/>
      <c r="BO457" s="3"/>
      <c r="BP457" s="4"/>
      <c r="BQ457" s="3"/>
      <c r="BR457" s="4"/>
      <c r="BS457" s="3"/>
      <c r="BT457" s="4"/>
      <c r="BU457" s="3"/>
      <c r="BV457" s="4"/>
      <c r="BW457" s="3"/>
      <c r="BX457" s="4"/>
      <c r="BY457" s="3"/>
      <c r="BZ457" s="4"/>
      <c r="CA457" s="3"/>
      <c r="CB457" s="4"/>
      <c r="CC457" s="3"/>
      <c r="CD457" s="4"/>
    </row>
    <row r="458">
      <c r="A458" s="3"/>
      <c r="B458" s="4"/>
      <c r="C458" s="3"/>
      <c r="D458" s="4"/>
      <c r="E458" s="3"/>
      <c r="F458" s="4"/>
      <c r="G458" s="3"/>
      <c r="H458" s="4"/>
      <c r="I458" s="3"/>
      <c r="J458" s="4"/>
      <c r="K458" s="3"/>
      <c r="L458" s="4"/>
      <c r="M458" s="3"/>
      <c r="N458" s="4"/>
      <c r="O458" s="3"/>
      <c r="P458" s="4"/>
      <c r="Q458" s="3"/>
      <c r="R458" s="4"/>
      <c r="S458" s="3"/>
      <c r="T458" s="4"/>
      <c r="U458" s="3"/>
      <c r="V458" s="4"/>
      <c r="W458" s="3"/>
      <c r="X458" s="4"/>
      <c r="Y458" s="3"/>
      <c r="Z458" s="4"/>
      <c r="AA458" s="3"/>
      <c r="AB458" s="4"/>
      <c r="AC458" s="3"/>
      <c r="AD458" s="4"/>
      <c r="AE458" s="3"/>
      <c r="AF458" s="4"/>
      <c r="AG458" s="3"/>
      <c r="AH458" s="4"/>
      <c r="AI458" s="3"/>
      <c r="AJ458" s="4"/>
      <c r="AK458" s="3"/>
      <c r="AL458" s="4"/>
      <c r="AM458" s="3"/>
      <c r="AN458" s="4"/>
      <c r="AO458" s="3"/>
      <c r="AP458" s="4"/>
      <c r="AQ458" s="3"/>
      <c r="AR458" s="4"/>
      <c r="AS458" s="3"/>
      <c r="AT458" s="4"/>
      <c r="AU458" s="3"/>
      <c r="AV458" s="4"/>
      <c r="AW458" s="3"/>
      <c r="AX458" s="4"/>
      <c r="AY458" s="3"/>
      <c r="AZ458" s="4"/>
      <c r="BA458" s="3"/>
      <c r="BB458" s="4"/>
      <c r="BC458" s="3"/>
      <c r="BD458" s="4"/>
      <c r="BE458" s="3"/>
      <c r="BF458" s="4"/>
      <c r="BG458" s="3"/>
      <c r="BH458" s="4"/>
      <c r="BI458" s="3"/>
      <c r="BJ458" s="4"/>
      <c r="BK458" s="3"/>
      <c r="BL458" s="4"/>
      <c r="BM458" s="3"/>
      <c r="BN458" s="4"/>
      <c r="BO458" s="3"/>
      <c r="BP458" s="4"/>
      <c r="BQ458" s="3"/>
      <c r="BR458" s="4"/>
      <c r="BS458" s="3"/>
      <c r="BT458" s="4"/>
      <c r="BU458" s="3"/>
      <c r="BV458" s="4"/>
      <c r="BW458" s="3"/>
      <c r="BX458" s="4"/>
      <c r="BY458" s="3"/>
      <c r="BZ458" s="4"/>
      <c r="CA458" s="3"/>
      <c r="CB458" s="4"/>
      <c r="CC458" s="3"/>
      <c r="CD458" s="4"/>
    </row>
    <row r="459">
      <c r="A459" s="3"/>
      <c r="B459" s="4"/>
      <c r="C459" s="3"/>
      <c r="D459" s="4"/>
      <c r="E459" s="3"/>
      <c r="F459" s="4"/>
      <c r="G459" s="3"/>
      <c r="H459" s="4"/>
      <c r="I459" s="3"/>
      <c r="J459" s="4"/>
      <c r="K459" s="3"/>
      <c r="L459" s="4"/>
      <c r="M459" s="3"/>
      <c r="N459" s="4"/>
      <c r="O459" s="3"/>
      <c r="P459" s="4"/>
      <c r="Q459" s="3"/>
      <c r="R459" s="4"/>
      <c r="S459" s="3"/>
      <c r="T459" s="4"/>
      <c r="U459" s="3"/>
      <c r="V459" s="4"/>
      <c r="W459" s="3"/>
      <c r="X459" s="4"/>
      <c r="Y459" s="3"/>
      <c r="Z459" s="4"/>
      <c r="AA459" s="3"/>
      <c r="AB459" s="4"/>
      <c r="AC459" s="3"/>
      <c r="AD459" s="4"/>
      <c r="AE459" s="3"/>
      <c r="AF459" s="4"/>
      <c r="AG459" s="3"/>
      <c r="AH459" s="4"/>
      <c r="AI459" s="3"/>
      <c r="AJ459" s="4"/>
      <c r="AK459" s="3"/>
      <c r="AL459" s="4"/>
      <c r="AM459" s="3"/>
      <c r="AN459" s="4"/>
      <c r="AO459" s="3"/>
      <c r="AP459" s="4"/>
      <c r="AQ459" s="3"/>
      <c r="AR459" s="4"/>
      <c r="AS459" s="3"/>
      <c r="AT459" s="4"/>
      <c r="AU459" s="3"/>
      <c r="AV459" s="4"/>
      <c r="AW459" s="3"/>
      <c r="AX459" s="4"/>
      <c r="AY459" s="3"/>
      <c r="AZ459" s="4"/>
      <c r="BA459" s="3"/>
      <c r="BB459" s="4"/>
      <c r="BC459" s="3"/>
      <c r="BD459" s="4"/>
      <c r="BE459" s="3"/>
      <c r="BF459" s="4"/>
      <c r="BG459" s="3"/>
      <c r="BH459" s="4"/>
      <c r="BI459" s="3"/>
      <c r="BJ459" s="4"/>
      <c r="BK459" s="3"/>
      <c r="BL459" s="4"/>
      <c r="BM459" s="3"/>
      <c r="BN459" s="4"/>
      <c r="BO459" s="3"/>
      <c r="BP459" s="4"/>
      <c r="BQ459" s="3"/>
      <c r="BR459" s="4"/>
      <c r="BS459" s="3"/>
      <c r="BT459" s="4"/>
      <c r="BU459" s="3"/>
      <c r="BV459" s="4"/>
      <c r="BW459" s="3"/>
      <c r="BX459" s="4"/>
      <c r="BY459" s="3"/>
      <c r="BZ459" s="4"/>
      <c r="CA459" s="3"/>
      <c r="CB459" s="4"/>
      <c r="CC459" s="3"/>
      <c r="CD459" s="4"/>
    </row>
    <row r="460">
      <c r="A460" s="3"/>
      <c r="B460" s="4"/>
      <c r="C460" s="3"/>
      <c r="D460" s="4"/>
      <c r="E460" s="3"/>
      <c r="F460" s="4"/>
      <c r="G460" s="3"/>
      <c r="H460" s="4"/>
      <c r="I460" s="3"/>
      <c r="J460" s="4"/>
      <c r="K460" s="3"/>
      <c r="L460" s="4"/>
      <c r="M460" s="3"/>
      <c r="N460" s="4"/>
      <c r="O460" s="3"/>
      <c r="P460" s="4"/>
      <c r="Q460" s="3"/>
      <c r="R460" s="4"/>
      <c r="S460" s="3"/>
      <c r="T460" s="4"/>
      <c r="U460" s="3"/>
      <c r="V460" s="4"/>
      <c r="W460" s="3"/>
      <c r="X460" s="4"/>
      <c r="Y460" s="3"/>
      <c r="Z460" s="4"/>
      <c r="AA460" s="3"/>
      <c r="AB460" s="4"/>
      <c r="AC460" s="3"/>
      <c r="AD460" s="4"/>
      <c r="AE460" s="3"/>
      <c r="AF460" s="4"/>
      <c r="AG460" s="3"/>
      <c r="AH460" s="4"/>
      <c r="AI460" s="3"/>
      <c r="AJ460" s="4"/>
      <c r="AK460" s="3"/>
      <c r="AL460" s="4"/>
      <c r="AM460" s="3"/>
      <c r="AN460" s="4"/>
      <c r="AO460" s="3"/>
      <c r="AP460" s="4"/>
      <c r="AQ460" s="3"/>
      <c r="AR460" s="4"/>
      <c r="AS460" s="3"/>
      <c r="AT460" s="4"/>
      <c r="AU460" s="3"/>
      <c r="AV460" s="4"/>
      <c r="AW460" s="3"/>
      <c r="AX460" s="4"/>
      <c r="AY460" s="3"/>
      <c r="AZ460" s="4"/>
      <c r="BA460" s="3"/>
      <c r="BB460" s="4"/>
      <c r="BC460" s="3"/>
      <c r="BD460" s="4"/>
      <c r="BE460" s="3"/>
      <c r="BF460" s="4"/>
      <c r="BG460" s="3"/>
      <c r="BH460" s="4"/>
      <c r="BI460" s="3"/>
      <c r="BJ460" s="4"/>
      <c r="BK460" s="3"/>
      <c r="BL460" s="4"/>
      <c r="BM460" s="3"/>
      <c r="BN460" s="4"/>
      <c r="BO460" s="3"/>
      <c r="BP460" s="4"/>
      <c r="BQ460" s="3"/>
      <c r="BR460" s="4"/>
      <c r="BS460" s="3"/>
      <c r="BT460" s="4"/>
      <c r="BU460" s="3"/>
      <c r="BV460" s="4"/>
      <c r="BW460" s="3"/>
      <c r="BX460" s="4"/>
      <c r="BY460" s="3"/>
      <c r="BZ460" s="4"/>
      <c r="CA460" s="3"/>
      <c r="CB460" s="4"/>
      <c r="CC460" s="3"/>
      <c r="CD460" s="4"/>
    </row>
    <row r="461">
      <c r="A461" s="3"/>
      <c r="B461" s="4"/>
      <c r="C461" s="3"/>
      <c r="D461" s="4"/>
      <c r="E461" s="3"/>
      <c r="F461" s="4"/>
      <c r="G461" s="3"/>
      <c r="H461" s="4"/>
      <c r="I461" s="3"/>
      <c r="J461" s="4"/>
      <c r="K461" s="3"/>
      <c r="L461" s="4"/>
      <c r="M461" s="3"/>
      <c r="N461" s="4"/>
      <c r="O461" s="3"/>
      <c r="P461" s="4"/>
      <c r="Q461" s="3"/>
      <c r="R461" s="4"/>
      <c r="S461" s="3"/>
      <c r="T461" s="4"/>
      <c r="U461" s="3"/>
      <c r="V461" s="4"/>
      <c r="W461" s="3"/>
      <c r="X461" s="4"/>
      <c r="Y461" s="3"/>
      <c r="Z461" s="4"/>
      <c r="AA461" s="3"/>
      <c r="AB461" s="4"/>
      <c r="AC461" s="3"/>
      <c r="AD461" s="4"/>
      <c r="AE461" s="3"/>
      <c r="AF461" s="4"/>
      <c r="AG461" s="3"/>
      <c r="AH461" s="4"/>
      <c r="AI461" s="3"/>
      <c r="AJ461" s="4"/>
      <c r="AK461" s="3"/>
      <c r="AL461" s="4"/>
      <c r="AM461" s="3"/>
      <c r="AN461" s="4"/>
      <c r="AO461" s="3"/>
      <c r="AP461" s="4"/>
      <c r="AQ461" s="3"/>
      <c r="AR461" s="4"/>
      <c r="AS461" s="3"/>
      <c r="AT461" s="4"/>
      <c r="AU461" s="3"/>
      <c r="AV461" s="4"/>
      <c r="AW461" s="3"/>
      <c r="AX461" s="4"/>
      <c r="AY461" s="3"/>
      <c r="AZ461" s="4"/>
      <c r="BA461" s="3"/>
      <c r="BB461" s="4"/>
      <c r="BC461" s="3"/>
      <c r="BD461" s="4"/>
      <c r="BE461" s="3"/>
      <c r="BF461" s="4"/>
      <c r="BG461" s="3"/>
      <c r="BH461" s="4"/>
      <c r="BI461" s="3"/>
      <c r="BJ461" s="4"/>
      <c r="BK461" s="3"/>
      <c r="BL461" s="4"/>
      <c r="BM461" s="3"/>
      <c r="BN461" s="4"/>
      <c r="BO461" s="3"/>
      <c r="BP461" s="4"/>
      <c r="BQ461" s="3"/>
      <c r="BR461" s="4"/>
      <c r="BS461" s="3"/>
      <c r="BT461" s="4"/>
      <c r="BU461" s="3"/>
      <c r="BV461" s="4"/>
      <c r="BW461" s="3"/>
      <c r="BX461" s="4"/>
      <c r="BY461" s="3"/>
      <c r="BZ461" s="4"/>
      <c r="CA461" s="3"/>
      <c r="CB461" s="4"/>
      <c r="CC461" s="3"/>
      <c r="CD461" s="4"/>
    </row>
    <row r="462">
      <c r="A462" s="3"/>
      <c r="B462" s="4"/>
      <c r="C462" s="3"/>
      <c r="D462" s="4"/>
      <c r="E462" s="3"/>
      <c r="F462" s="4"/>
      <c r="G462" s="3"/>
      <c r="H462" s="4"/>
      <c r="I462" s="3"/>
      <c r="J462" s="4"/>
      <c r="K462" s="3"/>
      <c r="L462" s="4"/>
      <c r="M462" s="3"/>
      <c r="N462" s="4"/>
      <c r="O462" s="3"/>
      <c r="P462" s="4"/>
      <c r="Q462" s="3"/>
      <c r="R462" s="4"/>
      <c r="S462" s="3"/>
      <c r="T462" s="4"/>
      <c r="U462" s="3"/>
      <c r="V462" s="4"/>
      <c r="W462" s="3"/>
      <c r="X462" s="4"/>
      <c r="Y462" s="3"/>
      <c r="Z462" s="4"/>
      <c r="AA462" s="3"/>
      <c r="AB462" s="4"/>
      <c r="AC462" s="3"/>
      <c r="AD462" s="4"/>
      <c r="AE462" s="3"/>
      <c r="AF462" s="4"/>
      <c r="AG462" s="3"/>
      <c r="AH462" s="4"/>
      <c r="AI462" s="3"/>
      <c r="AJ462" s="4"/>
      <c r="AK462" s="3"/>
      <c r="AL462" s="4"/>
      <c r="AM462" s="3"/>
      <c r="AN462" s="4"/>
      <c r="AO462" s="3"/>
      <c r="AP462" s="4"/>
      <c r="AQ462" s="3"/>
      <c r="AR462" s="4"/>
      <c r="AS462" s="3"/>
      <c r="AT462" s="4"/>
      <c r="AU462" s="3"/>
      <c r="AV462" s="4"/>
      <c r="AW462" s="3"/>
      <c r="AX462" s="4"/>
      <c r="AY462" s="3"/>
      <c r="AZ462" s="4"/>
      <c r="BA462" s="3"/>
      <c r="BB462" s="4"/>
      <c r="BC462" s="3"/>
      <c r="BD462" s="4"/>
      <c r="BE462" s="3"/>
      <c r="BF462" s="4"/>
      <c r="BG462" s="3"/>
      <c r="BH462" s="4"/>
      <c r="BI462" s="3"/>
      <c r="BJ462" s="4"/>
      <c r="BK462" s="3"/>
      <c r="BL462" s="4"/>
      <c r="BM462" s="3"/>
      <c r="BN462" s="4"/>
      <c r="BO462" s="3"/>
      <c r="BP462" s="4"/>
      <c r="BQ462" s="3"/>
      <c r="BR462" s="4"/>
      <c r="BS462" s="3"/>
      <c r="BT462" s="4"/>
      <c r="BU462" s="3"/>
      <c r="BV462" s="4"/>
      <c r="BW462" s="3"/>
      <c r="BX462" s="4"/>
      <c r="BY462" s="3"/>
      <c r="BZ462" s="4"/>
      <c r="CA462" s="3"/>
      <c r="CB462" s="4"/>
      <c r="CC462" s="3"/>
      <c r="CD462" s="4"/>
    </row>
    <row r="463">
      <c r="A463" s="3"/>
      <c r="B463" s="4"/>
      <c r="C463" s="3"/>
      <c r="D463" s="4"/>
      <c r="E463" s="3"/>
      <c r="F463" s="4"/>
      <c r="G463" s="3"/>
      <c r="H463" s="4"/>
      <c r="I463" s="3"/>
      <c r="J463" s="4"/>
      <c r="K463" s="3"/>
      <c r="L463" s="4"/>
      <c r="M463" s="3"/>
      <c r="N463" s="4"/>
      <c r="O463" s="3"/>
      <c r="P463" s="4"/>
      <c r="Q463" s="3"/>
      <c r="R463" s="4"/>
      <c r="S463" s="3"/>
      <c r="T463" s="4"/>
      <c r="U463" s="3"/>
      <c r="V463" s="4"/>
      <c r="W463" s="3"/>
      <c r="X463" s="4"/>
      <c r="Y463" s="3"/>
      <c r="Z463" s="4"/>
      <c r="AA463" s="3"/>
      <c r="AB463" s="4"/>
      <c r="AC463" s="3"/>
      <c r="AD463" s="4"/>
      <c r="AE463" s="3"/>
      <c r="AF463" s="4"/>
      <c r="AG463" s="3"/>
      <c r="AH463" s="4"/>
      <c r="AI463" s="3"/>
      <c r="AJ463" s="4"/>
      <c r="AK463" s="3"/>
      <c r="AL463" s="4"/>
      <c r="AM463" s="3"/>
      <c r="AN463" s="4"/>
      <c r="AO463" s="3"/>
      <c r="AP463" s="4"/>
      <c r="AQ463" s="3"/>
      <c r="AR463" s="4"/>
      <c r="AS463" s="3"/>
      <c r="AT463" s="4"/>
      <c r="AU463" s="3"/>
      <c r="AV463" s="4"/>
      <c r="AW463" s="3"/>
      <c r="AX463" s="4"/>
      <c r="AY463" s="3"/>
      <c r="AZ463" s="4"/>
      <c r="BA463" s="3"/>
      <c r="BB463" s="4"/>
      <c r="BC463" s="3"/>
      <c r="BD463" s="4"/>
      <c r="BE463" s="3"/>
      <c r="BF463" s="4"/>
      <c r="BG463" s="3"/>
      <c r="BH463" s="4"/>
      <c r="BI463" s="3"/>
      <c r="BJ463" s="4"/>
      <c r="BK463" s="3"/>
      <c r="BL463" s="4"/>
      <c r="BM463" s="3"/>
      <c r="BN463" s="4"/>
      <c r="BO463" s="3"/>
      <c r="BP463" s="4"/>
      <c r="BQ463" s="3"/>
      <c r="BR463" s="4"/>
      <c r="BS463" s="3"/>
      <c r="BT463" s="4"/>
      <c r="BU463" s="3"/>
      <c r="BV463" s="4"/>
      <c r="BW463" s="3"/>
      <c r="BX463" s="4"/>
      <c r="BY463" s="3"/>
      <c r="BZ463" s="4"/>
      <c r="CA463" s="3"/>
      <c r="CB463" s="4"/>
      <c r="CC463" s="3"/>
      <c r="CD463" s="4"/>
    </row>
    <row r="464">
      <c r="A464" s="3"/>
      <c r="B464" s="4"/>
      <c r="C464" s="3"/>
      <c r="D464" s="4"/>
      <c r="E464" s="3"/>
      <c r="F464" s="4"/>
      <c r="G464" s="3"/>
      <c r="H464" s="4"/>
      <c r="I464" s="3"/>
      <c r="J464" s="4"/>
      <c r="K464" s="3"/>
      <c r="L464" s="4"/>
      <c r="M464" s="3"/>
      <c r="N464" s="4"/>
      <c r="O464" s="3"/>
      <c r="P464" s="4"/>
      <c r="Q464" s="3"/>
      <c r="R464" s="4"/>
      <c r="S464" s="3"/>
      <c r="T464" s="4"/>
      <c r="U464" s="3"/>
      <c r="V464" s="4"/>
      <c r="W464" s="3"/>
      <c r="X464" s="4"/>
      <c r="Y464" s="3"/>
      <c r="Z464" s="4"/>
      <c r="AA464" s="3"/>
      <c r="AB464" s="4"/>
      <c r="AC464" s="3"/>
      <c r="AD464" s="4"/>
      <c r="AE464" s="3"/>
      <c r="AF464" s="4"/>
      <c r="AG464" s="3"/>
      <c r="AH464" s="4"/>
      <c r="AI464" s="3"/>
      <c r="AJ464" s="4"/>
      <c r="AK464" s="3"/>
      <c r="AL464" s="4"/>
      <c r="AM464" s="3"/>
      <c r="AN464" s="4"/>
      <c r="AO464" s="3"/>
      <c r="AP464" s="4"/>
      <c r="AQ464" s="3"/>
      <c r="AR464" s="4"/>
      <c r="AS464" s="3"/>
      <c r="AT464" s="4"/>
      <c r="AU464" s="3"/>
      <c r="AV464" s="4"/>
      <c r="AW464" s="3"/>
      <c r="AX464" s="4"/>
      <c r="AY464" s="3"/>
      <c r="AZ464" s="4"/>
      <c r="BA464" s="3"/>
      <c r="BB464" s="4"/>
      <c r="BC464" s="3"/>
      <c r="BD464" s="4"/>
      <c r="BE464" s="3"/>
      <c r="BF464" s="4"/>
      <c r="BG464" s="3"/>
      <c r="BH464" s="4"/>
      <c r="BI464" s="3"/>
      <c r="BJ464" s="4"/>
      <c r="BK464" s="3"/>
      <c r="BL464" s="4"/>
      <c r="BM464" s="3"/>
      <c r="BN464" s="4"/>
      <c r="BO464" s="3"/>
      <c r="BP464" s="4"/>
      <c r="BQ464" s="3"/>
      <c r="BR464" s="4"/>
      <c r="BS464" s="3"/>
      <c r="BT464" s="4"/>
      <c r="BU464" s="3"/>
      <c r="BV464" s="4"/>
      <c r="BW464" s="3"/>
      <c r="BX464" s="4"/>
      <c r="BY464" s="3"/>
      <c r="BZ464" s="4"/>
      <c r="CA464" s="3"/>
      <c r="CB464" s="4"/>
      <c r="CC464" s="3"/>
      <c r="CD464" s="4"/>
    </row>
    <row r="465">
      <c r="A465" s="3"/>
      <c r="B465" s="4"/>
      <c r="C465" s="3"/>
      <c r="D465" s="4"/>
      <c r="E465" s="3"/>
      <c r="F465" s="4"/>
      <c r="G465" s="3"/>
      <c r="H465" s="4"/>
      <c r="I465" s="3"/>
      <c r="J465" s="4"/>
      <c r="K465" s="3"/>
      <c r="L465" s="4"/>
      <c r="M465" s="3"/>
      <c r="N465" s="4"/>
      <c r="O465" s="3"/>
      <c r="P465" s="4"/>
      <c r="Q465" s="3"/>
      <c r="R465" s="4"/>
      <c r="S465" s="3"/>
      <c r="T465" s="4"/>
      <c r="U465" s="3"/>
      <c r="V465" s="4"/>
      <c r="W465" s="3"/>
      <c r="X465" s="4"/>
      <c r="Y465" s="3"/>
      <c r="Z465" s="4"/>
      <c r="AA465" s="3"/>
      <c r="AB465" s="4"/>
      <c r="AC465" s="3"/>
      <c r="AD465" s="4"/>
      <c r="AE465" s="3"/>
      <c r="AF465" s="4"/>
      <c r="AG465" s="3"/>
      <c r="AH465" s="4"/>
      <c r="AI465" s="3"/>
      <c r="AJ465" s="4"/>
      <c r="AK465" s="3"/>
      <c r="AL465" s="4"/>
      <c r="AM465" s="3"/>
      <c r="AN465" s="4"/>
      <c r="AO465" s="3"/>
      <c r="AP465" s="4"/>
      <c r="AQ465" s="3"/>
      <c r="AR465" s="4"/>
      <c r="AS465" s="3"/>
      <c r="AT465" s="4"/>
      <c r="AU465" s="3"/>
      <c r="AV465" s="4"/>
      <c r="AW465" s="3"/>
      <c r="AX465" s="4"/>
      <c r="AY465" s="3"/>
      <c r="AZ465" s="4"/>
      <c r="BA465" s="3"/>
      <c r="BB465" s="4"/>
      <c r="BC465" s="3"/>
      <c r="BD465" s="4"/>
      <c r="BE465" s="3"/>
      <c r="BF465" s="4"/>
      <c r="BG465" s="3"/>
      <c r="BH465" s="4"/>
      <c r="BI465" s="3"/>
      <c r="BJ465" s="4"/>
      <c r="BK465" s="3"/>
      <c r="BL465" s="4"/>
      <c r="BM465" s="3"/>
      <c r="BN465" s="4"/>
      <c r="BO465" s="3"/>
      <c r="BP465" s="4"/>
      <c r="BQ465" s="3"/>
      <c r="BR465" s="4"/>
      <c r="BS465" s="3"/>
      <c r="BT465" s="4"/>
      <c r="BU465" s="3"/>
      <c r="BV465" s="4"/>
      <c r="BW465" s="3"/>
      <c r="BX465" s="4"/>
      <c r="BY465" s="3"/>
      <c r="BZ465" s="4"/>
      <c r="CA465" s="3"/>
      <c r="CB465" s="4"/>
      <c r="CC465" s="3"/>
      <c r="CD465" s="4"/>
    </row>
    <row r="466">
      <c r="A466" s="3"/>
      <c r="B466" s="4"/>
      <c r="C466" s="3"/>
      <c r="D466" s="4"/>
      <c r="E466" s="3"/>
      <c r="F466" s="4"/>
      <c r="G466" s="3"/>
      <c r="H466" s="4"/>
      <c r="I466" s="3"/>
      <c r="J466" s="4"/>
      <c r="K466" s="3"/>
      <c r="L466" s="4"/>
      <c r="M466" s="3"/>
      <c r="N466" s="4"/>
      <c r="O466" s="3"/>
      <c r="P466" s="4"/>
      <c r="Q466" s="3"/>
      <c r="R466" s="4"/>
      <c r="S466" s="3"/>
      <c r="T466" s="4"/>
      <c r="U466" s="3"/>
      <c r="V466" s="4"/>
      <c r="W466" s="3"/>
      <c r="X466" s="4"/>
      <c r="Y466" s="3"/>
      <c r="Z466" s="4"/>
      <c r="AA466" s="3"/>
      <c r="AB466" s="4"/>
      <c r="AC466" s="3"/>
      <c r="AD466" s="4"/>
      <c r="AE466" s="3"/>
      <c r="AF466" s="4"/>
      <c r="AG466" s="3"/>
      <c r="AH466" s="4"/>
      <c r="AI466" s="3"/>
      <c r="AJ466" s="4"/>
      <c r="AK466" s="3"/>
      <c r="AL466" s="4"/>
      <c r="AM466" s="3"/>
      <c r="AN466" s="4"/>
      <c r="AO466" s="3"/>
      <c r="AP466" s="4"/>
      <c r="AQ466" s="3"/>
      <c r="AR466" s="4"/>
      <c r="AS466" s="3"/>
      <c r="AT466" s="4"/>
      <c r="AU466" s="3"/>
      <c r="AV466" s="4"/>
      <c r="AW466" s="3"/>
      <c r="AX466" s="4"/>
      <c r="AY466" s="3"/>
      <c r="AZ466" s="4"/>
      <c r="BA466" s="3"/>
      <c r="BB466" s="4"/>
      <c r="BC466" s="3"/>
      <c r="BD466" s="4"/>
      <c r="BE466" s="3"/>
      <c r="BF466" s="4"/>
      <c r="BG466" s="3"/>
      <c r="BH466" s="4"/>
      <c r="BI466" s="3"/>
      <c r="BJ466" s="4"/>
      <c r="BK466" s="3"/>
      <c r="BL466" s="4"/>
      <c r="BM466" s="3"/>
      <c r="BN466" s="4"/>
      <c r="BO466" s="3"/>
      <c r="BP466" s="4"/>
      <c r="BQ466" s="3"/>
      <c r="BR466" s="4"/>
      <c r="BS466" s="3"/>
      <c r="BT466" s="4"/>
      <c r="BU466" s="3"/>
      <c r="BV466" s="4"/>
      <c r="BW466" s="3"/>
      <c r="BX466" s="4"/>
      <c r="BY466" s="3"/>
      <c r="BZ466" s="4"/>
      <c r="CA466" s="3"/>
      <c r="CB466" s="4"/>
      <c r="CC466" s="3"/>
      <c r="CD466" s="4"/>
    </row>
    <row r="467">
      <c r="A467" s="3"/>
      <c r="B467" s="4"/>
      <c r="C467" s="3"/>
      <c r="D467" s="4"/>
      <c r="E467" s="3"/>
      <c r="F467" s="4"/>
      <c r="G467" s="3"/>
      <c r="H467" s="4"/>
      <c r="I467" s="3"/>
      <c r="J467" s="4"/>
      <c r="K467" s="3"/>
      <c r="L467" s="4"/>
      <c r="M467" s="3"/>
      <c r="N467" s="4"/>
      <c r="O467" s="3"/>
      <c r="P467" s="4"/>
      <c r="Q467" s="3"/>
      <c r="R467" s="4"/>
      <c r="S467" s="3"/>
      <c r="T467" s="4"/>
      <c r="U467" s="3"/>
      <c r="V467" s="4"/>
      <c r="W467" s="3"/>
      <c r="X467" s="4"/>
      <c r="Y467" s="3"/>
      <c r="Z467" s="4"/>
      <c r="AA467" s="3"/>
      <c r="AB467" s="4"/>
      <c r="AC467" s="3"/>
      <c r="AD467" s="4"/>
      <c r="AE467" s="3"/>
      <c r="AF467" s="4"/>
      <c r="AG467" s="3"/>
      <c r="AH467" s="4"/>
      <c r="AI467" s="3"/>
      <c r="AJ467" s="4"/>
      <c r="AK467" s="3"/>
      <c r="AL467" s="4"/>
      <c r="AM467" s="3"/>
      <c r="AN467" s="4"/>
      <c r="AO467" s="3"/>
      <c r="AP467" s="4"/>
      <c r="AQ467" s="3"/>
      <c r="AR467" s="4"/>
      <c r="AS467" s="3"/>
      <c r="AT467" s="4"/>
      <c r="AU467" s="3"/>
      <c r="AV467" s="4"/>
      <c r="AW467" s="3"/>
      <c r="AX467" s="4"/>
      <c r="AY467" s="3"/>
      <c r="AZ467" s="4"/>
      <c r="BA467" s="3"/>
      <c r="BB467" s="4"/>
      <c r="BC467" s="3"/>
      <c r="BD467" s="4"/>
      <c r="BE467" s="3"/>
      <c r="BF467" s="4"/>
      <c r="BG467" s="3"/>
      <c r="BH467" s="4"/>
      <c r="BI467" s="3"/>
      <c r="BJ467" s="4"/>
      <c r="BK467" s="3"/>
      <c r="BL467" s="4"/>
      <c r="BM467" s="3"/>
      <c r="BN467" s="4"/>
      <c r="BO467" s="3"/>
      <c r="BP467" s="4"/>
      <c r="BQ467" s="3"/>
      <c r="BR467" s="4"/>
      <c r="BS467" s="3"/>
      <c r="BT467" s="4"/>
      <c r="BU467" s="3"/>
      <c r="BV467" s="4"/>
      <c r="BW467" s="3"/>
      <c r="BX467" s="4"/>
      <c r="BY467" s="3"/>
      <c r="BZ467" s="4"/>
      <c r="CA467" s="3"/>
      <c r="CB467" s="4"/>
      <c r="CC467" s="3"/>
      <c r="CD467" s="4"/>
    </row>
    <row r="468">
      <c r="A468" s="3"/>
      <c r="B468" s="4"/>
      <c r="C468" s="3"/>
      <c r="D468" s="4"/>
      <c r="E468" s="3"/>
      <c r="F468" s="4"/>
      <c r="G468" s="3"/>
      <c r="H468" s="4"/>
      <c r="I468" s="3"/>
      <c r="J468" s="4"/>
      <c r="K468" s="3"/>
      <c r="L468" s="4"/>
      <c r="M468" s="3"/>
      <c r="N468" s="4"/>
      <c r="O468" s="3"/>
      <c r="P468" s="4"/>
      <c r="Q468" s="3"/>
      <c r="R468" s="4"/>
      <c r="S468" s="3"/>
      <c r="T468" s="4"/>
      <c r="U468" s="3"/>
      <c r="V468" s="4"/>
      <c r="W468" s="3"/>
      <c r="X468" s="4"/>
      <c r="Y468" s="3"/>
      <c r="Z468" s="4"/>
      <c r="AA468" s="3"/>
      <c r="AB468" s="4"/>
      <c r="AC468" s="3"/>
      <c r="AD468" s="4"/>
      <c r="AE468" s="3"/>
      <c r="AF468" s="4"/>
      <c r="AG468" s="3"/>
      <c r="AH468" s="4"/>
      <c r="AI468" s="3"/>
      <c r="AJ468" s="4"/>
      <c r="AK468" s="3"/>
      <c r="AL468" s="4"/>
      <c r="AM468" s="3"/>
      <c r="AN468" s="4"/>
      <c r="AO468" s="3"/>
      <c r="AP468" s="4"/>
      <c r="AQ468" s="3"/>
      <c r="AR468" s="4"/>
      <c r="AS468" s="3"/>
      <c r="AT468" s="4"/>
      <c r="AU468" s="3"/>
      <c r="AV468" s="4"/>
      <c r="AW468" s="3"/>
      <c r="AX468" s="4"/>
      <c r="AY468" s="3"/>
      <c r="AZ468" s="4"/>
      <c r="BA468" s="3"/>
      <c r="BB468" s="4"/>
      <c r="BC468" s="3"/>
      <c r="BD468" s="4"/>
      <c r="BE468" s="3"/>
      <c r="BF468" s="4"/>
      <c r="BG468" s="3"/>
      <c r="BH468" s="4"/>
      <c r="BI468" s="3"/>
      <c r="BJ468" s="4"/>
      <c r="BK468" s="3"/>
      <c r="BL468" s="4"/>
      <c r="BM468" s="3"/>
      <c r="BN468" s="4"/>
      <c r="BO468" s="3"/>
      <c r="BP468" s="4"/>
      <c r="BQ468" s="3"/>
      <c r="BR468" s="4"/>
      <c r="BS468" s="3"/>
      <c r="BT468" s="4"/>
      <c r="BU468" s="3"/>
      <c r="BV468" s="4"/>
      <c r="BW468" s="3"/>
      <c r="BX468" s="4"/>
      <c r="BY468" s="3"/>
      <c r="BZ468" s="4"/>
      <c r="CA468" s="3"/>
      <c r="CB468" s="4"/>
      <c r="CC468" s="3"/>
      <c r="CD468" s="4"/>
    </row>
    <row r="469">
      <c r="A469" s="3"/>
      <c r="B469" s="4"/>
      <c r="C469" s="3"/>
      <c r="D469" s="4"/>
      <c r="E469" s="3"/>
      <c r="F469" s="4"/>
      <c r="G469" s="3"/>
      <c r="H469" s="4"/>
      <c r="I469" s="3"/>
      <c r="J469" s="4"/>
      <c r="K469" s="3"/>
      <c r="L469" s="4"/>
      <c r="M469" s="3"/>
      <c r="N469" s="4"/>
      <c r="O469" s="3"/>
      <c r="P469" s="4"/>
      <c r="Q469" s="3"/>
      <c r="R469" s="4"/>
      <c r="S469" s="3"/>
      <c r="T469" s="4"/>
      <c r="U469" s="3"/>
      <c r="V469" s="4"/>
      <c r="W469" s="3"/>
      <c r="X469" s="4"/>
      <c r="Y469" s="3"/>
      <c r="Z469" s="4"/>
      <c r="AA469" s="3"/>
      <c r="AB469" s="4"/>
      <c r="AC469" s="3"/>
      <c r="AD469" s="4"/>
      <c r="AE469" s="3"/>
      <c r="AF469" s="4"/>
      <c r="AG469" s="3"/>
      <c r="AH469" s="4"/>
      <c r="AI469" s="3"/>
      <c r="AJ469" s="4"/>
      <c r="AK469" s="3"/>
      <c r="AL469" s="4"/>
      <c r="AM469" s="3"/>
      <c r="AN469" s="4"/>
      <c r="AO469" s="3"/>
      <c r="AP469" s="4"/>
      <c r="AQ469" s="3"/>
      <c r="AR469" s="4"/>
      <c r="AS469" s="3"/>
      <c r="AT469" s="4"/>
      <c r="AU469" s="3"/>
      <c r="AV469" s="4"/>
      <c r="AW469" s="3"/>
      <c r="AX469" s="4"/>
      <c r="AY469" s="3"/>
      <c r="AZ469" s="4"/>
      <c r="BA469" s="3"/>
      <c r="BB469" s="4"/>
      <c r="BC469" s="3"/>
      <c r="BD469" s="4"/>
      <c r="BE469" s="3"/>
      <c r="BF469" s="4"/>
      <c r="BG469" s="3"/>
      <c r="BH469" s="4"/>
      <c r="BI469" s="3"/>
      <c r="BJ469" s="4"/>
      <c r="BK469" s="3"/>
      <c r="BL469" s="4"/>
      <c r="BM469" s="3"/>
      <c r="BN469" s="4"/>
      <c r="BO469" s="3"/>
      <c r="BP469" s="4"/>
      <c r="BQ469" s="3"/>
      <c r="BR469" s="4"/>
      <c r="BS469" s="3"/>
      <c r="BT469" s="4"/>
      <c r="BU469" s="3"/>
      <c r="BV469" s="4"/>
      <c r="BW469" s="3"/>
      <c r="BX469" s="4"/>
      <c r="BY469" s="3"/>
      <c r="BZ469" s="4"/>
      <c r="CA469" s="3"/>
      <c r="CB469" s="4"/>
      <c r="CC469" s="3"/>
      <c r="CD469" s="4"/>
    </row>
    <row r="470">
      <c r="A470" s="3"/>
      <c r="B470" s="4"/>
      <c r="C470" s="3"/>
      <c r="D470" s="4"/>
      <c r="E470" s="3"/>
      <c r="F470" s="4"/>
      <c r="G470" s="3"/>
      <c r="H470" s="4"/>
      <c r="I470" s="3"/>
      <c r="J470" s="4"/>
      <c r="K470" s="3"/>
      <c r="L470" s="4"/>
      <c r="M470" s="3"/>
      <c r="N470" s="4"/>
      <c r="O470" s="3"/>
      <c r="P470" s="4"/>
      <c r="Q470" s="3"/>
      <c r="R470" s="4"/>
      <c r="S470" s="3"/>
      <c r="T470" s="4"/>
      <c r="U470" s="3"/>
      <c r="V470" s="4"/>
      <c r="W470" s="3"/>
      <c r="X470" s="4"/>
      <c r="Y470" s="3"/>
      <c r="Z470" s="4"/>
      <c r="AA470" s="3"/>
      <c r="AB470" s="4"/>
      <c r="AC470" s="3"/>
      <c r="AD470" s="4"/>
      <c r="AE470" s="3"/>
      <c r="AF470" s="4"/>
      <c r="AG470" s="3"/>
      <c r="AH470" s="4"/>
      <c r="AI470" s="3"/>
      <c r="AJ470" s="4"/>
      <c r="AK470" s="3"/>
      <c r="AL470" s="4"/>
      <c r="AM470" s="3"/>
      <c r="AN470" s="4"/>
      <c r="AO470" s="3"/>
      <c r="AP470" s="4"/>
      <c r="AQ470" s="3"/>
      <c r="AR470" s="4"/>
      <c r="AS470" s="3"/>
      <c r="AT470" s="4"/>
      <c r="AU470" s="3"/>
      <c r="AV470" s="4"/>
      <c r="AW470" s="3"/>
      <c r="AX470" s="4"/>
      <c r="AY470" s="3"/>
      <c r="AZ470" s="4"/>
      <c r="BA470" s="3"/>
      <c r="BB470" s="4"/>
      <c r="BC470" s="3"/>
      <c r="BD470" s="4"/>
      <c r="BE470" s="3"/>
      <c r="BF470" s="4"/>
      <c r="BG470" s="3"/>
      <c r="BH470" s="4"/>
      <c r="BI470" s="3"/>
      <c r="BJ470" s="4"/>
      <c r="BK470" s="3"/>
      <c r="BL470" s="4"/>
      <c r="BM470" s="3"/>
      <c r="BN470" s="4"/>
      <c r="BO470" s="3"/>
      <c r="BP470" s="4"/>
      <c r="BQ470" s="3"/>
      <c r="BR470" s="4"/>
      <c r="BS470" s="3"/>
      <c r="BT470" s="4"/>
      <c r="BU470" s="3"/>
      <c r="BV470" s="4"/>
      <c r="BW470" s="3"/>
      <c r="BX470" s="4"/>
      <c r="BY470" s="3"/>
      <c r="BZ470" s="4"/>
      <c r="CA470" s="3"/>
      <c r="CB470" s="4"/>
      <c r="CC470" s="3"/>
      <c r="CD470" s="4"/>
    </row>
    <row r="471">
      <c r="A471" s="3"/>
      <c r="B471" s="4"/>
      <c r="C471" s="3"/>
      <c r="D471" s="4"/>
      <c r="E471" s="3"/>
      <c r="F471" s="4"/>
      <c r="G471" s="3"/>
      <c r="H471" s="4"/>
      <c r="I471" s="3"/>
      <c r="J471" s="4"/>
      <c r="K471" s="3"/>
      <c r="L471" s="4"/>
      <c r="M471" s="3"/>
      <c r="N471" s="4"/>
      <c r="O471" s="3"/>
      <c r="P471" s="4"/>
      <c r="Q471" s="3"/>
      <c r="R471" s="4"/>
      <c r="S471" s="3"/>
      <c r="T471" s="4"/>
      <c r="U471" s="3"/>
      <c r="V471" s="4"/>
      <c r="W471" s="3"/>
      <c r="X471" s="4"/>
      <c r="Y471" s="3"/>
      <c r="Z471" s="4"/>
      <c r="AA471" s="3"/>
      <c r="AB471" s="4"/>
      <c r="AC471" s="3"/>
      <c r="AD471" s="4"/>
      <c r="AE471" s="3"/>
      <c r="AF471" s="4"/>
      <c r="AG471" s="3"/>
      <c r="AH471" s="4"/>
      <c r="AI471" s="3"/>
      <c r="AJ471" s="4"/>
      <c r="AK471" s="3"/>
      <c r="AL471" s="4"/>
      <c r="AM471" s="3"/>
      <c r="AN471" s="4"/>
      <c r="AO471" s="3"/>
      <c r="AP471" s="4"/>
      <c r="AQ471" s="3"/>
      <c r="AR471" s="4"/>
      <c r="AS471" s="3"/>
      <c r="AT471" s="4"/>
      <c r="AU471" s="3"/>
      <c r="AV471" s="4"/>
      <c r="AW471" s="3"/>
      <c r="AX471" s="4"/>
      <c r="AY471" s="3"/>
      <c r="AZ471" s="4"/>
      <c r="BA471" s="3"/>
      <c r="BB471" s="4"/>
      <c r="BC471" s="3"/>
      <c r="BD471" s="4"/>
      <c r="BE471" s="3"/>
      <c r="BF471" s="4"/>
      <c r="BG471" s="3"/>
      <c r="BH471" s="4"/>
      <c r="BI471" s="3"/>
      <c r="BJ471" s="4"/>
      <c r="BK471" s="3"/>
      <c r="BL471" s="4"/>
      <c r="BM471" s="3"/>
      <c r="BN471" s="4"/>
      <c r="BO471" s="3"/>
      <c r="BP471" s="4"/>
      <c r="BQ471" s="3"/>
      <c r="BR471" s="4"/>
      <c r="BS471" s="3"/>
      <c r="BT471" s="4"/>
      <c r="BU471" s="3"/>
      <c r="BV471" s="4"/>
      <c r="BW471" s="3"/>
      <c r="BX471" s="4"/>
      <c r="BY471" s="3"/>
      <c r="BZ471" s="4"/>
      <c r="CA471" s="3"/>
      <c r="CB471" s="4"/>
      <c r="CC471" s="3"/>
      <c r="CD471" s="4"/>
    </row>
    <row r="472">
      <c r="A472" s="3"/>
      <c r="B472" s="4"/>
      <c r="C472" s="3"/>
      <c r="D472" s="4"/>
      <c r="E472" s="3"/>
      <c r="F472" s="4"/>
      <c r="G472" s="3"/>
      <c r="H472" s="4"/>
      <c r="I472" s="3"/>
      <c r="J472" s="4"/>
      <c r="K472" s="3"/>
      <c r="L472" s="4"/>
      <c r="M472" s="3"/>
      <c r="N472" s="4"/>
      <c r="O472" s="3"/>
      <c r="P472" s="4"/>
      <c r="Q472" s="3"/>
      <c r="R472" s="4"/>
      <c r="S472" s="3"/>
      <c r="T472" s="4"/>
      <c r="U472" s="3"/>
      <c r="V472" s="4"/>
      <c r="W472" s="3"/>
      <c r="X472" s="4"/>
      <c r="Y472" s="3"/>
      <c r="Z472" s="4"/>
      <c r="AA472" s="3"/>
      <c r="AB472" s="4"/>
      <c r="AC472" s="3"/>
      <c r="AD472" s="4"/>
      <c r="AE472" s="3"/>
      <c r="AF472" s="4"/>
      <c r="AG472" s="3"/>
      <c r="AH472" s="4"/>
      <c r="AI472" s="3"/>
      <c r="AJ472" s="4"/>
      <c r="AK472" s="3"/>
      <c r="AL472" s="4"/>
      <c r="AM472" s="3"/>
      <c r="AN472" s="4"/>
      <c r="AO472" s="3"/>
      <c r="AP472" s="4"/>
      <c r="AQ472" s="3"/>
      <c r="AR472" s="4"/>
      <c r="AS472" s="3"/>
      <c r="AT472" s="4"/>
      <c r="AU472" s="3"/>
      <c r="AV472" s="4"/>
      <c r="AW472" s="3"/>
      <c r="AX472" s="4"/>
      <c r="AY472" s="3"/>
      <c r="AZ472" s="4"/>
      <c r="BA472" s="3"/>
      <c r="BB472" s="4"/>
      <c r="BC472" s="3"/>
      <c r="BD472" s="4"/>
      <c r="BE472" s="3"/>
      <c r="BF472" s="4"/>
      <c r="BG472" s="3"/>
      <c r="BH472" s="4"/>
      <c r="BI472" s="3"/>
      <c r="BJ472" s="4"/>
      <c r="BK472" s="3"/>
      <c r="BL472" s="4"/>
      <c r="BM472" s="3"/>
      <c r="BN472" s="4"/>
      <c r="BO472" s="3"/>
      <c r="BP472" s="4"/>
      <c r="BQ472" s="3"/>
      <c r="BR472" s="4"/>
      <c r="BS472" s="3"/>
      <c r="BT472" s="4"/>
      <c r="BU472" s="3"/>
      <c r="BV472" s="4"/>
      <c r="BW472" s="3"/>
      <c r="BX472" s="4"/>
      <c r="BY472" s="3"/>
      <c r="BZ472" s="4"/>
      <c r="CA472" s="3"/>
      <c r="CB472" s="4"/>
      <c r="CC472" s="3"/>
      <c r="CD472" s="4"/>
    </row>
    <row r="473">
      <c r="A473" s="3"/>
      <c r="B473" s="4"/>
      <c r="C473" s="3"/>
      <c r="D473" s="4"/>
      <c r="E473" s="3"/>
      <c r="F473" s="4"/>
      <c r="G473" s="3"/>
      <c r="H473" s="4"/>
      <c r="I473" s="3"/>
      <c r="J473" s="4"/>
      <c r="K473" s="3"/>
      <c r="L473" s="4"/>
      <c r="M473" s="3"/>
      <c r="N473" s="4"/>
      <c r="O473" s="3"/>
      <c r="P473" s="4"/>
      <c r="Q473" s="3"/>
      <c r="R473" s="4"/>
      <c r="S473" s="3"/>
      <c r="T473" s="4"/>
      <c r="U473" s="3"/>
      <c r="V473" s="4"/>
      <c r="W473" s="3"/>
      <c r="X473" s="4"/>
      <c r="Y473" s="3"/>
      <c r="Z473" s="4"/>
      <c r="AA473" s="3"/>
      <c r="AB473" s="4"/>
      <c r="AC473" s="3"/>
      <c r="AD473" s="4"/>
      <c r="AE473" s="3"/>
      <c r="AF473" s="4"/>
      <c r="AG473" s="3"/>
      <c r="AH473" s="4"/>
      <c r="AI473" s="3"/>
      <c r="AJ473" s="4"/>
      <c r="AK473" s="3"/>
      <c r="AL473" s="4"/>
      <c r="AM473" s="3"/>
      <c r="AN473" s="4"/>
      <c r="AO473" s="3"/>
      <c r="AP473" s="4"/>
      <c r="AQ473" s="3"/>
      <c r="AR473" s="4"/>
      <c r="AS473" s="3"/>
      <c r="AT473" s="4"/>
      <c r="AU473" s="3"/>
      <c r="AV473" s="4"/>
      <c r="AW473" s="3"/>
      <c r="AX473" s="4"/>
      <c r="AY473" s="3"/>
      <c r="AZ473" s="4"/>
      <c r="BA473" s="3"/>
      <c r="BB473" s="4"/>
      <c r="BC473" s="3"/>
      <c r="BD473" s="4"/>
      <c r="BE473" s="3"/>
      <c r="BF473" s="4"/>
      <c r="BG473" s="3"/>
      <c r="BH473" s="4"/>
      <c r="BI473" s="3"/>
      <c r="BJ473" s="4"/>
      <c r="BK473" s="3"/>
      <c r="BL473" s="4"/>
      <c r="BM473" s="3"/>
      <c r="BN473" s="4"/>
      <c r="BO473" s="3"/>
      <c r="BP473" s="4"/>
      <c r="BQ473" s="3"/>
      <c r="BR473" s="4"/>
      <c r="BS473" s="3"/>
      <c r="BT473" s="4"/>
      <c r="BU473" s="3"/>
      <c r="BV473" s="4"/>
      <c r="BW473" s="3"/>
      <c r="BX473" s="4"/>
      <c r="BY473" s="3"/>
      <c r="BZ473" s="4"/>
      <c r="CA473" s="3"/>
      <c r="CB473" s="4"/>
      <c r="CC473" s="3"/>
      <c r="CD473" s="4"/>
    </row>
    <row r="474">
      <c r="A474" s="3"/>
      <c r="B474" s="4"/>
      <c r="C474" s="3"/>
      <c r="D474" s="4"/>
      <c r="E474" s="3"/>
      <c r="F474" s="4"/>
      <c r="G474" s="3"/>
      <c r="H474" s="4"/>
      <c r="I474" s="3"/>
      <c r="J474" s="4"/>
      <c r="K474" s="3"/>
      <c r="L474" s="4"/>
      <c r="M474" s="3"/>
      <c r="N474" s="4"/>
      <c r="O474" s="3"/>
      <c r="P474" s="4"/>
      <c r="Q474" s="3"/>
      <c r="R474" s="4"/>
      <c r="S474" s="3"/>
      <c r="T474" s="4"/>
      <c r="U474" s="3"/>
      <c r="V474" s="4"/>
      <c r="W474" s="3"/>
      <c r="X474" s="4"/>
      <c r="Y474" s="3"/>
      <c r="Z474" s="4"/>
      <c r="AA474" s="3"/>
      <c r="AB474" s="4"/>
      <c r="AC474" s="3"/>
      <c r="AD474" s="4"/>
      <c r="AE474" s="3"/>
      <c r="AF474" s="4"/>
      <c r="AG474" s="3"/>
      <c r="AH474" s="4"/>
      <c r="AI474" s="3"/>
      <c r="AJ474" s="4"/>
      <c r="AK474" s="3"/>
      <c r="AL474" s="4"/>
      <c r="AM474" s="3"/>
      <c r="AN474" s="4"/>
      <c r="AO474" s="3"/>
      <c r="AP474" s="4"/>
      <c r="AQ474" s="3"/>
      <c r="AR474" s="4"/>
      <c r="AS474" s="3"/>
      <c r="AT474" s="4"/>
      <c r="AU474" s="3"/>
      <c r="AV474" s="4"/>
      <c r="AW474" s="3"/>
      <c r="AX474" s="4"/>
      <c r="AY474" s="3"/>
      <c r="AZ474" s="4"/>
      <c r="BA474" s="3"/>
      <c r="BB474" s="4"/>
      <c r="BC474" s="3"/>
      <c r="BD474" s="4"/>
      <c r="BE474" s="3"/>
      <c r="BF474" s="4"/>
      <c r="BG474" s="3"/>
      <c r="BH474" s="4"/>
      <c r="BI474" s="3"/>
      <c r="BJ474" s="4"/>
      <c r="BK474" s="3"/>
      <c r="BL474" s="4"/>
      <c r="BM474" s="3"/>
      <c r="BN474" s="4"/>
      <c r="BO474" s="3"/>
      <c r="BP474" s="4"/>
      <c r="BQ474" s="3"/>
      <c r="BR474" s="4"/>
      <c r="BS474" s="3"/>
      <c r="BT474" s="4"/>
      <c r="BU474" s="3"/>
      <c r="BV474" s="4"/>
      <c r="BW474" s="3"/>
      <c r="BX474" s="4"/>
      <c r="BY474" s="3"/>
      <c r="BZ474" s="4"/>
      <c r="CA474" s="3"/>
      <c r="CB474" s="4"/>
      <c r="CC474" s="3"/>
      <c r="CD474" s="4"/>
    </row>
    <row r="475">
      <c r="A475" s="3"/>
      <c r="B475" s="4"/>
      <c r="C475" s="3"/>
      <c r="D475" s="4"/>
      <c r="E475" s="3"/>
      <c r="F475" s="4"/>
      <c r="G475" s="3"/>
      <c r="H475" s="4"/>
      <c r="I475" s="3"/>
      <c r="J475" s="4"/>
      <c r="K475" s="3"/>
      <c r="L475" s="4"/>
      <c r="M475" s="3"/>
      <c r="N475" s="4"/>
      <c r="O475" s="3"/>
      <c r="P475" s="4"/>
      <c r="Q475" s="3"/>
      <c r="R475" s="4"/>
      <c r="S475" s="3"/>
      <c r="T475" s="4"/>
      <c r="U475" s="3"/>
      <c r="V475" s="4"/>
      <c r="W475" s="3"/>
      <c r="X475" s="4"/>
      <c r="Y475" s="3"/>
      <c r="Z475" s="4"/>
      <c r="AA475" s="3"/>
      <c r="AB475" s="4"/>
      <c r="AC475" s="3"/>
      <c r="AD475" s="4"/>
      <c r="AE475" s="3"/>
      <c r="AF475" s="4"/>
      <c r="AG475" s="3"/>
      <c r="AH475" s="4"/>
      <c r="AI475" s="3"/>
      <c r="AJ475" s="4"/>
      <c r="AK475" s="3"/>
      <c r="AL475" s="4"/>
      <c r="AM475" s="3"/>
      <c r="AN475" s="4"/>
      <c r="AO475" s="3"/>
      <c r="AP475" s="4"/>
      <c r="AQ475" s="3"/>
      <c r="AR475" s="4"/>
      <c r="AS475" s="3"/>
      <c r="AT475" s="4"/>
      <c r="AU475" s="3"/>
      <c r="AV475" s="4"/>
      <c r="AW475" s="3"/>
      <c r="AX475" s="4"/>
      <c r="AY475" s="3"/>
      <c r="AZ475" s="4"/>
      <c r="BA475" s="3"/>
      <c r="BB475" s="4"/>
      <c r="BC475" s="3"/>
      <c r="BD475" s="4"/>
      <c r="BE475" s="3"/>
      <c r="BF475" s="4"/>
      <c r="BG475" s="3"/>
      <c r="BH475" s="4"/>
      <c r="BI475" s="3"/>
      <c r="BJ475" s="4"/>
      <c r="BK475" s="3"/>
      <c r="BL475" s="4"/>
      <c r="BM475" s="3"/>
      <c r="BN475" s="4"/>
      <c r="BO475" s="3"/>
      <c r="BP475" s="4"/>
      <c r="BQ475" s="3"/>
      <c r="BR475" s="4"/>
      <c r="BS475" s="3"/>
      <c r="BT475" s="4"/>
      <c r="BU475" s="3"/>
      <c r="BV475" s="4"/>
      <c r="BW475" s="3"/>
      <c r="BX475" s="4"/>
      <c r="BY475" s="3"/>
      <c r="BZ475" s="4"/>
      <c r="CA475" s="3"/>
      <c r="CB475" s="4"/>
      <c r="CC475" s="3"/>
      <c r="CD475" s="4"/>
    </row>
    <row r="476">
      <c r="A476" s="3"/>
      <c r="B476" s="4"/>
      <c r="C476" s="3"/>
      <c r="D476" s="4"/>
      <c r="E476" s="3"/>
      <c r="F476" s="4"/>
      <c r="G476" s="3"/>
      <c r="H476" s="4"/>
      <c r="I476" s="3"/>
      <c r="J476" s="4"/>
      <c r="K476" s="3"/>
      <c r="L476" s="4"/>
      <c r="M476" s="3"/>
      <c r="N476" s="4"/>
      <c r="O476" s="3"/>
      <c r="P476" s="4"/>
      <c r="Q476" s="3"/>
      <c r="R476" s="4"/>
      <c r="S476" s="3"/>
      <c r="T476" s="4"/>
      <c r="U476" s="3"/>
      <c r="V476" s="4"/>
      <c r="W476" s="3"/>
      <c r="X476" s="4"/>
      <c r="Y476" s="3"/>
      <c r="Z476" s="4"/>
      <c r="AA476" s="3"/>
      <c r="AB476" s="4"/>
      <c r="AC476" s="3"/>
      <c r="AD476" s="4"/>
      <c r="AE476" s="3"/>
      <c r="AF476" s="4"/>
      <c r="AG476" s="3"/>
      <c r="AH476" s="4"/>
      <c r="AI476" s="3"/>
      <c r="AJ476" s="4"/>
      <c r="AK476" s="3"/>
      <c r="AL476" s="4"/>
      <c r="AM476" s="3"/>
      <c r="AN476" s="4"/>
      <c r="AO476" s="3"/>
      <c r="AP476" s="4"/>
      <c r="AQ476" s="3"/>
      <c r="AR476" s="4"/>
      <c r="AS476" s="3"/>
      <c r="AT476" s="4"/>
      <c r="AU476" s="3"/>
      <c r="AV476" s="4"/>
      <c r="AW476" s="3"/>
      <c r="AX476" s="4"/>
      <c r="AY476" s="3"/>
      <c r="AZ476" s="4"/>
      <c r="BA476" s="3"/>
      <c r="BB476" s="4"/>
      <c r="BC476" s="3"/>
      <c r="BD476" s="4"/>
      <c r="BE476" s="3"/>
      <c r="BF476" s="4"/>
      <c r="BG476" s="3"/>
      <c r="BH476" s="4"/>
      <c r="BI476" s="3"/>
      <c r="BJ476" s="4"/>
      <c r="BK476" s="3"/>
      <c r="BL476" s="4"/>
      <c r="BM476" s="3"/>
      <c r="BN476" s="4"/>
      <c r="BO476" s="3"/>
      <c r="BP476" s="4"/>
      <c r="BQ476" s="3"/>
      <c r="BR476" s="4"/>
      <c r="BS476" s="3"/>
      <c r="BT476" s="4"/>
      <c r="BU476" s="3"/>
      <c r="BV476" s="4"/>
      <c r="BW476" s="3"/>
      <c r="BX476" s="4"/>
      <c r="BY476" s="3"/>
      <c r="BZ476" s="4"/>
      <c r="CA476" s="3"/>
      <c r="CB476" s="4"/>
      <c r="CC476" s="3"/>
      <c r="CD476" s="4"/>
    </row>
    <row r="477">
      <c r="A477" s="3"/>
      <c r="B477" s="4"/>
      <c r="C477" s="3"/>
      <c r="D477" s="4"/>
      <c r="E477" s="3"/>
      <c r="F477" s="4"/>
      <c r="G477" s="3"/>
      <c r="H477" s="4"/>
      <c r="I477" s="3"/>
      <c r="J477" s="4"/>
      <c r="K477" s="3"/>
      <c r="L477" s="4"/>
      <c r="M477" s="3"/>
      <c r="N477" s="4"/>
      <c r="O477" s="3"/>
      <c r="P477" s="4"/>
      <c r="Q477" s="3"/>
      <c r="R477" s="4"/>
      <c r="S477" s="3"/>
      <c r="T477" s="4"/>
      <c r="U477" s="3"/>
      <c r="V477" s="4"/>
      <c r="W477" s="3"/>
      <c r="X477" s="4"/>
      <c r="Y477" s="3"/>
      <c r="Z477" s="4"/>
      <c r="AA477" s="3"/>
      <c r="AB477" s="4"/>
      <c r="AC477" s="3"/>
      <c r="AD477" s="4"/>
      <c r="AE477" s="3"/>
      <c r="AF477" s="4"/>
      <c r="AG477" s="3"/>
      <c r="AH477" s="4"/>
      <c r="AI477" s="3"/>
      <c r="AJ477" s="4"/>
      <c r="AK477" s="3"/>
      <c r="AL477" s="4"/>
      <c r="AM477" s="3"/>
      <c r="AN477" s="4"/>
      <c r="AO477" s="3"/>
      <c r="AP477" s="4"/>
      <c r="AQ477" s="3"/>
      <c r="AR477" s="4"/>
      <c r="AS477" s="3"/>
      <c r="AT477" s="4"/>
      <c r="AU477" s="3"/>
      <c r="AV477" s="4"/>
      <c r="AW477" s="3"/>
      <c r="AX477" s="4"/>
      <c r="AY477" s="3"/>
      <c r="AZ477" s="4"/>
      <c r="BA477" s="3"/>
      <c r="BB477" s="4"/>
      <c r="BC477" s="3"/>
      <c r="BD477" s="4"/>
      <c r="BE477" s="3"/>
      <c r="BF477" s="4"/>
      <c r="BG477" s="3"/>
      <c r="BH477" s="4"/>
      <c r="BI477" s="3"/>
      <c r="BJ477" s="4"/>
      <c r="BK477" s="3"/>
      <c r="BL477" s="4"/>
      <c r="BM477" s="3"/>
      <c r="BN477" s="4"/>
      <c r="BO477" s="3"/>
      <c r="BP477" s="4"/>
      <c r="BQ477" s="3"/>
      <c r="BR477" s="4"/>
      <c r="BS477" s="3"/>
      <c r="BT477" s="4"/>
      <c r="BU477" s="3"/>
      <c r="BV477" s="4"/>
      <c r="BW477" s="3"/>
      <c r="BX477" s="4"/>
      <c r="BY477" s="3"/>
      <c r="BZ477" s="4"/>
      <c r="CA477" s="3"/>
      <c r="CB477" s="4"/>
      <c r="CC477" s="3"/>
      <c r="CD477" s="4"/>
    </row>
    <row r="478">
      <c r="A478" s="3"/>
      <c r="B478" s="4"/>
      <c r="C478" s="3"/>
      <c r="D478" s="4"/>
      <c r="E478" s="3"/>
      <c r="F478" s="4"/>
      <c r="G478" s="3"/>
      <c r="H478" s="4"/>
      <c r="I478" s="3"/>
      <c r="J478" s="4"/>
      <c r="K478" s="3"/>
      <c r="L478" s="4"/>
      <c r="M478" s="3"/>
      <c r="N478" s="4"/>
      <c r="O478" s="3"/>
      <c r="P478" s="4"/>
      <c r="Q478" s="3"/>
      <c r="R478" s="4"/>
      <c r="S478" s="3"/>
      <c r="T478" s="4"/>
      <c r="U478" s="3"/>
      <c r="V478" s="4"/>
      <c r="W478" s="3"/>
      <c r="X478" s="4"/>
      <c r="Y478" s="3"/>
      <c r="Z478" s="4"/>
      <c r="AA478" s="3"/>
      <c r="AB478" s="4"/>
      <c r="AC478" s="3"/>
      <c r="AD478" s="4"/>
      <c r="AE478" s="3"/>
      <c r="AF478" s="4"/>
      <c r="AG478" s="3"/>
      <c r="AH478" s="4"/>
      <c r="AI478" s="3"/>
      <c r="AJ478" s="4"/>
      <c r="AK478" s="3"/>
      <c r="AL478" s="4"/>
      <c r="AM478" s="3"/>
      <c r="AN478" s="4"/>
      <c r="AO478" s="3"/>
      <c r="AP478" s="4"/>
      <c r="AQ478" s="3"/>
      <c r="AR478" s="4"/>
      <c r="AS478" s="3"/>
      <c r="AT478" s="4"/>
      <c r="AU478" s="3"/>
      <c r="AV478" s="4"/>
      <c r="AW478" s="3"/>
      <c r="AX478" s="4"/>
      <c r="AY478" s="3"/>
      <c r="AZ478" s="4"/>
      <c r="BA478" s="3"/>
      <c r="BB478" s="4"/>
      <c r="BC478" s="3"/>
      <c r="BD478" s="4"/>
      <c r="BE478" s="3"/>
      <c r="BF478" s="4"/>
      <c r="BG478" s="3"/>
      <c r="BH478" s="4"/>
      <c r="BI478" s="3"/>
      <c r="BJ478" s="4"/>
      <c r="BK478" s="3"/>
      <c r="BL478" s="4"/>
      <c r="BM478" s="3"/>
      <c r="BN478" s="4"/>
      <c r="BO478" s="3"/>
      <c r="BP478" s="4"/>
      <c r="BQ478" s="3"/>
      <c r="BR478" s="4"/>
      <c r="BS478" s="3"/>
      <c r="BT478" s="4"/>
      <c r="BU478" s="3"/>
      <c r="BV478" s="4"/>
      <c r="BW478" s="3"/>
      <c r="BX478" s="4"/>
      <c r="BY478" s="3"/>
      <c r="BZ478" s="4"/>
      <c r="CA478" s="3"/>
      <c r="CB478" s="4"/>
      <c r="CC478" s="3"/>
      <c r="CD478" s="4"/>
    </row>
    <row r="479">
      <c r="A479" s="3"/>
      <c r="B479" s="4"/>
      <c r="C479" s="3"/>
      <c r="D479" s="4"/>
      <c r="E479" s="3"/>
      <c r="F479" s="4"/>
      <c r="G479" s="3"/>
      <c r="H479" s="4"/>
      <c r="I479" s="3"/>
      <c r="J479" s="4"/>
      <c r="K479" s="3"/>
      <c r="L479" s="4"/>
      <c r="M479" s="3"/>
      <c r="N479" s="4"/>
      <c r="O479" s="3"/>
      <c r="P479" s="4"/>
      <c r="Q479" s="3"/>
      <c r="R479" s="4"/>
      <c r="S479" s="3"/>
      <c r="T479" s="4"/>
      <c r="U479" s="3"/>
      <c r="V479" s="4"/>
      <c r="W479" s="3"/>
      <c r="X479" s="4"/>
      <c r="Y479" s="3"/>
      <c r="Z479" s="4"/>
      <c r="AA479" s="3"/>
      <c r="AB479" s="4"/>
      <c r="AC479" s="3"/>
      <c r="AD479" s="4"/>
      <c r="AE479" s="3"/>
      <c r="AF479" s="4"/>
      <c r="AG479" s="3"/>
      <c r="AH479" s="4"/>
      <c r="AI479" s="3"/>
      <c r="AJ479" s="4"/>
      <c r="AK479" s="3"/>
      <c r="AL479" s="4"/>
      <c r="AM479" s="3"/>
      <c r="AN479" s="4"/>
      <c r="AO479" s="3"/>
      <c r="AP479" s="4"/>
      <c r="AQ479" s="3"/>
      <c r="AR479" s="4"/>
      <c r="AS479" s="3"/>
      <c r="AT479" s="4"/>
      <c r="AU479" s="3"/>
      <c r="AV479" s="4"/>
      <c r="AW479" s="3"/>
      <c r="AX479" s="4"/>
      <c r="AY479" s="3"/>
      <c r="AZ479" s="4"/>
      <c r="BA479" s="3"/>
      <c r="BB479" s="4"/>
      <c r="BC479" s="3"/>
      <c r="BD479" s="4"/>
      <c r="BE479" s="3"/>
      <c r="BF479" s="4"/>
      <c r="BG479" s="3"/>
      <c r="BH479" s="4"/>
      <c r="BI479" s="3"/>
      <c r="BJ479" s="4"/>
      <c r="BK479" s="3"/>
      <c r="BL479" s="4"/>
      <c r="BM479" s="3"/>
      <c r="BN479" s="4"/>
      <c r="BO479" s="3"/>
      <c r="BP479" s="4"/>
      <c r="BQ479" s="3"/>
      <c r="BR479" s="4"/>
      <c r="BS479" s="3"/>
      <c r="BT479" s="4"/>
      <c r="BU479" s="3"/>
      <c r="BV479" s="4"/>
      <c r="BW479" s="3"/>
      <c r="BX479" s="4"/>
      <c r="BY479" s="3"/>
      <c r="BZ479" s="4"/>
      <c r="CA479" s="3"/>
      <c r="CB479" s="4"/>
      <c r="CC479" s="3"/>
      <c r="CD479" s="4"/>
    </row>
    <row r="480">
      <c r="A480" s="3"/>
      <c r="B480" s="4"/>
      <c r="C480" s="3"/>
      <c r="D480" s="4"/>
      <c r="E480" s="3"/>
      <c r="F480" s="4"/>
      <c r="G480" s="3"/>
      <c r="H480" s="4"/>
      <c r="I480" s="3"/>
      <c r="J480" s="4"/>
      <c r="K480" s="3"/>
      <c r="L480" s="4"/>
      <c r="M480" s="3"/>
      <c r="N480" s="4"/>
      <c r="O480" s="3"/>
      <c r="P480" s="4"/>
      <c r="Q480" s="3"/>
      <c r="R480" s="4"/>
      <c r="S480" s="3"/>
      <c r="T480" s="4"/>
      <c r="U480" s="3"/>
      <c r="V480" s="4"/>
      <c r="W480" s="3"/>
      <c r="X480" s="4"/>
      <c r="Y480" s="3"/>
      <c r="Z480" s="4"/>
      <c r="AA480" s="3"/>
      <c r="AB480" s="4"/>
      <c r="AC480" s="3"/>
      <c r="AD480" s="4"/>
      <c r="AE480" s="3"/>
      <c r="AF480" s="4"/>
      <c r="AG480" s="3"/>
      <c r="AH480" s="4"/>
      <c r="AI480" s="3"/>
      <c r="AJ480" s="4"/>
      <c r="AK480" s="3"/>
      <c r="AL480" s="4"/>
      <c r="AM480" s="3"/>
      <c r="AN480" s="4"/>
      <c r="AO480" s="3"/>
      <c r="AP480" s="4"/>
      <c r="AQ480" s="3"/>
      <c r="AR480" s="4"/>
      <c r="AS480" s="3"/>
      <c r="AT480" s="4"/>
      <c r="AU480" s="3"/>
      <c r="AV480" s="4"/>
      <c r="AW480" s="3"/>
      <c r="AX480" s="4"/>
      <c r="AY480" s="3"/>
      <c r="AZ480" s="4"/>
      <c r="BA480" s="3"/>
      <c r="BB480" s="4"/>
      <c r="BC480" s="3"/>
      <c r="BD480" s="4"/>
      <c r="BE480" s="3"/>
      <c r="BF480" s="4"/>
      <c r="BG480" s="3"/>
      <c r="BH480" s="4"/>
      <c r="BI480" s="3"/>
      <c r="BJ480" s="4"/>
      <c r="BK480" s="3"/>
      <c r="BL480" s="4"/>
      <c r="BM480" s="3"/>
      <c r="BN480" s="4"/>
      <c r="BO480" s="3"/>
      <c r="BP480" s="4"/>
      <c r="BQ480" s="3"/>
      <c r="BR480" s="4"/>
      <c r="BS480" s="3"/>
      <c r="BT480" s="4"/>
      <c r="BU480" s="3"/>
      <c r="BV480" s="4"/>
      <c r="BW480" s="3"/>
      <c r="BX480" s="4"/>
      <c r="BY480" s="3"/>
      <c r="BZ480" s="4"/>
      <c r="CA480" s="3"/>
      <c r="CB480" s="4"/>
      <c r="CC480" s="3"/>
      <c r="CD480" s="4"/>
    </row>
    <row r="481">
      <c r="A481" s="3"/>
      <c r="B481" s="4"/>
      <c r="C481" s="3"/>
      <c r="D481" s="4"/>
      <c r="E481" s="3"/>
      <c r="F481" s="4"/>
      <c r="G481" s="3"/>
      <c r="H481" s="4"/>
      <c r="I481" s="3"/>
      <c r="J481" s="4"/>
      <c r="K481" s="3"/>
      <c r="L481" s="4"/>
      <c r="M481" s="3"/>
      <c r="N481" s="4"/>
      <c r="O481" s="3"/>
      <c r="P481" s="4"/>
      <c r="Q481" s="3"/>
      <c r="R481" s="4"/>
      <c r="S481" s="3"/>
      <c r="T481" s="4"/>
      <c r="U481" s="3"/>
      <c r="V481" s="4"/>
      <c r="W481" s="3"/>
      <c r="X481" s="4"/>
      <c r="Y481" s="3"/>
      <c r="Z481" s="4"/>
      <c r="AA481" s="3"/>
      <c r="AB481" s="4"/>
      <c r="AC481" s="3"/>
      <c r="AD481" s="4"/>
      <c r="AE481" s="3"/>
      <c r="AF481" s="4"/>
      <c r="AG481" s="3"/>
      <c r="AH481" s="4"/>
      <c r="AI481" s="3"/>
      <c r="AJ481" s="4"/>
      <c r="AK481" s="3"/>
      <c r="AL481" s="4"/>
      <c r="AM481" s="3"/>
      <c r="AN481" s="4"/>
      <c r="AO481" s="3"/>
      <c r="AP481" s="4"/>
      <c r="AQ481" s="3"/>
      <c r="AR481" s="4"/>
      <c r="AS481" s="3"/>
      <c r="AT481" s="4"/>
      <c r="AU481" s="3"/>
      <c r="AV481" s="4"/>
      <c r="AW481" s="3"/>
      <c r="AX481" s="4"/>
      <c r="AY481" s="3"/>
      <c r="AZ481" s="4"/>
      <c r="BA481" s="3"/>
      <c r="BB481" s="4"/>
      <c r="BC481" s="3"/>
      <c r="BD481" s="4"/>
      <c r="BE481" s="3"/>
      <c r="BF481" s="4"/>
      <c r="BG481" s="3"/>
      <c r="BH481" s="4"/>
      <c r="BI481" s="3"/>
      <c r="BJ481" s="4"/>
      <c r="BK481" s="3"/>
      <c r="BL481" s="4"/>
      <c r="BM481" s="3"/>
      <c r="BN481" s="4"/>
      <c r="BO481" s="3"/>
      <c r="BP481" s="4"/>
      <c r="BQ481" s="3"/>
      <c r="BR481" s="4"/>
      <c r="BS481" s="3"/>
      <c r="BT481" s="4"/>
      <c r="BU481" s="3"/>
      <c r="BV481" s="4"/>
      <c r="BW481" s="3"/>
      <c r="BX481" s="4"/>
      <c r="BY481" s="3"/>
      <c r="BZ481" s="4"/>
      <c r="CA481" s="3"/>
      <c r="CB481" s="4"/>
      <c r="CC481" s="3"/>
      <c r="CD481" s="4"/>
    </row>
    <row r="482">
      <c r="A482" s="3"/>
      <c r="B482" s="4"/>
      <c r="C482" s="3"/>
      <c r="D482" s="4"/>
      <c r="E482" s="3"/>
      <c r="F482" s="4"/>
      <c r="G482" s="3"/>
      <c r="H482" s="4"/>
      <c r="I482" s="3"/>
      <c r="J482" s="4"/>
      <c r="K482" s="3"/>
      <c r="L482" s="4"/>
      <c r="M482" s="3"/>
      <c r="N482" s="4"/>
      <c r="O482" s="3"/>
      <c r="P482" s="4"/>
      <c r="Q482" s="3"/>
      <c r="R482" s="4"/>
      <c r="S482" s="3"/>
      <c r="T482" s="4"/>
      <c r="U482" s="3"/>
      <c r="V482" s="4"/>
      <c r="W482" s="3"/>
      <c r="X482" s="4"/>
      <c r="Y482" s="3"/>
      <c r="Z482" s="4"/>
      <c r="AA482" s="3"/>
      <c r="AB482" s="4"/>
      <c r="AC482" s="3"/>
      <c r="AD482" s="4"/>
      <c r="AE482" s="3"/>
      <c r="AF482" s="4"/>
      <c r="AG482" s="3"/>
      <c r="AH482" s="4"/>
      <c r="AI482" s="3"/>
      <c r="AJ482" s="4"/>
      <c r="AK482" s="3"/>
      <c r="AL482" s="4"/>
      <c r="AM482" s="3"/>
      <c r="AN482" s="4"/>
      <c r="AO482" s="3"/>
      <c r="AP482" s="4"/>
      <c r="AQ482" s="3"/>
      <c r="AR482" s="4"/>
      <c r="AS482" s="3"/>
      <c r="AT482" s="4"/>
      <c r="AU482" s="3"/>
      <c r="AV482" s="4"/>
      <c r="AW482" s="3"/>
      <c r="AX482" s="4"/>
      <c r="AY482" s="3"/>
      <c r="AZ482" s="4"/>
      <c r="BA482" s="3"/>
      <c r="BB482" s="4"/>
      <c r="BC482" s="3"/>
      <c r="BD482" s="4"/>
      <c r="BE482" s="3"/>
      <c r="BF482" s="4"/>
      <c r="BG482" s="3"/>
      <c r="BH482" s="4"/>
      <c r="BI482" s="3"/>
      <c r="BJ482" s="4"/>
      <c r="BK482" s="3"/>
      <c r="BL482" s="4"/>
      <c r="BM482" s="3"/>
      <c r="BN482" s="4"/>
      <c r="BO482" s="3"/>
      <c r="BP482" s="4"/>
      <c r="BQ482" s="3"/>
      <c r="BR482" s="4"/>
      <c r="BS482" s="3"/>
      <c r="BT482" s="4"/>
      <c r="BU482" s="3"/>
      <c r="BV482" s="4"/>
      <c r="BW482" s="3"/>
      <c r="BX482" s="4"/>
      <c r="BY482" s="3"/>
      <c r="BZ482" s="4"/>
      <c r="CA482" s="3"/>
      <c r="CB482" s="4"/>
      <c r="CC482" s="3"/>
      <c r="CD482" s="4"/>
    </row>
    <row r="483">
      <c r="A483" s="3"/>
      <c r="B483" s="4"/>
      <c r="C483" s="3"/>
      <c r="D483" s="4"/>
      <c r="E483" s="3"/>
      <c r="F483" s="4"/>
      <c r="G483" s="3"/>
      <c r="H483" s="4"/>
      <c r="I483" s="3"/>
      <c r="J483" s="4"/>
      <c r="K483" s="3"/>
      <c r="L483" s="4"/>
      <c r="M483" s="3"/>
      <c r="N483" s="4"/>
      <c r="O483" s="3"/>
      <c r="P483" s="4"/>
      <c r="Q483" s="3"/>
      <c r="R483" s="4"/>
      <c r="S483" s="3"/>
      <c r="T483" s="4"/>
      <c r="U483" s="3"/>
      <c r="V483" s="4"/>
      <c r="W483" s="3"/>
      <c r="X483" s="4"/>
      <c r="Y483" s="3"/>
      <c r="Z483" s="4"/>
      <c r="AA483" s="3"/>
      <c r="AB483" s="4"/>
      <c r="AC483" s="3"/>
      <c r="AD483" s="4"/>
      <c r="AE483" s="3"/>
      <c r="AF483" s="4"/>
      <c r="AG483" s="3"/>
      <c r="AH483" s="4"/>
      <c r="AI483" s="3"/>
      <c r="AJ483" s="4"/>
      <c r="AK483" s="3"/>
      <c r="AL483" s="4"/>
      <c r="AM483" s="3"/>
      <c r="AN483" s="4"/>
      <c r="AO483" s="3"/>
      <c r="AP483" s="4"/>
      <c r="AQ483" s="3"/>
      <c r="AR483" s="4"/>
      <c r="AS483" s="3"/>
      <c r="AT483" s="4"/>
      <c r="AU483" s="3"/>
      <c r="AV483" s="4"/>
      <c r="AW483" s="3"/>
      <c r="AX483" s="4"/>
      <c r="AY483" s="3"/>
      <c r="AZ483" s="4"/>
      <c r="BA483" s="3"/>
      <c r="BB483" s="4"/>
      <c r="BC483" s="3"/>
      <c r="BD483" s="4"/>
      <c r="BE483" s="3"/>
      <c r="BF483" s="4"/>
      <c r="BG483" s="3"/>
      <c r="BH483" s="4"/>
      <c r="BI483" s="3"/>
      <c r="BJ483" s="4"/>
      <c r="BK483" s="3"/>
      <c r="BL483" s="4"/>
      <c r="BM483" s="3"/>
      <c r="BN483" s="4"/>
      <c r="BO483" s="3"/>
      <c r="BP483" s="4"/>
      <c r="BQ483" s="3"/>
      <c r="BR483" s="4"/>
      <c r="BS483" s="3"/>
      <c r="BT483" s="4"/>
      <c r="BU483" s="3"/>
      <c r="BV483" s="4"/>
      <c r="BW483" s="3"/>
      <c r="BX483" s="4"/>
      <c r="BY483" s="3"/>
      <c r="BZ483" s="4"/>
      <c r="CA483" s="3"/>
      <c r="CB483" s="4"/>
      <c r="CC483" s="3"/>
      <c r="CD483" s="4"/>
    </row>
    <row r="484">
      <c r="A484" s="3"/>
      <c r="B484" s="4"/>
      <c r="C484" s="3"/>
      <c r="D484" s="4"/>
      <c r="E484" s="3"/>
      <c r="F484" s="4"/>
      <c r="G484" s="3"/>
      <c r="H484" s="4"/>
      <c r="I484" s="3"/>
      <c r="J484" s="4"/>
      <c r="K484" s="3"/>
      <c r="L484" s="4"/>
      <c r="M484" s="3"/>
      <c r="N484" s="4"/>
      <c r="O484" s="3"/>
      <c r="P484" s="4"/>
      <c r="Q484" s="3"/>
      <c r="R484" s="4"/>
      <c r="S484" s="3"/>
      <c r="T484" s="4"/>
      <c r="U484" s="3"/>
      <c r="V484" s="4"/>
      <c r="W484" s="3"/>
      <c r="X484" s="4"/>
      <c r="Y484" s="3"/>
      <c r="Z484" s="4"/>
      <c r="AA484" s="3"/>
      <c r="AB484" s="4"/>
      <c r="AC484" s="3"/>
      <c r="AD484" s="4"/>
      <c r="AE484" s="3"/>
      <c r="AF484" s="4"/>
      <c r="AG484" s="3"/>
      <c r="AH484" s="4"/>
      <c r="AI484" s="3"/>
      <c r="AJ484" s="4"/>
      <c r="AK484" s="3"/>
      <c r="AL484" s="4"/>
      <c r="AM484" s="3"/>
      <c r="AN484" s="4"/>
      <c r="AO484" s="3"/>
      <c r="AP484" s="4"/>
      <c r="AQ484" s="3"/>
      <c r="AR484" s="4"/>
      <c r="AS484" s="3"/>
      <c r="AT484" s="4"/>
      <c r="AU484" s="3"/>
      <c r="AV484" s="4"/>
      <c r="AW484" s="3"/>
      <c r="AX484" s="4"/>
      <c r="AY484" s="3"/>
      <c r="AZ484" s="4"/>
      <c r="BA484" s="3"/>
      <c r="BB484" s="4"/>
      <c r="BC484" s="3"/>
      <c r="BD484" s="4"/>
      <c r="BE484" s="3"/>
      <c r="BF484" s="4"/>
      <c r="BG484" s="3"/>
      <c r="BH484" s="4"/>
      <c r="BI484" s="3"/>
      <c r="BJ484" s="4"/>
      <c r="BK484" s="3"/>
      <c r="BL484" s="4"/>
      <c r="BM484" s="3"/>
      <c r="BN484" s="4"/>
      <c r="BO484" s="3"/>
      <c r="BP484" s="4"/>
      <c r="BQ484" s="3"/>
      <c r="BR484" s="4"/>
      <c r="BS484" s="3"/>
      <c r="BT484" s="4"/>
      <c r="BU484" s="3"/>
      <c r="BV484" s="4"/>
      <c r="BW484" s="3"/>
      <c r="BX484" s="4"/>
      <c r="BY484" s="3"/>
      <c r="BZ484" s="4"/>
      <c r="CA484" s="3"/>
      <c r="CB484" s="4"/>
      <c r="CC484" s="3"/>
      <c r="CD484" s="4"/>
    </row>
    <row r="485">
      <c r="A485" s="3"/>
      <c r="B485" s="4"/>
      <c r="C485" s="3"/>
      <c r="D485" s="4"/>
      <c r="E485" s="3"/>
      <c r="F485" s="4"/>
      <c r="G485" s="3"/>
      <c r="H485" s="4"/>
      <c r="I485" s="3"/>
      <c r="J485" s="4"/>
      <c r="K485" s="3"/>
      <c r="L485" s="4"/>
      <c r="M485" s="3"/>
      <c r="N485" s="4"/>
      <c r="O485" s="3"/>
      <c r="P485" s="4"/>
      <c r="Q485" s="3"/>
      <c r="R485" s="4"/>
      <c r="S485" s="3"/>
      <c r="T485" s="4"/>
      <c r="U485" s="3"/>
      <c r="V485" s="4"/>
      <c r="W485" s="3"/>
      <c r="X485" s="4"/>
      <c r="Y485" s="3"/>
      <c r="Z485" s="4"/>
      <c r="AA485" s="3"/>
      <c r="AB485" s="4"/>
      <c r="AC485" s="3"/>
      <c r="AD485" s="4"/>
      <c r="AE485" s="3"/>
      <c r="AF485" s="4"/>
      <c r="AG485" s="3"/>
      <c r="AH485" s="4"/>
      <c r="AI485" s="3"/>
      <c r="AJ485" s="4"/>
      <c r="AK485" s="3"/>
      <c r="AL485" s="4"/>
      <c r="AM485" s="3"/>
      <c r="AN485" s="4"/>
      <c r="AO485" s="3"/>
      <c r="AP485" s="4"/>
      <c r="AQ485" s="3"/>
      <c r="AR485" s="4"/>
      <c r="AS485" s="3"/>
      <c r="AT485" s="4"/>
      <c r="AU485" s="3"/>
      <c r="AV485" s="4"/>
      <c r="AW485" s="3"/>
      <c r="AX485" s="4"/>
      <c r="AY485" s="3"/>
      <c r="AZ485" s="4"/>
      <c r="BA485" s="3"/>
      <c r="BB485" s="4"/>
      <c r="BC485" s="3"/>
      <c r="BD485" s="4"/>
      <c r="BE485" s="3"/>
      <c r="BF485" s="4"/>
      <c r="BG485" s="3"/>
      <c r="BH485" s="4"/>
      <c r="BI485" s="3"/>
      <c r="BJ485" s="4"/>
      <c r="BK485" s="3"/>
      <c r="BL485" s="4"/>
      <c r="BM485" s="3"/>
      <c r="BN485" s="4"/>
      <c r="BO485" s="3"/>
      <c r="BP485" s="4"/>
      <c r="BQ485" s="3"/>
      <c r="BR485" s="4"/>
      <c r="BS485" s="3"/>
      <c r="BT485" s="4"/>
      <c r="BU485" s="3"/>
      <c r="BV485" s="4"/>
      <c r="BW485" s="3"/>
      <c r="BX485" s="4"/>
      <c r="BY485" s="3"/>
      <c r="BZ485" s="4"/>
      <c r="CA485" s="3"/>
      <c r="CB485" s="4"/>
      <c r="CC485" s="3"/>
      <c r="CD485" s="4"/>
    </row>
    <row r="486">
      <c r="A486" s="3"/>
      <c r="B486" s="4"/>
      <c r="C486" s="3"/>
      <c r="D486" s="4"/>
      <c r="E486" s="3"/>
      <c r="F486" s="4"/>
      <c r="G486" s="3"/>
      <c r="H486" s="4"/>
      <c r="I486" s="3"/>
      <c r="J486" s="4"/>
      <c r="K486" s="3"/>
      <c r="L486" s="4"/>
      <c r="M486" s="3"/>
      <c r="N486" s="4"/>
      <c r="O486" s="3"/>
      <c r="P486" s="4"/>
      <c r="Q486" s="3"/>
      <c r="R486" s="4"/>
      <c r="S486" s="3"/>
      <c r="T486" s="4"/>
      <c r="U486" s="3"/>
      <c r="V486" s="4"/>
      <c r="W486" s="3"/>
      <c r="X486" s="4"/>
      <c r="Y486" s="3"/>
      <c r="Z486" s="4"/>
      <c r="AA486" s="3"/>
      <c r="AB486" s="4"/>
      <c r="AC486" s="3"/>
      <c r="AD486" s="4"/>
      <c r="AE486" s="3"/>
      <c r="AF486" s="4"/>
      <c r="AG486" s="3"/>
      <c r="AH486" s="4"/>
      <c r="AI486" s="3"/>
      <c r="AJ486" s="4"/>
      <c r="AK486" s="3"/>
      <c r="AL486" s="4"/>
      <c r="AM486" s="3"/>
      <c r="AN486" s="4"/>
      <c r="AO486" s="3"/>
      <c r="AP486" s="4"/>
      <c r="AQ486" s="3"/>
      <c r="AR486" s="4"/>
      <c r="AS486" s="3"/>
      <c r="AT486" s="4"/>
      <c r="AU486" s="3"/>
      <c r="AV486" s="4"/>
      <c r="AW486" s="3"/>
      <c r="AX486" s="4"/>
      <c r="AY486" s="3"/>
      <c r="AZ486" s="4"/>
      <c r="BA486" s="3"/>
      <c r="BB486" s="4"/>
      <c r="BC486" s="3"/>
      <c r="BD486" s="4"/>
      <c r="BE486" s="3"/>
      <c r="BF486" s="4"/>
      <c r="BG486" s="3"/>
      <c r="BH486" s="4"/>
      <c r="BI486" s="3"/>
      <c r="BJ486" s="4"/>
      <c r="BK486" s="3"/>
      <c r="BL486" s="4"/>
      <c r="BM486" s="3"/>
      <c r="BN486" s="4"/>
      <c r="BO486" s="3"/>
      <c r="BP486" s="4"/>
      <c r="BQ486" s="3"/>
      <c r="BR486" s="4"/>
      <c r="BS486" s="3"/>
      <c r="BT486" s="4"/>
      <c r="BU486" s="3"/>
      <c r="BV486" s="4"/>
      <c r="BW486" s="3"/>
      <c r="BX486" s="4"/>
      <c r="BY486" s="3"/>
      <c r="BZ486" s="4"/>
      <c r="CA486" s="3"/>
      <c r="CB486" s="4"/>
      <c r="CC486" s="3"/>
      <c r="CD486" s="4"/>
    </row>
    <row r="487">
      <c r="A487" s="3"/>
      <c r="B487" s="4"/>
      <c r="C487" s="3"/>
      <c r="D487" s="4"/>
      <c r="E487" s="3"/>
      <c r="F487" s="4"/>
      <c r="G487" s="3"/>
      <c r="H487" s="4"/>
      <c r="I487" s="3"/>
      <c r="J487" s="4"/>
      <c r="K487" s="3"/>
      <c r="L487" s="4"/>
      <c r="M487" s="3"/>
      <c r="N487" s="4"/>
      <c r="O487" s="3"/>
      <c r="P487" s="4"/>
      <c r="Q487" s="3"/>
      <c r="R487" s="4"/>
      <c r="S487" s="3"/>
      <c r="T487" s="4"/>
      <c r="U487" s="3"/>
      <c r="V487" s="4"/>
      <c r="W487" s="3"/>
      <c r="X487" s="4"/>
      <c r="Y487" s="3"/>
      <c r="Z487" s="4"/>
      <c r="AA487" s="3"/>
      <c r="AB487" s="4"/>
      <c r="AC487" s="3"/>
      <c r="AD487" s="4"/>
      <c r="AE487" s="3"/>
      <c r="AF487" s="4"/>
      <c r="AG487" s="3"/>
      <c r="AH487" s="4"/>
      <c r="AI487" s="3"/>
      <c r="AJ487" s="4"/>
      <c r="AK487" s="3"/>
      <c r="AL487" s="4"/>
      <c r="AM487" s="3"/>
      <c r="AN487" s="4"/>
      <c r="AO487" s="3"/>
      <c r="AP487" s="4"/>
      <c r="AQ487" s="3"/>
      <c r="AR487" s="4"/>
      <c r="AS487" s="3"/>
      <c r="AT487" s="4"/>
      <c r="AU487" s="3"/>
      <c r="AV487" s="4"/>
      <c r="AW487" s="3"/>
      <c r="AX487" s="4"/>
      <c r="AY487" s="3"/>
      <c r="AZ487" s="4"/>
      <c r="BA487" s="3"/>
      <c r="BB487" s="4"/>
      <c r="BC487" s="3"/>
      <c r="BD487" s="4"/>
      <c r="BE487" s="3"/>
      <c r="BF487" s="4"/>
      <c r="BG487" s="3"/>
      <c r="BH487" s="4"/>
      <c r="BI487" s="3"/>
      <c r="BJ487" s="4"/>
      <c r="BK487" s="3"/>
      <c r="BL487" s="4"/>
      <c r="BM487" s="3"/>
      <c r="BN487" s="4"/>
      <c r="BO487" s="3"/>
      <c r="BP487" s="4"/>
      <c r="BQ487" s="3"/>
      <c r="BR487" s="4"/>
      <c r="BS487" s="3"/>
      <c r="BT487" s="4"/>
      <c r="BU487" s="3"/>
      <c r="BV487" s="4"/>
      <c r="BW487" s="3"/>
      <c r="BX487" s="4"/>
      <c r="BY487" s="3"/>
      <c r="BZ487" s="4"/>
      <c r="CA487" s="3"/>
      <c r="CB487" s="4"/>
      <c r="CC487" s="3"/>
      <c r="CD487" s="4"/>
    </row>
    <row r="488">
      <c r="A488" s="3"/>
      <c r="B488" s="4"/>
      <c r="C488" s="3"/>
      <c r="D488" s="4"/>
      <c r="E488" s="3"/>
      <c r="F488" s="4"/>
      <c r="G488" s="3"/>
      <c r="H488" s="4"/>
      <c r="I488" s="3"/>
      <c r="J488" s="4"/>
      <c r="K488" s="3"/>
      <c r="L488" s="4"/>
      <c r="M488" s="3"/>
      <c r="N488" s="4"/>
      <c r="O488" s="3"/>
      <c r="P488" s="4"/>
      <c r="Q488" s="3"/>
      <c r="R488" s="4"/>
      <c r="S488" s="3"/>
      <c r="T488" s="4"/>
      <c r="U488" s="3"/>
      <c r="V488" s="4"/>
      <c r="W488" s="3"/>
      <c r="X488" s="4"/>
      <c r="Y488" s="3"/>
      <c r="Z488" s="4"/>
      <c r="AA488" s="3"/>
      <c r="AB488" s="4"/>
      <c r="AC488" s="3"/>
      <c r="AD488" s="4"/>
      <c r="AE488" s="3"/>
      <c r="AF488" s="4"/>
      <c r="AG488" s="3"/>
      <c r="AH488" s="4"/>
      <c r="AI488" s="3"/>
      <c r="AJ488" s="4"/>
      <c r="AK488" s="3"/>
      <c r="AL488" s="4"/>
      <c r="AM488" s="3"/>
      <c r="AN488" s="4"/>
      <c r="AO488" s="3"/>
      <c r="AP488" s="4"/>
      <c r="AQ488" s="3"/>
      <c r="AR488" s="4"/>
      <c r="AS488" s="3"/>
      <c r="AT488" s="4"/>
      <c r="AU488" s="3"/>
      <c r="AV488" s="4"/>
      <c r="AW488" s="3"/>
      <c r="AX488" s="4"/>
      <c r="AY488" s="3"/>
      <c r="AZ488" s="4"/>
      <c r="BA488" s="3"/>
      <c r="BB488" s="4"/>
      <c r="BC488" s="3"/>
      <c r="BD488" s="4"/>
      <c r="BE488" s="3"/>
      <c r="BF488" s="4"/>
      <c r="BG488" s="3"/>
      <c r="BH488" s="4"/>
      <c r="BI488" s="3"/>
      <c r="BJ488" s="4"/>
      <c r="BK488" s="3"/>
      <c r="BL488" s="4"/>
      <c r="BM488" s="3"/>
      <c r="BN488" s="4"/>
      <c r="BO488" s="3"/>
      <c r="BP488" s="4"/>
      <c r="BQ488" s="3"/>
      <c r="BR488" s="4"/>
      <c r="BS488" s="3"/>
      <c r="BT488" s="4"/>
      <c r="BU488" s="3"/>
      <c r="BV488" s="4"/>
      <c r="BW488" s="3"/>
      <c r="BX488" s="4"/>
      <c r="BY488" s="3"/>
      <c r="BZ488" s="4"/>
      <c r="CA488" s="3"/>
      <c r="CB488" s="4"/>
      <c r="CC488" s="3"/>
      <c r="CD488" s="4"/>
    </row>
    <row r="489">
      <c r="A489" s="3"/>
      <c r="B489" s="4"/>
      <c r="C489" s="3"/>
      <c r="D489" s="4"/>
      <c r="E489" s="3"/>
      <c r="F489" s="4"/>
      <c r="G489" s="3"/>
      <c r="H489" s="4"/>
      <c r="I489" s="3"/>
      <c r="J489" s="4"/>
      <c r="K489" s="3"/>
      <c r="L489" s="4"/>
      <c r="M489" s="3"/>
      <c r="N489" s="4"/>
      <c r="O489" s="3"/>
      <c r="P489" s="4"/>
      <c r="Q489" s="3"/>
      <c r="R489" s="4"/>
      <c r="S489" s="3"/>
      <c r="T489" s="4"/>
      <c r="U489" s="3"/>
      <c r="V489" s="4"/>
      <c r="W489" s="3"/>
      <c r="X489" s="4"/>
      <c r="Y489" s="3"/>
      <c r="Z489" s="4"/>
      <c r="AA489" s="3"/>
      <c r="AB489" s="4"/>
      <c r="AC489" s="3"/>
      <c r="AD489" s="4"/>
      <c r="AE489" s="3"/>
      <c r="AF489" s="4"/>
      <c r="AG489" s="3"/>
      <c r="AH489" s="4"/>
      <c r="AI489" s="3"/>
      <c r="AJ489" s="4"/>
      <c r="AK489" s="3"/>
      <c r="AL489" s="4"/>
      <c r="AM489" s="3"/>
      <c r="AN489" s="4"/>
      <c r="AO489" s="3"/>
      <c r="AP489" s="4"/>
      <c r="AQ489" s="3"/>
      <c r="AR489" s="4"/>
      <c r="AS489" s="3"/>
      <c r="AT489" s="4"/>
      <c r="AU489" s="3"/>
      <c r="AV489" s="4"/>
      <c r="AW489" s="3"/>
      <c r="AX489" s="4"/>
      <c r="AY489" s="3"/>
      <c r="AZ489" s="4"/>
      <c r="BA489" s="3"/>
      <c r="BB489" s="4"/>
      <c r="BC489" s="3"/>
      <c r="BD489" s="4"/>
      <c r="BE489" s="3"/>
      <c r="BF489" s="4"/>
      <c r="BG489" s="3"/>
      <c r="BH489" s="4"/>
      <c r="BI489" s="3"/>
      <c r="BJ489" s="4"/>
      <c r="BK489" s="3"/>
      <c r="BL489" s="4"/>
      <c r="BM489" s="3"/>
      <c r="BN489" s="4"/>
      <c r="BO489" s="3"/>
      <c r="BP489" s="4"/>
      <c r="BQ489" s="3"/>
      <c r="BR489" s="4"/>
      <c r="BS489" s="3"/>
      <c r="BT489" s="4"/>
      <c r="BU489" s="3"/>
      <c r="BV489" s="4"/>
      <c r="BW489" s="3"/>
      <c r="BX489" s="4"/>
      <c r="BY489" s="3"/>
      <c r="BZ489" s="4"/>
      <c r="CA489" s="3"/>
      <c r="CB489" s="4"/>
      <c r="CC489" s="3"/>
      <c r="CD489" s="4"/>
    </row>
    <row r="490">
      <c r="A490" s="3"/>
      <c r="B490" s="4"/>
      <c r="C490" s="3"/>
      <c r="D490" s="4"/>
      <c r="E490" s="3"/>
      <c r="F490" s="4"/>
      <c r="G490" s="3"/>
      <c r="H490" s="4"/>
      <c r="I490" s="3"/>
      <c r="J490" s="4"/>
      <c r="K490" s="3"/>
      <c r="L490" s="4"/>
      <c r="M490" s="3"/>
      <c r="N490" s="4"/>
      <c r="O490" s="3"/>
      <c r="P490" s="4"/>
      <c r="Q490" s="3"/>
      <c r="R490" s="4"/>
      <c r="S490" s="3"/>
      <c r="T490" s="4"/>
      <c r="U490" s="3"/>
      <c r="V490" s="4"/>
      <c r="W490" s="3"/>
      <c r="X490" s="4"/>
      <c r="Y490" s="3"/>
      <c r="Z490" s="4"/>
      <c r="AA490" s="3"/>
      <c r="AB490" s="4"/>
      <c r="AC490" s="3"/>
      <c r="AD490" s="4"/>
      <c r="AE490" s="3"/>
      <c r="AF490" s="4"/>
      <c r="AG490" s="3"/>
      <c r="AH490" s="4"/>
      <c r="AI490" s="3"/>
      <c r="AJ490" s="4"/>
      <c r="AK490" s="3"/>
      <c r="AL490" s="4"/>
      <c r="AM490" s="3"/>
      <c r="AN490" s="4"/>
      <c r="AO490" s="3"/>
      <c r="AP490" s="4"/>
      <c r="AQ490" s="3"/>
      <c r="AR490" s="4"/>
      <c r="AS490" s="3"/>
      <c r="AT490" s="4"/>
      <c r="AU490" s="3"/>
      <c r="AV490" s="4"/>
      <c r="AW490" s="3"/>
      <c r="AX490" s="4"/>
      <c r="AY490" s="3"/>
      <c r="AZ490" s="4"/>
      <c r="BA490" s="3"/>
      <c r="BB490" s="4"/>
      <c r="BC490" s="3"/>
      <c r="BD490" s="4"/>
      <c r="BE490" s="3"/>
      <c r="BF490" s="4"/>
      <c r="BG490" s="3"/>
      <c r="BH490" s="4"/>
      <c r="BI490" s="3"/>
      <c r="BJ490" s="4"/>
      <c r="BK490" s="3"/>
      <c r="BL490" s="4"/>
      <c r="BM490" s="3"/>
      <c r="BN490" s="4"/>
      <c r="BO490" s="3"/>
      <c r="BP490" s="4"/>
      <c r="BQ490" s="3"/>
      <c r="BR490" s="4"/>
      <c r="BS490" s="3"/>
      <c r="BT490" s="4"/>
      <c r="BU490" s="3"/>
      <c r="BV490" s="4"/>
      <c r="BW490" s="3"/>
      <c r="BX490" s="4"/>
      <c r="BY490" s="3"/>
      <c r="BZ490" s="4"/>
      <c r="CA490" s="3"/>
      <c r="CB490" s="4"/>
      <c r="CC490" s="3"/>
      <c r="CD490" s="4"/>
    </row>
    <row r="491">
      <c r="A491" s="3"/>
      <c r="B491" s="4"/>
      <c r="C491" s="3"/>
      <c r="D491" s="4"/>
      <c r="E491" s="3"/>
      <c r="F491" s="4"/>
      <c r="G491" s="3"/>
      <c r="H491" s="4"/>
      <c r="I491" s="3"/>
      <c r="J491" s="4"/>
      <c r="K491" s="3"/>
      <c r="L491" s="4"/>
      <c r="M491" s="3"/>
      <c r="N491" s="4"/>
      <c r="O491" s="3"/>
      <c r="P491" s="4"/>
      <c r="Q491" s="3"/>
      <c r="R491" s="4"/>
      <c r="S491" s="3"/>
      <c r="T491" s="4"/>
      <c r="U491" s="3"/>
      <c r="V491" s="4"/>
      <c r="W491" s="3"/>
      <c r="X491" s="4"/>
      <c r="Y491" s="3"/>
      <c r="Z491" s="4"/>
      <c r="AA491" s="3"/>
      <c r="AB491" s="4"/>
      <c r="AC491" s="3"/>
      <c r="AD491" s="4"/>
      <c r="AE491" s="3"/>
      <c r="AF491" s="4"/>
      <c r="AG491" s="3"/>
      <c r="AH491" s="4"/>
      <c r="AI491" s="3"/>
      <c r="AJ491" s="4"/>
      <c r="AK491" s="3"/>
      <c r="AL491" s="4"/>
      <c r="AM491" s="3"/>
      <c r="AN491" s="4"/>
      <c r="AO491" s="3"/>
      <c r="AP491" s="4"/>
      <c r="AQ491" s="3"/>
      <c r="AR491" s="4"/>
      <c r="AS491" s="3"/>
      <c r="AT491" s="4"/>
      <c r="AU491" s="3"/>
      <c r="AV491" s="4"/>
      <c r="AW491" s="3"/>
      <c r="AX491" s="4"/>
      <c r="AY491" s="3"/>
      <c r="AZ491" s="4"/>
      <c r="BA491" s="3"/>
      <c r="BB491" s="4"/>
      <c r="BC491" s="3"/>
      <c r="BD491" s="4"/>
      <c r="BE491" s="3"/>
      <c r="BF491" s="4"/>
      <c r="BG491" s="3"/>
      <c r="BH491" s="4"/>
      <c r="BI491" s="3"/>
      <c r="BJ491" s="4"/>
      <c r="BK491" s="3"/>
      <c r="BL491" s="4"/>
      <c r="BM491" s="3"/>
      <c r="BN491" s="4"/>
      <c r="BO491" s="3"/>
      <c r="BP491" s="4"/>
      <c r="BQ491" s="3"/>
      <c r="BR491" s="4"/>
      <c r="BS491" s="3"/>
      <c r="BT491" s="4"/>
      <c r="BU491" s="3"/>
      <c r="BV491" s="4"/>
      <c r="BW491" s="3"/>
      <c r="BX491" s="4"/>
      <c r="BY491" s="3"/>
      <c r="BZ491" s="4"/>
      <c r="CA491" s="3"/>
      <c r="CB491" s="4"/>
      <c r="CC491" s="3"/>
      <c r="CD491" s="4"/>
    </row>
    <row r="492">
      <c r="A492" s="3"/>
      <c r="B492" s="4"/>
      <c r="C492" s="3"/>
      <c r="D492" s="4"/>
      <c r="E492" s="3"/>
      <c r="F492" s="4"/>
      <c r="G492" s="3"/>
      <c r="H492" s="4"/>
      <c r="I492" s="3"/>
      <c r="J492" s="4"/>
      <c r="K492" s="3"/>
      <c r="L492" s="4"/>
      <c r="M492" s="3"/>
      <c r="N492" s="4"/>
      <c r="O492" s="3"/>
      <c r="P492" s="4"/>
      <c r="Q492" s="3"/>
      <c r="R492" s="4"/>
      <c r="S492" s="3"/>
      <c r="T492" s="4"/>
      <c r="U492" s="3"/>
      <c r="V492" s="4"/>
      <c r="W492" s="3"/>
      <c r="X492" s="4"/>
      <c r="Y492" s="3"/>
      <c r="Z492" s="4"/>
      <c r="AA492" s="3"/>
      <c r="AB492" s="4"/>
      <c r="AC492" s="3"/>
      <c r="AD492" s="4"/>
      <c r="AE492" s="3"/>
      <c r="AF492" s="4"/>
      <c r="AG492" s="3"/>
      <c r="AH492" s="4"/>
      <c r="AI492" s="3"/>
      <c r="AJ492" s="4"/>
      <c r="AK492" s="3"/>
      <c r="AL492" s="4"/>
      <c r="AM492" s="3"/>
      <c r="AN492" s="4"/>
      <c r="AO492" s="3"/>
      <c r="AP492" s="4"/>
      <c r="AQ492" s="3"/>
      <c r="AR492" s="4"/>
      <c r="AS492" s="3"/>
      <c r="AT492" s="4"/>
      <c r="AU492" s="3"/>
      <c r="AV492" s="4"/>
      <c r="AW492" s="3"/>
      <c r="AX492" s="4"/>
      <c r="AY492" s="3"/>
      <c r="AZ492" s="4"/>
      <c r="BA492" s="3"/>
      <c r="BB492" s="4"/>
      <c r="BC492" s="3"/>
      <c r="BD492" s="4"/>
      <c r="BE492" s="3"/>
      <c r="BF492" s="4"/>
      <c r="BG492" s="3"/>
      <c r="BH492" s="4"/>
      <c r="BI492" s="3"/>
      <c r="BJ492" s="4"/>
      <c r="BK492" s="3"/>
      <c r="BL492" s="4"/>
      <c r="BM492" s="3"/>
      <c r="BN492" s="4"/>
      <c r="BO492" s="3"/>
      <c r="BP492" s="4"/>
      <c r="BQ492" s="3"/>
      <c r="BR492" s="4"/>
      <c r="BS492" s="3"/>
      <c r="BT492" s="4"/>
      <c r="BU492" s="3"/>
      <c r="BV492" s="4"/>
      <c r="BW492" s="3"/>
      <c r="BX492" s="4"/>
      <c r="BY492" s="3"/>
      <c r="BZ492" s="4"/>
      <c r="CA492" s="3"/>
      <c r="CB492" s="4"/>
      <c r="CC492" s="3"/>
      <c r="CD492" s="4"/>
    </row>
    <row r="493">
      <c r="A493" s="3"/>
      <c r="B493" s="4"/>
      <c r="C493" s="3"/>
      <c r="D493" s="4"/>
      <c r="E493" s="3"/>
      <c r="F493" s="4"/>
      <c r="G493" s="3"/>
      <c r="H493" s="4"/>
      <c r="I493" s="3"/>
      <c r="J493" s="4"/>
      <c r="K493" s="3"/>
      <c r="L493" s="4"/>
      <c r="M493" s="3"/>
      <c r="N493" s="4"/>
      <c r="O493" s="3"/>
      <c r="P493" s="4"/>
      <c r="Q493" s="3"/>
      <c r="R493" s="4"/>
      <c r="S493" s="3"/>
      <c r="T493" s="4"/>
      <c r="U493" s="3"/>
      <c r="V493" s="4"/>
      <c r="W493" s="3"/>
      <c r="X493" s="4"/>
      <c r="Y493" s="3"/>
      <c r="Z493" s="4"/>
      <c r="AA493" s="3"/>
      <c r="AB493" s="4"/>
      <c r="AC493" s="3"/>
      <c r="AD493" s="4"/>
      <c r="AE493" s="3"/>
      <c r="AF493" s="4"/>
      <c r="AG493" s="3"/>
      <c r="AH493" s="4"/>
      <c r="AI493" s="3"/>
      <c r="AJ493" s="4"/>
      <c r="AK493" s="3"/>
      <c r="AL493" s="4"/>
      <c r="AM493" s="3"/>
      <c r="AN493" s="4"/>
      <c r="AO493" s="3"/>
      <c r="AP493" s="4"/>
      <c r="AQ493" s="3"/>
      <c r="AR493" s="4"/>
      <c r="AS493" s="3"/>
      <c r="AT493" s="4"/>
      <c r="AU493" s="3"/>
      <c r="AV493" s="4"/>
      <c r="AW493" s="3"/>
      <c r="AX493" s="4"/>
      <c r="AY493" s="3"/>
      <c r="AZ493" s="4"/>
      <c r="BA493" s="3"/>
      <c r="BB493" s="4"/>
      <c r="BC493" s="3"/>
      <c r="BD493" s="4"/>
      <c r="BE493" s="3"/>
      <c r="BF493" s="4"/>
      <c r="BG493" s="3"/>
      <c r="BH493" s="4"/>
      <c r="BI493" s="3"/>
      <c r="BJ493" s="4"/>
      <c r="BK493" s="3"/>
      <c r="BL493" s="4"/>
      <c r="BM493" s="3"/>
      <c r="BN493" s="4"/>
      <c r="BO493" s="3"/>
      <c r="BP493" s="4"/>
      <c r="BQ493" s="3"/>
      <c r="BR493" s="4"/>
      <c r="BS493" s="3"/>
      <c r="BT493" s="4"/>
      <c r="BU493" s="3"/>
      <c r="BV493" s="4"/>
      <c r="BW493" s="3"/>
      <c r="BX493" s="4"/>
      <c r="BY493" s="3"/>
      <c r="BZ493" s="4"/>
      <c r="CA493" s="3"/>
      <c r="CB493" s="4"/>
      <c r="CC493" s="3"/>
      <c r="CD493" s="4"/>
    </row>
    <row r="494">
      <c r="A494" s="3"/>
      <c r="B494" s="4"/>
      <c r="C494" s="3"/>
      <c r="D494" s="4"/>
      <c r="E494" s="3"/>
      <c r="F494" s="4"/>
      <c r="G494" s="3"/>
      <c r="H494" s="4"/>
      <c r="I494" s="3"/>
      <c r="J494" s="4"/>
      <c r="K494" s="3"/>
      <c r="L494" s="4"/>
      <c r="M494" s="3"/>
      <c r="N494" s="4"/>
      <c r="O494" s="3"/>
      <c r="P494" s="4"/>
      <c r="Q494" s="3"/>
      <c r="R494" s="4"/>
      <c r="S494" s="3"/>
      <c r="T494" s="4"/>
      <c r="U494" s="3"/>
      <c r="V494" s="4"/>
      <c r="W494" s="3"/>
      <c r="X494" s="4"/>
      <c r="Y494" s="3"/>
      <c r="Z494" s="4"/>
      <c r="AA494" s="3"/>
      <c r="AB494" s="4"/>
      <c r="AC494" s="3"/>
      <c r="AD494" s="4"/>
      <c r="AE494" s="3"/>
      <c r="AF494" s="4"/>
      <c r="AG494" s="3"/>
      <c r="AH494" s="4"/>
      <c r="AI494" s="3"/>
      <c r="AJ494" s="4"/>
      <c r="AK494" s="3"/>
      <c r="AL494" s="4"/>
      <c r="AM494" s="3"/>
      <c r="AN494" s="4"/>
      <c r="AO494" s="3"/>
      <c r="AP494" s="4"/>
      <c r="AQ494" s="3"/>
      <c r="AR494" s="4"/>
      <c r="AS494" s="3"/>
      <c r="AT494" s="4"/>
      <c r="AU494" s="3"/>
      <c r="AV494" s="4"/>
      <c r="AW494" s="3"/>
      <c r="AX494" s="4"/>
      <c r="AY494" s="3"/>
      <c r="AZ494" s="4"/>
      <c r="BA494" s="3"/>
      <c r="BB494" s="4"/>
      <c r="BC494" s="3"/>
      <c r="BD494" s="4"/>
      <c r="BE494" s="3"/>
      <c r="BF494" s="4"/>
      <c r="BG494" s="3"/>
      <c r="BH494" s="4"/>
      <c r="BI494" s="3"/>
      <c r="BJ494" s="4"/>
      <c r="BK494" s="3"/>
      <c r="BL494" s="4"/>
      <c r="BM494" s="3"/>
      <c r="BN494" s="4"/>
      <c r="BO494" s="3"/>
      <c r="BP494" s="4"/>
      <c r="BQ494" s="3"/>
      <c r="BR494" s="4"/>
      <c r="BS494" s="3"/>
      <c r="BT494" s="4"/>
      <c r="BU494" s="3"/>
      <c r="BV494" s="4"/>
      <c r="BW494" s="3"/>
      <c r="BX494" s="4"/>
      <c r="BY494" s="3"/>
      <c r="BZ494" s="4"/>
      <c r="CA494" s="3"/>
      <c r="CB494" s="4"/>
      <c r="CC494" s="3"/>
      <c r="CD494" s="4"/>
    </row>
    <row r="495">
      <c r="A495" s="3"/>
      <c r="B495" s="4"/>
      <c r="C495" s="3"/>
      <c r="D495" s="4"/>
      <c r="E495" s="3"/>
      <c r="F495" s="4"/>
      <c r="G495" s="3"/>
      <c r="H495" s="4"/>
      <c r="I495" s="3"/>
      <c r="J495" s="4"/>
      <c r="K495" s="3"/>
      <c r="L495" s="4"/>
      <c r="M495" s="3"/>
      <c r="N495" s="4"/>
      <c r="O495" s="3"/>
      <c r="P495" s="4"/>
      <c r="Q495" s="3"/>
      <c r="R495" s="4"/>
      <c r="S495" s="3"/>
      <c r="T495" s="4"/>
      <c r="U495" s="3"/>
      <c r="V495" s="4"/>
      <c r="W495" s="3"/>
      <c r="X495" s="4"/>
      <c r="Y495" s="3"/>
      <c r="Z495" s="4"/>
      <c r="AA495" s="3"/>
      <c r="AB495" s="4"/>
      <c r="AC495" s="3"/>
      <c r="AD495" s="4"/>
      <c r="AE495" s="3"/>
      <c r="AF495" s="4"/>
      <c r="AG495" s="3"/>
      <c r="AH495" s="4"/>
      <c r="AI495" s="3"/>
      <c r="AJ495" s="4"/>
      <c r="AK495" s="3"/>
      <c r="AL495" s="4"/>
      <c r="AM495" s="3"/>
      <c r="AN495" s="4"/>
      <c r="AO495" s="3"/>
      <c r="AP495" s="4"/>
      <c r="AQ495" s="3"/>
      <c r="AR495" s="4"/>
      <c r="AS495" s="3"/>
      <c r="AT495" s="4"/>
      <c r="AU495" s="3"/>
      <c r="AV495" s="4"/>
      <c r="AW495" s="3"/>
      <c r="AX495" s="4"/>
      <c r="AY495" s="3"/>
      <c r="AZ495" s="4"/>
      <c r="BA495" s="3"/>
      <c r="BB495" s="4"/>
      <c r="BC495" s="3"/>
      <c r="BD495" s="4"/>
      <c r="BE495" s="3"/>
      <c r="BF495" s="4"/>
      <c r="BG495" s="3"/>
      <c r="BH495" s="4"/>
      <c r="BI495" s="3"/>
      <c r="BJ495" s="4"/>
      <c r="BK495" s="3"/>
      <c r="BL495" s="4"/>
      <c r="BM495" s="3"/>
      <c r="BN495" s="4"/>
      <c r="BO495" s="3"/>
      <c r="BP495" s="4"/>
      <c r="BQ495" s="3"/>
      <c r="BR495" s="4"/>
      <c r="BS495" s="3"/>
      <c r="BT495" s="4"/>
      <c r="BU495" s="3"/>
      <c r="BV495" s="4"/>
      <c r="BW495" s="3"/>
      <c r="BX495" s="4"/>
      <c r="BY495" s="3"/>
      <c r="BZ495" s="4"/>
      <c r="CA495" s="3"/>
      <c r="CB495" s="4"/>
      <c r="CC495" s="3"/>
      <c r="CD495" s="4"/>
    </row>
    <row r="496">
      <c r="A496" s="3"/>
      <c r="B496" s="4"/>
      <c r="C496" s="3"/>
      <c r="D496" s="4"/>
      <c r="E496" s="3"/>
      <c r="F496" s="4"/>
      <c r="G496" s="3"/>
      <c r="H496" s="4"/>
      <c r="I496" s="3"/>
      <c r="J496" s="4"/>
      <c r="K496" s="3"/>
      <c r="L496" s="4"/>
      <c r="M496" s="3"/>
      <c r="N496" s="4"/>
      <c r="O496" s="3"/>
      <c r="P496" s="4"/>
      <c r="Q496" s="3"/>
      <c r="R496" s="4"/>
      <c r="S496" s="3"/>
      <c r="T496" s="4"/>
      <c r="U496" s="3"/>
      <c r="V496" s="4"/>
      <c r="W496" s="3"/>
      <c r="X496" s="4"/>
      <c r="Y496" s="3"/>
      <c r="Z496" s="4"/>
      <c r="AA496" s="3"/>
      <c r="AB496" s="4"/>
      <c r="AC496" s="3"/>
      <c r="AD496" s="4"/>
      <c r="AE496" s="3"/>
      <c r="AF496" s="4"/>
      <c r="AG496" s="3"/>
      <c r="AH496" s="4"/>
      <c r="AI496" s="3"/>
      <c r="AJ496" s="4"/>
      <c r="AK496" s="3"/>
      <c r="AL496" s="4"/>
      <c r="AM496" s="3"/>
      <c r="AN496" s="4"/>
      <c r="AO496" s="3"/>
      <c r="AP496" s="4"/>
      <c r="AQ496" s="3"/>
      <c r="AR496" s="4"/>
      <c r="AS496" s="3"/>
      <c r="AT496" s="4"/>
      <c r="AU496" s="3"/>
      <c r="AV496" s="4"/>
      <c r="AW496" s="3"/>
      <c r="AX496" s="4"/>
      <c r="AY496" s="3"/>
      <c r="AZ496" s="4"/>
      <c r="BA496" s="3"/>
      <c r="BB496" s="4"/>
      <c r="BC496" s="3"/>
      <c r="BD496" s="4"/>
      <c r="BE496" s="3"/>
      <c r="BF496" s="4"/>
      <c r="BG496" s="3"/>
      <c r="BH496" s="4"/>
      <c r="BI496" s="3"/>
      <c r="BJ496" s="4"/>
      <c r="BK496" s="3"/>
      <c r="BL496" s="4"/>
      <c r="BM496" s="3"/>
      <c r="BN496" s="4"/>
      <c r="BO496" s="3"/>
      <c r="BP496" s="4"/>
      <c r="BQ496" s="3"/>
      <c r="BR496" s="4"/>
      <c r="BS496" s="3"/>
      <c r="BT496" s="4"/>
      <c r="BU496" s="3"/>
      <c r="BV496" s="4"/>
      <c r="BW496" s="3"/>
      <c r="BX496" s="4"/>
      <c r="BY496" s="3"/>
      <c r="BZ496" s="4"/>
      <c r="CA496" s="3"/>
      <c r="CB496" s="4"/>
      <c r="CC496" s="3"/>
      <c r="CD496" s="4"/>
    </row>
    <row r="497">
      <c r="A497" s="3"/>
      <c r="B497" s="4"/>
      <c r="C497" s="3"/>
      <c r="D497" s="4"/>
      <c r="E497" s="3"/>
      <c r="F497" s="4"/>
      <c r="G497" s="3"/>
      <c r="H497" s="4"/>
      <c r="I497" s="3"/>
      <c r="J497" s="4"/>
      <c r="K497" s="3"/>
      <c r="L497" s="4"/>
      <c r="M497" s="3"/>
      <c r="N497" s="4"/>
      <c r="O497" s="3"/>
      <c r="P497" s="4"/>
      <c r="Q497" s="3"/>
      <c r="R497" s="4"/>
      <c r="S497" s="3"/>
      <c r="T497" s="4"/>
      <c r="U497" s="3"/>
      <c r="V497" s="4"/>
      <c r="W497" s="3"/>
      <c r="X497" s="4"/>
      <c r="Y497" s="3"/>
      <c r="Z497" s="4"/>
      <c r="AA497" s="3"/>
      <c r="AB497" s="4"/>
      <c r="AC497" s="3"/>
      <c r="AD497" s="4"/>
      <c r="AE497" s="3"/>
      <c r="AF497" s="4"/>
      <c r="AG497" s="3"/>
      <c r="AH497" s="4"/>
      <c r="AI497" s="3"/>
      <c r="AJ497" s="4"/>
      <c r="AK497" s="3"/>
      <c r="AL497" s="4"/>
      <c r="AM497" s="3"/>
      <c r="AN497" s="4"/>
      <c r="AO497" s="3"/>
      <c r="AP497" s="4"/>
      <c r="AQ497" s="3"/>
      <c r="AR497" s="4"/>
      <c r="AS497" s="3"/>
      <c r="AT497" s="4"/>
      <c r="AU497" s="3"/>
      <c r="AV497" s="4"/>
      <c r="AW497" s="3"/>
      <c r="AX497" s="4"/>
      <c r="AY497" s="3"/>
      <c r="AZ497" s="4"/>
      <c r="BA497" s="3"/>
      <c r="BB497" s="4"/>
      <c r="BC497" s="3"/>
      <c r="BD497" s="4"/>
      <c r="BE497" s="3"/>
      <c r="BF497" s="4"/>
      <c r="BG497" s="3"/>
      <c r="BH497" s="4"/>
      <c r="BI497" s="3"/>
      <c r="BJ497" s="4"/>
      <c r="BK497" s="3"/>
      <c r="BL497" s="4"/>
      <c r="BM497" s="3"/>
      <c r="BN497" s="4"/>
      <c r="BO497" s="3"/>
      <c r="BP497" s="4"/>
      <c r="BQ497" s="3"/>
      <c r="BR497" s="4"/>
      <c r="BS497" s="3"/>
      <c r="BT497" s="4"/>
      <c r="BU497" s="3"/>
      <c r="BV497" s="4"/>
      <c r="BW497" s="3"/>
      <c r="BX497" s="4"/>
      <c r="BY497" s="3"/>
      <c r="BZ497" s="4"/>
      <c r="CA497" s="3"/>
      <c r="CB497" s="4"/>
      <c r="CC497" s="3"/>
      <c r="CD497" s="4"/>
    </row>
    <row r="498">
      <c r="A498" s="3"/>
      <c r="B498" s="4"/>
      <c r="C498" s="3"/>
      <c r="D498" s="4"/>
      <c r="E498" s="3"/>
      <c r="F498" s="4"/>
      <c r="G498" s="3"/>
      <c r="H498" s="4"/>
      <c r="I498" s="3"/>
      <c r="J498" s="4"/>
      <c r="K498" s="3"/>
      <c r="L498" s="4"/>
      <c r="M498" s="3"/>
      <c r="N498" s="4"/>
      <c r="O498" s="3"/>
      <c r="P498" s="4"/>
      <c r="Q498" s="3"/>
      <c r="R498" s="4"/>
      <c r="S498" s="3"/>
      <c r="T498" s="4"/>
      <c r="U498" s="3"/>
      <c r="V498" s="4"/>
      <c r="W498" s="3"/>
      <c r="X498" s="4"/>
      <c r="Y498" s="3"/>
      <c r="Z498" s="4"/>
      <c r="AA498" s="3"/>
      <c r="AB498" s="4"/>
      <c r="AC498" s="3"/>
      <c r="AD498" s="4"/>
      <c r="AE498" s="3"/>
      <c r="AF498" s="4"/>
      <c r="AG498" s="3"/>
      <c r="AH498" s="4"/>
      <c r="AI498" s="3"/>
      <c r="AJ498" s="4"/>
      <c r="AK498" s="3"/>
      <c r="AL498" s="4"/>
      <c r="AM498" s="3"/>
      <c r="AN498" s="4"/>
      <c r="AO498" s="3"/>
      <c r="AP498" s="4"/>
      <c r="AQ498" s="3"/>
      <c r="AR498" s="4"/>
      <c r="AS498" s="3"/>
      <c r="AT498" s="4"/>
      <c r="AU498" s="3"/>
      <c r="AV498" s="4"/>
      <c r="AW498" s="3"/>
      <c r="AX498" s="4"/>
      <c r="AY498" s="3"/>
      <c r="AZ498" s="4"/>
      <c r="BA498" s="3"/>
      <c r="BB498" s="4"/>
      <c r="BC498" s="3"/>
      <c r="BD498" s="4"/>
      <c r="BE498" s="3"/>
      <c r="BF498" s="4"/>
      <c r="BG498" s="3"/>
      <c r="BH498" s="4"/>
      <c r="BI498" s="3"/>
      <c r="BJ498" s="4"/>
      <c r="BK498" s="3"/>
      <c r="BL498" s="4"/>
      <c r="BM498" s="3"/>
      <c r="BN498" s="4"/>
      <c r="BO498" s="3"/>
      <c r="BP498" s="4"/>
      <c r="BQ498" s="3"/>
      <c r="BR498" s="4"/>
      <c r="BS498" s="3"/>
      <c r="BT498" s="4"/>
      <c r="BU498" s="3"/>
      <c r="BV498" s="4"/>
      <c r="BW498" s="3"/>
      <c r="BX498" s="4"/>
      <c r="BY498" s="3"/>
      <c r="BZ498" s="4"/>
      <c r="CA498" s="3"/>
      <c r="CB498" s="4"/>
      <c r="CC498" s="3"/>
      <c r="CD498" s="4"/>
    </row>
    <row r="499">
      <c r="A499" s="3"/>
      <c r="B499" s="4"/>
      <c r="C499" s="3"/>
      <c r="D499" s="4"/>
      <c r="E499" s="3"/>
      <c r="F499" s="4"/>
      <c r="G499" s="3"/>
      <c r="H499" s="4"/>
      <c r="I499" s="3"/>
      <c r="J499" s="4"/>
      <c r="K499" s="3"/>
      <c r="L499" s="4"/>
      <c r="M499" s="3"/>
      <c r="N499" s="4"/>
      <c r="O499" s="3"/>
      <c r="P499" s="4"/>
      <c r="Q499" s="3"/>
      <c r="R499" s="4"/>
      <c r="S499" s="3"/>
      <c r="T499" s="4"/>
      <c r="U499" s="3"/>
      <c r="V499" s="4"/>
      <c r="W499" s="3"/>
      <c r="X499" s="4"/>
      <c r="Y499" s="3"/>
      <c r="Z499" s="4"/>
      <c r="AA499" s="3"/>
      <c r="AB499" s="4"/>
      <c r="AC499" s="3"/>
      <c r="AD499" s="4"/>
      <c r="AE499" s="3"/>
      <c r="AF499" s="4"/>
      <c r="AG499" s="3"/>
      <c r="AH499" s="4"/>
      <c r="AI499" s="3"/>
      <c r="AJ499" s="4"/>
      <c r="AK499" s="3"/>
      <c r="AL499" s="4"/>
      <c r="AM499" s="3"/>
      <c r="AN499" s="4"/>
      <c r="AO499" s="3"/>
      <c r="AP499" s="4"/>
      <c r="AQ499" s="3"/>
      <c r="AR499" s="4"/>
      <c r="AS499" s="3"/>
      <c r="AT499" s="4"/>
      <c r="AU499" s="3"/>
      <c r="AV499" s="4"/>
      <c r="AW499" s="3"/>
      <c r="AX499" s="4"/>
      <c r="AY499" s="3"/>
      <c r="AZ499" s="4"/>
      <c r="BA499" s="3"/>
      <c r="BB499" s="4"/>
      <c r="BC499" s="3"/>
      <c r="BD499" s="4"/>
      <c r="BE499" s="3"/>
      <c r="BF499" s="4"/>
      <c r="BG499" s="3"/>
      <c r="BH499" s="4"/>
      <c r="BI499" s="3"/>
      <c r="BJ499" s="4"/>
      <c r="BK499" s="3"/>
      <c r="BL499" s="4"/>
      <c r="BM499" s="3"/>
      <c r="BN499" s="4"/>
      <c r="BO499" s="3"/>
      <c r="BP499" s="4"/>
      <c r="BQ499" s="3"/>
      <c r="BR499" s="4"/>
      <c r="BS499" s="3"/>
      <c r="BT499" s="4"/>
      <c r="BU499" s="3"/>
      <c r="BV499" s="4"/>
      <c r="BW499" s="3"/>
      <c r="BX499" s="4"/>
      <c r="BY499" s="3"/>
      <c r="BZ499" s="4"/>
      <c r="CA499" s="3"/>
      <c r="CB499" s="4"/>
      <c r="CC499" s="3"/>
      <c r="CD499" s="4"/>
    </row>
    <row r="500">
      <c r="A500" s="3"/>
      <c r="B500" s="4"/>
      <c r="C500" s="3"/>
      <c r="D500" s="4"/>
      <c r="E500" s="3"/>
      <c r="F500" s="4"/>
      <c r="G500" s="3"/>
      <c r="H500" s="4"/>
      <c r="I500" s="3"/>
      <c r="J500" s="4"/>
      <c r="K500" s="3"/>
      <c r="L500" s="4"/>
      <c r="M500" s="3"/>
      <c r="N500" s="4"/>
      <c r="O500" s="3"/>
      <c r="P500" s="4"/>
      <c r="Q500" s="3"/>
      <c r="R500" s="4"/>
      <c r="S500" s="3"/>
      <c r="T500" s="4"/>
      <c r="U500" s="3"/>
      <c r="V500" s="4"/>
      <c r="W500" s="3"/>
      <c r="X500" s="4"/>
      <c r="Y500" s="3"/>
      <c r="Z500" s="4"/>
      <c r="AA500" s="3"/>
      <c r="AB500" s="4"/>
      <c r="AC500" s="3"/>
      <c r="AD500" s="4"/>
      <c r="AE500" s="3"/>
      <c r="AF500" s="4"/>
      <c r="AG500" s="3"/>
      <c r="AH500" s="4"/>
      <c r="AI500" s="3"/>
      <c r="AJ500" s="4"/>
      <c r="AK500" s="3"/>
      <c r="AL500" s="4"/>
      <c r="AM500" s="3"/>
      <c r="AN500" s="4"/>
      <c r="AO500" s="3"/>
      <c r="AP500" s="4"/>
      <c r="AQ500" s="3"/>
      <c r="AR500" s="4"/>
      <c r="AS500" s="3"/>
      <c r="AT500" s="4"/>
      <c r="AU500" s="3"/>
      <c r="AV500" s="4"/>
      <c r="AW500" s="3"/>
      <c r="AX500" s="4"/>
      <c r="AY500" s="3"/>
      <c r="AZ500" s="4"/>
      <c r="BA500" s="3"/>
      <c r="BB500" s="4"/>
      <c r="BC500" s="3"/>
      <c r="BD500" s="4"/>
      <c r="BE500" s="3"/>
      <c r="BF500" s="4"/>
      <c r="BG500" s="3"/>
      <c r="BH500" s="4"/>
      <c r="BI500" s="3"/>
      <c r="BJ500" s="4"/>
      <c r="BK500" s="3"/>
      <c r="BL500" s="4"/>
      <c r="BM500" s="3"/>
      <c r="BN500" s="4"/>
      <c r="BO500" s="3"/>
      <c r="BP500" s="4"/>
      <c r="BQ500" s="3"/>
      <c r="BR500" s="4"/>
      <c r="BS500" s="3"/>
      <c r="BT500" s="4"/>
      <c r="BU500" s="3"/>
      <c r="BV500" s="4"/>
      <c r="BW500" s="3"/>
      <c r="BX500" s="4"/>
      <c r="BY500" s="3"/>
      <c r="BZ500" s="4"/>
      <c r="CA500" s="3"/>
      <c r="CB500" s="4"/>
      <c r="CC500" s="3"/>
      <c r="CD500" s="4"/>
    </row>
    <row r="501">
      <c r="A501" s="3"/>
      <c r="B501" s="4"/>
      <c r="C501" s="3"/>
      <c r="D501" s="4"/>
      <c r="E501" s="3"/>
      <c r="F501" s="4"/>
      <c r="G501" s="3"/>
      <c r="H501" s="4"/>
      <c r="I501" s="3"/>
      <c r="J501" s="4"/>
      <c r="K501" s="3"/>
      <c r="L501" s="4"/>
      <c r="M501" s="3"/>
      <c r="N501" s="4"/>
      <c r="O501" s="3"/>
      <c r="P501" s="4"/>
      <c r="Q501" s="3"/>
      <c r="R501" s="4"/>
      <c r="S501" s="3"/>
      <c r="T501" s="4"/>
      <c r="U501" s="3"/>
      <c r="V501" s="4"/>
      <c r="W501" s="3"/>
      <c r="X501" s="4"/>
      <c r="Y501" s="3"/>
      <c r="Z501" s="4"/>
      <c r="AA501" s="3"/>
      <c r="AB501" s="4"/>
      <c r="AC501" s="3"/>
      <c r="AD501" s="4"/>
      <c r="AE501" s="3"/>
      <c r="AF501" s="4"/>
      <c r="AG501" s="3"/>
      <c r="AH501" s="4"/>
      <c r="AI501" s="3"/>
      <c r="AJ501" s="4"/>
      <c r="AK501" s="3"/>
      <c r="AL501" s="4"/>
      <c r="AM501" s="3"/>
      <c r="AN501" s="4"/>
      <c r="AO501" s="3"/>
      <c r="AP501" s="4"/>
      <c r="AQ501" s="3"/>
      <c r="AR501" s="4"/>
      <c r="AS501" s="3"/>
      <c r="AT501" s="4"/>
      <c r="AU501" s="3"/>
      <c r="AV501" s="4"/>
      <c r="AW501" s="3"/>
      <c r="AX501" s="4"/>
      <c r="AY501" s="3"/>
      <c r="AZ501" s="4"/>
      <c r="BA501" s="3"/>
      <c r="BB501" s="4"/>
      <c r="BC501" s="3"/>
      <c r="BD501" s="4"/>
      <c r="BE501" s="3"/>
      <c r="BF501" s="4"/>
      <c r="BG501" s="3"/>
      <c r="BH501" s="4"/>
      <c r="BI501" s="3"/>
      <c r="BJ501" s="4"/>
      <c r="BK501" s="3"/>
      <c r="BL501" s="4"/>
      <c r="BM501" s="3"/>
      <c r="BN501" s="4"/>
      <c r="BO501" s="3"/>
      <c r="BP501" s="4"/>
      <c r="BQ501" s="3"/>
      <c r="BR501" s="4"/>
      <c r="BS501" s="3"/>
      <c r="BT501" s="4"/>
      <c r="BU501" s="3"/>
      <c r="BV501" s="4"/>
      <c r="BW501" s="3"/>
      <c r="BX501" s="4"/>
      <c r="BY501" s="3"/>
      <c r="BZ501" s="4"/>
      <c r="CA501" s="3"/>
      <c r="CB501" s="4"/>
      <c r="CC501" s="3"/>
      <c r="CD501" s="4"/>
    </row>
    <row r="502">
      <c r="A502" s="3"/>
      <c r="B502" s="4"/>
      <c r="C502" s="3"/>
      <c r="D502" s="4"/>
      <c r="E502" s="3"/>
      <c r="F502" s="4"/>
      <c r="G502" s="3"/>
      <c r="H502" s="4"/>
      <c r="I502" s="3"/>
      <c r="J502" s="4"/>
      <c r="K502" s="3"/>
      <c r="L502" s="4"/>
      <c r="M502" s="3"/>
      <c r="N502" s="4"/>
      <c r="O502" s="3"/>
      <c r="P502" s="4"/>
      <c r="Q502" s="3"/>
      <c r="R502" s="4"/>
      <c r="S502" s="3"/>
      <c r="T502" s="4"/>
      <c r="U502" s="3"/>
      <c r="V502" s="4"/>
      <c r="W502" s="3"/>
      <c r="X502" s="4"/>
      <c r="Y502" s="3"/>
      <c r="Z502" s="4"/>
      <c r="AA502" s="3"/>
      <c r="AB502" s="4"/>
      <c r="AC502" s="3"/>
      <c r="AD502" s="4"/>
      <c r="AE502" s="3"/>
      <c r="AF502" s="4"/>
      <c r="AG502" s="3"/>
      <c r="AH502" s="4"/>
      <c r="AI502" s="3"/>
      <c r="AJ502" s="4"/>
      <c r="AK502" s="3"/>
      <c r="AL502" s="4"/>
      <c r="AM502" s="3"/>
      <c r="AN502" s="4"/>
      <c r="AO502" s="3"/>
      <c r="AP502" s="4"/>
      <c r="AQ502" s="3"/>
      <c r="AR502" s="4"/>
      <c r="AS502" s="3"/>
      <c r="AT502" s="4"/>
      <c r="AU502" s="3"/>
      <c r="AV502" s="4"/>
      <c r="AW502" s="3"/>
      <c r="AX502" s="4"/>
      <c r="AY502" s="3"/>
      <c r="AZ502" s="4"/>
      <c r="BA502" s="3"/>
      <c r="BB502" s="4"/>
      <c r="BC502" s="3"/>
      <c r="BD502" s="4"/>
      <c r="BE502" s="3"/>
      <c r="BF502" s="4"/>
      <c r="BG502" s="3"/>
      <c r="BH502" s="4"/>
      <c r="BI502" s="3"/>
      <c r="BJ502" s="4"/>
      <c r="BK502" s="3"/>
      <c r="BL502" s="4"/>
      <c r="BM502" s="3"/>
      <c r="BN502" s="4"/>
      <c r="BO502" s="3"/>
      <c r="BP502" s="4"/>
      <c r="BQ502" s="3"/>
      <c r="BR502" s="4"/>
      <c r="BS502" s="3"/>
      <c r="BT502" s="4"/>
      <c r="BU502" s="3"/>
      <c r="BV502" s="4"/>
      <c r="BW502" s="3"/>
      <c r="BX502" s="4"/>
      <c r="BY502" s="3"/>
      <c r="BZ502" s="4"/>
      <c r="CA502" s="3"/>
      <c r="CB502" s="4"/>
      <c r="CC502" s="3"/>
      <c r="CD502" s="4"/>
    </row>
    <row r="503">
      <c r="A503" s="3"/>
      <c r="B503" s="4"/>
      <c r="C503" s="3"/>
      <c r="D503" s="4"/>
      <c r="E503" s="3"/>
      <c r="F503" s="4"/>
      <c r="G503" s="3"/>
      <c r="H503" s="4"/>
      <c r="I503" s="3"/>
      <c r="J503" s="4"/>
      <c r="K503" s="3"/>
      <c r="L503" s="4"/>
      <c r="M503" s="3"/>
      <c r="N503" s="4"/>
      <c r="O503" s="3"/>
      <c r="P503" s="4"/>
      <c r="Q503" s="3"/>
      <c r="R503" s="4"/>
      <c r="S503" s="3"/>
      <c r="T503" s="4"/>
      <c r="U503" s="3"/>
      <c r="V503" s="4"/>
      <c r="W503" s="3"/>
      <c r="X503" s="4"/>
      <c r="Y503" s="3"/>
      <c r="Z503" s="4"/>
      <c r="AA503" s="3"/>
      <c r="AB503" s="4"/>
      <c r="AC503" s="3"/>
      <c r="AD503" s="4"/>
      <c r="AE503" s="3"/>
      <c r="AF503" s="4"/>
      <c r="AG503" s="3"/>
      <c r="AH503" s="4"/>
      <c r="AI503" s="3"/>
      <c r="AJ503" s="4"/>
      <c r="AK503" s="3"/>
      <c r="AL503" s="4"/>
      <c r="AM503" s="3"/>
      <c r="AN503" s="4"/>
      <c r="AO503" s="3"/>
      <c r="AP503" s="4"/>
      <c r="AQ503" s="3"/>
      <c r="AR503" s="4"/>
      <c r="AS503" s="3"/>
      <c r="AT503" s="4"/>
      <c r="AU503" s="3"/>
      <c r="AV503" s="4"/>
      <c r="AW503" s="3"/>
      <c r="AX503" s="4"/>
      <c r="AY503" s="3"/>
      <c r="AZ503" s="4"/>
      <c r="BA503" s="3"/>
      <c r="BB503" s="4"/>
      <c r="BC503" s="3"/>
      <c r="BD503" s="4"/>
      <c r="BE503" s="3"/>
      <c r="BF503" s="4"/>
      <c r="BG503" s="3"/>
      <c r="BH503" s="4"/>
      <c r="BI503" s="3"/>
      <c r="BJ503" s="4"/>
      <c r="BK503" s="3"/>
      <c r="BL503" s="4"/>
      <c r="BM503" s="3"/>
      <c r="BN503" s="4"/>
      <c r="BO503" s="3"/>
      <c r="BP503" s="4"/>
      <c r="BQ503" s="3"/>
      <c r="BR503" s="4"/>
      <c r="BS503" s="3"/>
      <c r="BT503" s="4"/>
      <c r="BU503" s="3"/>
      <c r="BV503" s="4"/>
      <c r="BW503" s="3"/>
      <c r="BX503" s="4"/>
      <c r="BY503" s="3"/>
      <c r="BZ503" s="4"/>
      <c r="CA503" s="3"/>
      <c r="CB503" s="4"/>
      <c r="CC503" s="3"/>
      <c r="CD503" s="4"/>
    </row>
    <row r="504">
      <c r="A504" s="3"/>
      <c r="B504" s="4"/>
      <c r="C504" s="3"/>
      <c r="D504" s="4"/>
      <c r="E504" s="3"/>
      <c r="F504" s="4"/>
      <c r="G504" s="3"/>
      <c r="H504" s="4"/>
      <c r="I504" s="3"/>
      <c r="J504" s="4"/>
      <c r="K504" s="3"/>
      <c r="L504" s="4"/>
      <c r="M504" s="3"/>
      <c r="N504" s="4"/>
      <c r="O504" s="3"/>
      <c r="P504" s="4"/>
      <c r="Q504" s="3"/>
      <c r="R504" s="4"/>
      <c r="S504" s="3"/>
      <c r="T504" s="4"/>
      <c r="U504" s="3"/>
      <c r="V504" s="4"/>
      <c r="W504" s="3"/>
      <c r="X504" s="4"/>
      <c r="Y504" s="3"/>
      <c r="Z504" s="4"/>
      <c r="AA504" s="3"/>
      <c r="AB504" s="4"/>
      <c r="AC504" s="3"/>
      <c r="AD504" s="4"/>
      <c r="AE504" s="3"/>
      <c r="AF504" s="4"/>
      <c r="AG504" s="3"/>
      <c r="AH504" s="4"/>
      <c r="AI504" s="3"/>
      <c r="AJ504" s="4"/>
      <c r="AK504" s="3"/>
      <c r="AL504" s="4"/>
      <c r="AM504" s="3"/>
      <c r="AN504" s="4"/>
      <c r="AO504" s="3"/>
      <c r="AP504" s="4"/>
      <c r="AQ504" s="3"/>
      <c r="AR504" s="4"/>
      <c r="AS504" s="3"/>
      <c r="AT504" s="4"/>
      <c r="AU504" s="3"/>
      <c r="AV504" s="4"/>
      <c r="AW504" s="3"/>
      <c r="AX504" s="4"/>
      <c r="AY504" s="3"/>
      <c r="AZ504" s="4"/>
      <c r="BA504" s="3"/>
      <c r="BB504" s="4"/>
      <c r="BC504" s="3"/>
      <c r="BD504" s="4"/>
      <c r="BE504" s="3"/>
      <c r="BF504" s="4"/>
      <c r="BG504" s="3"/>
      <c r="BH504" s="4"/>
      <c r="BI504" s="3"/>
      <c r="BJ504" s="4"/>
      <c r="BK504" s="3"/>
      <c r="BL504" s="4"/>
      <c r="BM504" s="3"/>
      <c r="BN504" s="4"/>
      <c r="BO504" s="3"/>
      <c r="BP504" s="4"/>
      <c r="BQ504" s="3"/>
      <c r="BR504" s="4"/>
      <c r="BS504" s="3"/>
      <c r="BT504" s="4"/>
      <c r="BU504" s="3"/>
      <c r="BV504" s="4"/>
      <c r="BW504" s="3"/>
      <c r="BX504" s="4"/>
      <c r="BY504" s="3"/>
      <c r="BZ504" s="4"/>
      <c r="CA504" s="3"/>
      <c r="CB504" s="4"/>
      <c r="CC504" s="3"/>
      <c r="CD504" s="4"/>
    </row>
    <row r="505">
      <c r="A505" s="3"/>
      <c r="B505" s="4"/>
      <c r="C505" s="3"/>
      <c r="D505" s="4"/>
      <c r="E505" s="3"/>
      <c r="F505" s="4"/>
      <c r="G505" s="3"/>
      <c r="H505" s="4"/>
      <c r="I505" s="3"/>
      <c r="J505" s="4"/>
      <c r="K505" s="3"/>
      <c r="L505" s="4"/>
      <c r="M505" s="3"/>
      <c r="N505" s="4"/>
      <c r="O505" s="3"/>
      <c r="P505" s="4"/>
      <c r="Q505" s="3"/>
      <c r="R505" s="4"/>
      <c r="S505" s="3"/>
      <c r="T505" s="4"/>
      <c r="U505" s="3"/>
      <c r="V505" s="4"/>
      <c r="W505" s="3"/>
      <c r="X505" s="4"/>
      <c r="Y505" s="3"/>
      <c r="Z505" s="4"/>
      <c r="AA505" s="3"/>
      <c r="AB505" s="4"/>
      <c r="AC505" s="3"/>
      <c r="AD505" s="4"/>
      <c r="AE505" s="3"/>
      <c r="AF505" s="4"/>
      <c r="AG505" s="3"/>
      <c r="AH505" s="4"/>
      <c r="AI505" s="3"/>
      <c r="AJ505" s="4"/>
      <c r="AK505" s="3"/>
      <c r="AL505" s="4"/>
      <c r="AM505" s="3"/>
      <c r="AN505" s="4"/>
      <c r="AO505" s="3"/>
      <c r="AP505" s="4"/>
      <c r="AQ505" s="3"/>
      <c r="AR505" s="4"/>
      <c r="AS505" s="3"/>
      <c r="AT505" s="4"/>
      <c r="AU505" s="3"/>
      <c r="AV505" s="4"/>
      <c r="AW505" s="3"/>
      <c r="AX505" s="4"/>
      <c r="AY505" s="3"/>
      <c r="AZ505" s="4"/>
      <c r="BA505" s="3"/>
      <c r="BB505" s="4"/>
      <c r="BC505" s="3"/>
      <c r="BD505" s="4"/>
      <c r="BE505" s="3"/>
      <c r="BF505" s="4"/>
      <c r="BG505" s="3"/>
      <c r="BH505" s="4"/>
      <c r="BI505" s="3"/>
      <c r="BJ505" s="4"/>
      <c r="BK505" s="3"/>
      <c r="BL505" s="4"/>
      <c r="BM505" s="3"/>
      <c r="BN505" s="4"/>
      <c r="BO505" s="3"/>
      <c r="BP505" s="4"/>
      <c r="BQ505" s="3"/>
      <c r="BR505" s="4"/>
      <c r="BS505" s="3"/>
      <c r="BT505" s="4"/>
      <c r="BU505" s="3"/>
      <c r="BV505" s="4"/>
      <c r="BW505" s="3"/>
      <c r="BX505" s="4"/>
      <c r="BY505" s="3"/>
      <c r="BZ505" s="4"/>
      <c r="CA505" s="3"/>
      <c r="CB505" s="4"/>
      <c r="CC505" s="3"/>
      <c r="CD505" s="4"/>
    </row>
    <row r="506">
      <c r="A506" s="3"/>
      <c r="B506" s="4"/>
      <c r="C506" s="3"/>
      <c r="D506" s="4"/>
      <c r="E506" s="3"/>
      <c r="F506" s="4"/>
      <c r="G506" s="3"/>
      <c r="H506" s="4"/>
      <c r="I506" s="3"/>
      <c r="J506" s="4"/>
      <c r="K506" s="3"/>
      <c r="L506" s="4"/>
      <c r="M506" s="3"/>
      <c r="N506" s="4"/>
      <c r="O506" s="3"/>
      <c r="P506" s="4"/>
      <c r="Q506" s="3"/>
      <c r="R506" s="4"/>
      <c r="S506" s="3"/>
      <c r="T506" s="4"/>
      <c r="U506" s="3"/>
      <c r="V506" s="4"/>
      <c r="W506" s="3"/>
      <c r="X506" s="4"/>
      <c r="Y506" s="3"/>
      <c r="Z506" s="4"/>
      <c r="AA506" s="3"/>
      <c r="AB506" s="4"/>
      <c r="AC506" s="3"/>
      <c r="AD506" s="4"/>
      <c r="AE506" s="3"/>
      <c r="AF506" s="4"/>
      <c r="AG506" s="3"/>
      <c r="AH506" s="4"/>
      <c r="AI506" s="3"/>
      <c r="AJ506" s="4"/>
      <c r="AK506" s="3"/>
      <c r="AL506" s="4"/>
      <c r="AM506" s="3"/>
      <c r="AN506" s="4"/>
      <c r="AO506" s="3"/>
      <c r="AP506" s="4"/>
      <c r="AQ506" s="3"/>
      <c r="AR506" s="4"/>
      <c r="AS506" s="3"/>
      <c r="AT506" s="4"/>
      <c r="AU506" s="3"/>
      <c r="AV506" s="4"/>
      <c r="AW506" s="3"/>
      <c r="AX506" s="4"/>
      <c r="AY506" s="3"/>
      <c r="AZ506" s="4"/>
      <c r="BA506" s="3"/>
      <c r="BB506" s="4"/>
      <c r="BC506" s="3"/>
      <c r="BD506" s="4"/>
      <c r="BE506" s="3"/>
      <c r="BF506" s="4"/>
      <c r="BG506" s="3"/>
      <c r="BH506" s="4"/>
      <c r="BI506" s="3"/>
      <c r="BJ506" s="4"/>
      <c r="BK506" s="3"/>
      <c r="BL506" s="4"/>
      <c r="BM506" s="3"/>
      <c r="BN506" s="4"/>
      <c r="BO506" s="3"/>
      <c r="BP506" s="4"/>
      <c r="BQ506" s="3"/>
      <c r="BR506" s="4"/>
      <c r="BS506" s="3"/>
      <c r="BT506" s="4"/>
      <c r="BU506" s="3"/>
      <c r="BV506" s="4"/>
      <c r="BW506" s="3"/>
      <c r="BX506" s="4"/>
      <c r="BY506" s="3"/>
      <c r="BZ506" s="4"/>
      <c r="CA506" s="3"/>
      <c r="CB506" s="4"/>
      <c r="CC506" s="3"/>
      <c r="CD506" s="4"/>
    </row>
    <row r="507">
      <c r="A507" s="3"/>
      <c r="B507" s="4"/>
      <c r="C507" s="3"/>
      <c r="D507" s="4"/>
      <c r="E507" s="3"/>
      <c r="F507" s="4"/>
      <c r="G507" s="3"/>
      <c r="H507" s="4"/>
      <c r="I507" s="3"/>
      <c r="J507" s="4"/>
      <c r="K507" s="3"/>
      <c r="L507" s="4"/>
      <c r="M507" s="3"/>
      <c r="N507" s="4"/>
      <c r="O507" s="3"/>
      <c r="P507" s="4"/>
      <c r="Q507" s="3"/>
      <c r="R507" s="4"/>
      <c r="S507" s="3"/>
      <c r="T507" s="4"/>
      <c r="U507" s="3"/>
      <c r="V507" s="4"/>
      <c r="W507" s="3"/>
      <c r="X507" s="4"/>
      <c r="Y507" s="3"/>
      <c r="Z507" s="4"/>
      <c r="AA507" s="3"/>
      <c r="AB507" s="4"/>
      <c r="AC507" s="3"/>
      <c r="AD507" s="4"/>
      <c r="AE507" s="3"/>
      <c r="AF507" s="4"/>
      <c r="AG507" s="3"/>
      <c r="AH507" s="4"/>
      <c r="AI507" s="3"/>
      <c r="AJ507" s="4"/>
      <c r="AK507" s="3"/>
      <c r="AL507" s="4"/>
      <c r="AM507" s="3"/>
      <c r="AN507" s="4"/>
      <c r="AO507" s="3"/>
      <c r="AP507" s="4"/>
      <c r="AQ507" s="3"/>
      <c r="AR507" s="4"/>
      <c r="AS507" s="3"/>
      <c r="AT507" s="4"/>
      <c r="AU507" s="3"/>
      <c r="AV507" s="4"/>
      <c r="AW507" s="3"/>
      <c r="AX507" s="4"/>
      <c r="AY507" s="3"/>
      <c r="AZ507" s="4"/>
      <c r="BA507" s="3"/>
      <c r="BB507" s="4"/>
      <c r="BC507" s="3"/>
      <c r="BD507" s="4"/>
      <c r="BE507" s="3"/>
      <c r="BF507" s="4"/>
      <c r="BG507" s="3"/>
      <c r="BH507" s="4"/>
      <c r="BI507" s="3"/>
      <c r="BJ507" s="4"/>
      <c r="BK507" s="3"/>
      <c r="BL507" s="4"/>
      <c r="BM507" s="3"/>
      <c r="BN507" s="4"/>
      <c r="BO507" s="3"/>
      <c r="BP507" s="4"/>
      <c r="BQ507" s="3"/>
      <c r="BR507" s="4"/>
      <c r="BS507" s="3"/>
      <c r="BT507" s="4"/>
      <c r="BU507" s="3"/>
      <c r="BV507" s="4"/>
      <c r="BW507" s="3"/>
      <c r="BX507" s="4"/>
      <c r="BY507" s="3"/>
      <c r="BZ507" s="4"/>
      <c r="CA507" s="3"/>
      <c r="CB507" s="4"/>
      <c r="CC507" s="3"/>
      <c r="CD507" s="4"/>
    </row>
    <row r="508">
      <c r="A508" s="3"/>
      <c r="B508" s="4"/>
      <c r="C508" s="3"/>
      <c r="D508" s="4"/>
      <c r="E508" s="3"/>
      <c r="F508" s="4"/>
      <c r="G508" s="3"/>
      <c r="H508" s="4"/>
      <c r="I508" s="3"/>
      <c r="J508" s="4"/>
      <c r="K508" s="3"/>
      <c r="L508" s="4"/>
      <c r="M508" s="3"/>
      <c r="N508" s="4"/>
      <c r="O508" s="3"/>
      <c r="P508" s="4"/>
      <c r="Q508" s="3"/>
      <c r="R508" s="4"/>
      <c r="S508" s="3"/>
      <c r="T508" s="4"/>
      <c r="U508" s="3"/>
      <c r="V508" s="4"/>
      <c r="W508" s="3"/>
      <c r="X508" s="4"/>
      <c r="Y508" s="3"/>
      <c r="Z508" s="4"/>
      <c r="AA508" s="3"/>
      <c r="AB508" s="4"/>
      <c r="AC508" s="3"/>
      <c r="AD508" s="4"/>
      <c r="AE508" s="3"/>
      <c r="AF508" s="4"/>
      <c r="AG508" s="3"/>
      <c r="AH508" s="4"/>
      <c r="AI508" s="3"/>
      <c r="AJ508" s="4"/>
      <c r="AK508" s="3"/>
      <c r="AL508" s="4"/>
      <c r="AM508" s="3"/>
      <c r="AN508" s="4"/>
      <c r="AO508" s="3"/>
      <c r="AP508" s="4"/>
      <c r="AQ508" s="3"/>
      <c r="AR508" s="4"/>
      <c r="AS508" s="3"/>
      <c r="AT508" s="4"/>
      <c r="AU508" s="3"/>
      <c r="AV508" s="4"/>
      <c r="AW508" s="3"/>
      <c r="AX508" s="4"/>
      <c r="AY508" s="3"/>
      <c r="AZ508" s="4"/>
      <c r="BA508" s="3"/>
      <c r="BB508" s="4"/>
      <c r="BC508" s="3"/>
      <c r="BD508" s="4"/>
      <c r="BE508" s="3"/>
      <c r="BF508" s="4"/>
      <c r="BG508" s="3"/>
      <c r="BH508" s="4"/>
      <c r="BI508" s="3"/>
      <c r="BJ508" s="4"/>
      <c r="BK508" s="3"/>
      <c r="BL508" s="4"/>
      <c r="BM508" s="3"/>
      <c r="BN508" s="4"/>
      <c r="BO508" s="3"/>
      <c r="BP508" s="4"/>
      <c r="BQ508" s="3"/>
      <c r="BR508" s="4"/>
      <c r="BS508" s="3"/>
      <c r="BT508" s="4"/>
      <c r="BU508" s="3"/>
      <c r="BV508" s="4"/>
      <c r="BW508" s="3"/>
      <c r="BX508" s="4"/>
      <c r="BY508" s="3"/>
      <c r="BZ508" s="4"/>
      <c r="CA508" s="3"/>
      <c r="CB508" s="4"/>
      <c r="CC508" s="3"/>
      <c r="CD508" s="4"/>
    </row>
    <row r="509">
      <c r="A509" s="3"/>
      <c r="B509" s="4"/>
      <c r="C509" s="3"/>
      <c r="D509" s="4"/>
      <c r="E509" s="3"/>
      <c r="F509" s="4"/>
      <c r="G509" s="3"/>
      <c r="H509" s="4"/>
      <c r="I509" s="3"/>
      <c r="J509" s="4"/>
      <c r="K509" s="3"/>
      <c r="L509" s="4"/>
      <c r="M509" s="3"/>
      <c r="N509" s="4"/>
      <c r="O509" s="3"/>
      <c r="P509" s="4"/>
      <c r="Q509" s="3"/>
      <c r="R509" s="4"/>
      <c r="S509" s="3"/>
      <c r="T509" s="4"/>
      <c r="U509" s="3"/>
      <c r="V509" s="4"/>
      <c r="W509" s="3"/>
      <c r="X509" s="4"/>
      <c r="Y509" s="3"/>
      <c r="Z509" s="4"/>
      <c r="AA509" s="3"/>
      <c r="AB509" s="4"/>
      <c r="AC509" s="3"/>
      <c r="AD509" s="4"/>
      <c r="AE509" s="3"/>
      <c r="AF509" s="4"/>
      <c r="AG509" s="3"/>
      <c r="AH509" s="4"/>
      <c r="AI509" s="3"/>
      <c r="AJ509" s="4"/>
      <c r="AK509" s="3"/>
      <c r="AL509" s="4"/>
      <c r="AM509" s="3"/>
      <c r="AN509" s="4"/>
      <c r="AO509" s="3"/>
      <c r="AP509" s="4"/>
      <c r="AQ509" s="3"/>
      <c r="AR509" s="4"/>
      <c r="AS509" s="3"/>
      <c r="AT509" s="4"/>
      <c r="AU509" s="3"/>
      <c r="AV509" s="4"/>
      <c r="AW509" s="3"/>
      <c r="AX509" s="4"/>
      <c r="AY509" s="3"/>
      <c r="AZ509" s="4"/>
      <c r="BA509" s="3"/>
      <c r="BB509" s="4"/>
      <c r="BC509" s="3"/>
      <c r="BD509" s="4"/>
      <c r="BE509" s="3"/>
      <c r="BF509" s="4"/>
      <c r="BG509" s="3"/>
      <c r="BH509" s="4"/>
      <c r="BI509" s="3"/>
      <c r="BJ509" s="4"/>
      <c r="BK509" s="3"/>
      <c r="BL509" s="4"/>
      <c r="BM509" s="3"/>
      <c r="BN509" s="4"/>
      <c r="BO509" s="3"/>
      <c r="BP509" s="4"/>
      <c r="BQ509" s="3"/>
      <c r="BR509" s="4"/>
      <c r="BS509" s="3"/>
      <c r="BT509" s="4"/>
      <c r="BU509" s="3"/>
      <c r="BV509" s="4"/>
      <c r="BW509" s="3"/>
      <c r="BX509" s="4"/>
      <c r="BY509" s="3"/>
      <c r="BZ509" s="4"/>
      <c r="CA509" s="3"/>
      <c r="CB509" s="4"/>
      <c r="CC509" s="3"/>
      <c r="CD509" s="4"/>
    </row>
    <row r="510">
      <c r="A510" s="3"/>
      <c r="B510" s="4"/>
      <c r="C510" s="3"/>
      <c r="D510" s="4"/>
      <c r="E510" s="3"/>
      <c r="F510" s="4"/>
      <c r="G510" s="3"/>
      <c r="H510" s="4"/>
      <c r="I510" s="3"/>
      <c r="J510" s="4"/>
      <c r="K510" s="3"/>
      <c r="L510" s="4"/>
      <c r="M510" s="3"/>
      <c r="N510" s="4"/>
      <c r="O510" s="3"/>
      <c r="P510" s="4"/>
      <c r="Q510" s="3"/>
      <c r="R510" s="4"/>
      <c r="S510" s="3"/>
      <c r="T510" s="4"/>
      <c r="U510" s="3"/>
      <c r="V510" s="4"/>
      <c r="W510" s="3"/>
      <c r="X510" s="4"/>
      <c r="Y510" s="3"/>
      <c r="Z510" s="4"/>
      <c r="AA510" s="3"/>
      <c r="AB510" s="4"/>
      <c r="AC510" s="3"/>
      <c r="AD510" s="4"/>
      <c r="AE510" s="3"/>
      <c r="AF510" s="4"/>
      <c r="AG510" s="3"/>
      <c r="AH510" s="4"/>
      <c r="AI510" s="3"/>
      <c r="AJ510" s="4"/>
      <c r="AK510" s="3"/>
      <c r="AL510" s="4"/>
      <c r="AM510" s="3"/>
      <c r="AN510" s="4"/>
      <c r="AO510" s="3"/>
      <c r="AP510" s="4"/>
      <c r="AQ510" s="3"/>
      <c r="AR510" s="4"/>
      <c r="AS510" s="3"/>
      <c r="AT510" s="4"/>
      <c r="AU510" s="3"/>
      <c r="AV510" s="4"/>
      <c r="AW510" s="3"/>
      <c r="AX510" s="4"/>
      <c r="AY510" s="3"/>
      <c r="AZ510" s="4"/>
      <c r="BA510" s="3"/>
      <c r="BB510" s="4"/>
      <c r="BC510" s="3"/>
      <c r="BD510" s="4"/>
      <c r="BE510" s="3"/>
      <c r="BF510" s="4"/>
      <c r="BG510" s="3"/>
      <c r="BH510" s="4"/>
      <c r="BI510" s="3"/>
      <c r="BJ510" s="4"/>
      <c r="BK510" s="3"/>
      <c r="BL510" s="4"/>
      <c r="BM510" s="3"/>
      <c r="BN510" s="4"/>
      <c r="BO510" s="3"/>
      <c r="BP510" s="4"/>
      <c r="BQ510" s="3"/>
      <c r="BR510" s="4"/>
      <c r="BS510" s="3"/>
      <c r="BT510" s="4"/>
      <c r="BU510" s="3"/>
      <c r="BV510" s="4"/>
      <c r="BW510" s="3"/>
      <c r="BX510" s="4"/>
      <c r="BY510" s="3"/>
      <c r="BZ510" s="4"/>
      <c r="CA510" s="3"/>
      <c r="CB510" s="4"/>
      <c r="CC510" s="3"/>
      <c r="CD510" s="4"/>
    </row>
    <row r="511">
      <c r="A511" s="3"/>
      <c r="B511" s="4"/>
      <c r="C511" s="3"/>
      <c r="D511" s="4"/>
      <c r="E511" s="3"/>
      <c r="F511" s="4"/>
      <c r="G511" s="3"/>
      <c r="H511" s="4"/>
      <c r="I511" s="3"/>
      <c r="J511" s="4"/>
      <c r="K511" s="3"/>
      <c r="L511" s="4"/>
      <c r="M511" s="3"/>
      <c r="N511" s="4"/>
      <c r="O511" s="3"/>
      <c r="P511" s="4"/>
      <c r="Q511" s="3"/>
      <c r="R511" s="4"/>
      <c r="S511" s="3"/>
      <c r="T511" s="4"/>
      <c r="U511" s="3"/>
      <c r="V511" s="4"/>
      <c r="W511" s="3"/>
      <c r="X511" s="4"/>
      <c r="Y511" s="3"/>
      <c r="Z511" s="4"/>
      <c r="AA511" s="3"/>
      <c r="AB511" s="4"/>
      <c r="AC511" s="3"/>
      <c r="AD511" s="4"/>
      <c r="AE511" s="3"/>
      <c r="AF511" s="4"/>
      <c r="AG511" s="3"/>
      <c r="AH511" s="4"/>
      <c r="AI511" s="3"/>
      <c r="AJ511" s="4"/>
      <c r="AK511" s="3"/>
      <c r="AL511" s="4"/>
      <c r="AM511" s="3"/>
      <c r="AN511" s="4"/>
      <c r="AO511" s="3"/>
      <c r="AP511" s="4"/>
      <c r="AQ511" s="3"/>
      <c r="AR511" s="4"/>
      <c r="AS511" s="3"/>
      <c r="AT511" s="4"/>
      <c r="AU511" s="3"/>
      <c r="AV511" s="4"/>
      <c r="AW511" s="3"/>
      <c r="AX511" s="4"/>
      <c r="AY511" s="3"/>
      <c r="AZ511" s="4"/>
      <c r="BA511" s="3"/>
      <c r="BB511" s="4"/>
      <c r="BC511" s="3"/>
      <c r="BD511" s="4"/>
      <c r="BE511" s="3"/>
      <c r="BF511" s="4"/>
      <c r="BG511" s="3"/>
      <c r="BH511" s="4"/>
      <c r="BI511" s="3"/>
      <c r="BJ511" s="4"/>
      <c r="BK511" s="3"/>
      <c r="BL511" s="4"/>
      <c r="BM511" s="3"/>
      <c r="BN511" s="4"/>
      <c r="BO511" s="3"/>
      <c r="BP511" s="4"/>
      <c r="BQ511" s="3"/>
      <c r="BR511" s="4"/>
      <c r="BS511" s="3"/>
      <c r="BT511" s="4"/>
      <c r="BU511" s="3"/>
      <c r="BV511" s="4"/>
      <c r="BW511" s="3"/>
      <c r="BX511" s="4"/>
      <c r="BY511" s="3"/>
      <c r="BZ511" s="4"/>
      <c r="CA511" s="3"/>
      <c r="CB511" s="4"/>
      <c r="CC511" s="3"/>
      <c r="CD511" s="4"/>
    </row>
    <row r="512">
      <c r="A512" s="3"/>
      <c r="B512" s="4"/>
      <c r="C512" s="3"/>
      <c r="D512" s="4"/>
      <c r="E512" s="3"/>
      <c r="F512" s="4"/>
      <c r="G512" s="3"/>
      <c r="H512" s="4"/>
      <c r="I512" s="3"/>
      <c r="J512" s="4"/>
      <c r="K512" s="3"/>
      <c r="L512" s="4"/>
      <c r="M512" s="3"/>
      <c r="N512" s="4"/>
      <c r="O512" s="3"/>
      <c r="P512" s="4"/>
      <c r="Q512" s="3"/>
      <c r="R512" s="4"/>
      <c r="S512" s="3"/>
      <c r="T512" s="4"/>
      <c r="U512" s="3"/>
      <c r="V512" s="4"/>
      <c r="W512" s="3"/>
      <c r="X512" s="4"/>
      <c r="Y512" s="3"/>
      <c r="Z512" s="4"/>
      <c r="AA512" s="3"/>
      <c r="AB512" s="4"/>
      <c r="AC512" s="3"/>
      <c r="AD512" s="4"/>
      <c r="AE512" s="3"/>
      <c r="AF512" s="4"/>
      <c r="AG512" s="3"/>
      <c r="AH512" s="4"/>
      <c r="AI512" s="3"/>
      <c r="AJ512" s="4"/>
      <c r="AK512" s="3"/>
      <c r="AL512" s="4"/>
      <c r="AM512" s="3"/>
      <c r="AN512" s="4"/>
      <c r="AO512" s="3"/>
      <c r="AP512" s="4"/>
      <c r="AQ512" s="3"/>
      <c r="AR512" s="4"/>
      <c r="AS512" s="3"/>
      <c r="AT512" s="4"/>
      <c r="AU512" s="3"/>
      <c r="AV512" s="4"/>
      <c r="AW512" s="3"/>
      <c r="AX512" s="4"/>
      <c r="AY512" s="3"/>
      <c r="AZ512" s="4"/>
      <c r="BA512" s="3"/>
      <c r="BB512" s="4"/>
      <c r="BC512" s="3"/>
      <c r="BD512" s="4"/>
      <c r="BE512" s="3"/>
      <c r="BF512" s="4"/>
      <c r="BG512" s="3"/>
      <c r="BH512" s="4"/>
      <c r="BI512" s="3"/>
      <c r="BJ512" s="4"/>
      <c r="BK512" s="3"/>
      <c r="BL512" s="4"/>
      <c r="BM512" s="3"/>
      <c r="BN512" s="4"/>
      <c r="BO512" s="3"/>
      <c r="BP512" s="4"/>
      <c r="BQ512" s="3"/>
      <c r="BR512" s="4"/>
      <c r="BS512" s="3"/>
      <c r="BT512" s="4"/>
      <c r="BU512" s="3"/>
      <c r="BV512" s="4"/>
      <c r="BW512" s="3"/>
      <c r="BX512" s="4"/>
      <c r="BY512" s="3"/>
      <c r="BZ512" s="4"/>
      <c r="CA512" s="3"/>
      <c r="CB512" s="4"/>
      <c r="CC512" s="3"/>
      <c r="CD512" s="4"/>
    </row>
    <row r="513">
      <c r="A513" s="3"/>
      <c r="B513" s="4"/>
      <c r="C513" s="3"/>
      <c r="D513" s="4"/>
      <c r="E513" s="3"/>
      <c r="F513" s="4"/>
      <c r="G513" s="3"/>
      <c r="H513" s="4"/>
      <c r="I513" s="3"/>
      <c r="J513" s="4"/>
      <c r="K513" s="3"/>
      <c r="L513" s="4"/>
      <c r="M513" s="3"/>
      <c r="N513" s="4"/>
      <c r="O513" s="3"/>
      <c r="P513" s="4"/>
      <c r="Q513" s="3"/>
      <c r="R513" s="4"/>
      <c r="S513" s="3"/>
      <c r="T513" s="4"/>
      <c r="U513" s="3"/>
      <c r="V513" s="4"/>
      <c r="W513" s="3"/>
      <c r="X513" s="4"/>
      <c r="Y513" s="3"/>
      <c r="Z513" s="4"/>
      <c r="AA513" s="3"/>
      <c r="AB513" s="4"/>
      <c r="AC513" s="3"/>
      <c r="AD513" s="4"/>
      <c r="AE513" s="3"/>
      <c r="AF513" s="4"/>
      <c r="AG513" s="3"/>
      <c r="AH513" s="4"/>
      <c r="AI513" s="3"/>
      <c r="AJ513" s="4"/>
      <c r="AK513" s="3"/>
      <c r="AL513" s="4"/>
      <c r="AM513" s="3"/>
      <c r="AN513" s="4"/>
      <c r="AO513" s="3"/>
      <c r="AP513" s="4"/>
      <c r="AQ513" s="3"/>
      <c r="AR513" s="4"/>
      <c r="AS513" s="3"/>
      <c r="AT513" s="4"/>
      <c r="AU513" s="3"/>
      <c r="AV513" s="4"/>
      <c r="AW513" s="3"/>
      <c r="AX513" s="4"/>
      <c r="AY513" s="3"/>
      <c r="AZ513" s="4"/>
      <c r="BA513" s="3"/>
      <c r="BB513" s="4"/>
      <c r="BC513" s="3"/>
      <c r="BD513" s="4"/>
      <c r="BE513" s="3"/>
      <c r="BF513" s="4"/>
      <c r="BG513" s="3"/>
      <c r="BH513" s="4"/>
      <c r="BI513" s="3"/>
      <c r="BJ513" s="4"/>
      <c r="BK513" s="3"/>
      <c r="BL513" s="4"/>
      <c r="BM513" s="3"/>
      <c r="BN513" s="4"/>
      <c r="BO513" s="3"/>
      <c r="BP513" s="4"/>
      <c r="BQ513" s="3"/>
      <c r="BR513" s="4"/>
      <c r="BS513" s="3"/>
      <c r="BT513" s="4"/>
      <c r="BU513" s="3"/>
      <c r="BV513" s="4"/>
      <c r="BW513" s="3"/>
      <c r="BX513" s="4"/>
      <c r="BY513" s="3"/>
      <c r="BZ513" s="4"/>
      <c r="CA513" s="3"/>
      <c r="CB513" s="4"/>
      <c r="CC513" s="3"/>
      <c r="CD513" s="4"/>
    </row>
    <row r="514">
      <c r="A514" s="3"/>
      <c r="B514" s="4"/>
      <c r="C514" s="3"/>
      <c r="D514" s="4"/>
      <c r="E514" s="3"/>
      <c r="F514" s="4"/>
      <c r="G514" s="3"/>
      <c r="H514" s="4"/>
      <c r="I514" s="3"/>
      <c r="J514" s="4"/>
      <c r="K514" s="3"/>
      <c r="L514" s="4"/>
      <c r="M514" s="3"/>
      <c r="N514" s="4"/>
      <c r="O514" s="3"/>
      <c r="P514" s="4"/>
      <c r="Q514" s="3"/>
      <c r="R514" s="4"/>
      <c r="S514" s="3"/>
      <c r="T514" s="4"/>
      <c r="U514" s="3"/>
      <c r="V514" s="4"/>
      <c r="W514" s="3"/>
      <c r="X514" s="4"/>
      <c r="Y514" s="3"/>
      <c r="Z514" s="4"/>
      <c r="AA514" s="3"/>
      <c r="AB514" s="4"/>
      <c r="AC514" s="3"/>
      <c r="AD514" s="4"/>
      <c r="AE514" s="3"/>
      <c r="AF514" s="4"/>
      <c r="AG514" s="3"/>
      <c r="AH514" s="4"/>
      <c r="AI514" s="3"/>
      <c r="AJ514" s="4"/>
      <c r="AK514" s="3"/>
      <c r="AL514" s="4"/>
      <c r="AM514" s="3"/>
      <c r="AN514" s="4"/>
      <c r="AO514" s="3"/>
      <c r="AP514" s="4"/>
      <c r="AQ514" s="3"/>
      <c r="AR514" s="4"/>
      <c r="AS514" s="3"/>
      <c r="AT514" s="4"/>
      <c r="AU514" s="3"/>
      <c r="AV514" s="4"/>
      <c r="AW514" s="3"/>
      <c r="AX514" s="4"/>
      <c r="AY514" s="3"/>
      <c r="AZ514" s="4"/>
      <c r="BA514" s="3"/>
      <c r="BB514" s="4"/>
      <c r="BC514" s="3"/>
      <c r="BD514" s="4"/>
      <c r="BE514" s="3"/>
      <c r="BF514" s="4"/>
      <c r="BG514" s="3"/>
      <c r="BH514" s="4"/>
      <c r="BI514" s="3"/>
      <c r="BJ514" s="4"/>
      <c r="BK514" s="3"/>
      <c r="BL514" s="4"/>
      <c r="BM514" s="3"/>
      <c r="BN514" s="4"/>
      <c r="BO514" s="3"/>
      <c r="BP514" s="4"/>
      <c r="BQ514" s="3"/>
      <c r="BR514" s="4"/>
      <c r="BS514" s="3"/>
      <c r="BT514" s="4"/>
      <c r="BU514" s="3"/>
      <c r="BV514" s="4"/>
      <c r="BW514" s="3"/>
      <c r="BX514" s="4"/>
      <c r="BY514" s="3"/>
      <c r="BZ514" s="4"/>
      <c r="CA514" s="3"/>
      <c r="CB514" s="4"/>
      <c r="CC514" s="3"/>
      <c r="CD514" s="4"/>
    </row>
    <row r="515">
      <c r="A515" s="3"/>
      <c r="B515" s="4"/>
      <c r="C515" s="3"/>
      <c r="D515" s="4"/>
      <c r="E515" s="3"/>
      <c r="F515" s="4"/>
      <c r="G515" s="3"/>
      <c r="H515" s="4"/>
      <c r="I515" s="3"/>
      <c r="J515" s="4"/>
      <c r="K515" s="3"/>
      <c r="L515" s="4"/>
      <c r="M515" s="3"/>
      <c r="N515" s="4"/>
      <c r="O515" s="3"/>
      <c r="P515" s="4"/>
      <c r="Q515" s="3"/>
      <c r="R515" s="4"/>
      <c r="S515" s="3"/>
      <c r="T515" s="4"/>
      <c r="U515" s="3"/>
      <c r="V515" s="4"/>
      <c r="W515" s="3"/>
      <c r="X515" s="4"/>
      <c r="Y515" s="3"/>
      <c r="Z515" s="4"/>
      <c r="AA515" s="3"/>
      <c r="AB515" s="4"/>
      <c r="AC515" s="3"/>
      <c r="AD515" s="4"/>
      <c r="AE515" s="3"/>
      <c r="AF515" s="4"/>
      <c r="AG515" s="3"/>
      <c r="AH515" s="4"/>
      <c r="AI515" s="3"/>
      <c r="AJ515" s="4"/>
      <c r="AK515" s="3"/>
      <c r="AL515" s="4"/>
      <c r="AM515" s="3"/>
      <c r="AN515" s="4"/>
      <c r="AO515" s="3"/>
      <c r="AP515" s="4"/>
      <c r="AQ515" s="3"/>
      <c r="AR515" s="4"/>
      <c r="AS515" s="3"/>
      <c r="AT515" s="4"/>
      <c r="AU515" s="3"/>
      <c r="AV515" s="4"/>
      <c r="AW515" s="3"/>
      <c r="AX515" s="4"/>
      <c r="AY515" s="3"/>
      <c r="AZ515" s="4"/>
      <c r="BA515" s="3"/>
      <c r="BB515" s="4"/>
      <c r="BC515" s="3"/>
      <c r="BD515" s="4"/>
      <c r="BE515" s="3"/>
      <c r="BF515" s="4"/>
      <c r="BG515" s="3"/>
      <c r="BH515" s="4"/>
      <c r="BI515" s="3"/>
      <c r="BJ515" s="4"/>
      <c r="BK515" s="3"/>
      <c r="BL515" s="4"/>
      <c r="BM515" s="3"/>
      <c r="BN515" s="4"/>
      <c r="BO515" s="3"/>
      <c r="BP515" s="4"/>
      <c r="BQ515" s="3"/>
      <c r="BR515" s="4"/>
      <c r="BS515" s="3"/>
      <c r="BT515" s="4"/>
      <c r="BU515" s="3"/>
      <c r="BV515" s="4"/>
      <c r="BW515" s="3"/>
      <c r="BX515" s="4"/>
      <c r="BY515" s="3"/>
      <c r="BZ515" s="4"/>
      <c r="CA515" s="3"/>
      <c r="CB515" s="4"/>
      <c r="CC515" s="3"/>
      <c r="CD515" s="4"/>
    </row>
    <row r="516">
      <c r="A516" s="3"/>
      <c r="B516" s="4"/>
      <c r="C516" s="3"/>
      <c r="D516" s="4"/>
      <c r="E516" s="3"/>
      <c r="F516" s="4"/>
      <c r="G516" s="3"/>
      <c r="H516" s="4"/>
      <c r="I516" s="3"/>
      <c r="J516" s="4"/>
      <c r="K516" s="3"/>
      <c r="L516" s="4"/>
      <c r="M516" s="3"/>
      <c r="N516" s="4"/>
      <c r="O516" s="3"/>
      <c r="P516" s="4"/>
      <c r="Q516" s="3"/>
      <c r="R516" s="4"/>
      <c r="S516" s="3"/>
      <c r="T516" s="4"/>
      <c r="U516" s="3"/>
      <c r="V516" s="4"/>
      <c r="W516" s="3"/>
      <c r="X516" s="4"/>
      <c r="Y516" s="3"/>
      <c r="Z516" s="4"/>
      <c r="AA516" s="3"/>
      <c r="AB516" s="4"/>
      <c r="AC516" s="3"/>
      <c r="AD516" s="4"/>
      <c r="AE516" s="3"/>
      <c r="AF516" s="4"/>
      <c r="AG516" s="3"/>
      <c r="AH516" s="4"/>
      <c r="AI516" s="3"/>
      <c r="AJ516" s="4"/>
      <c r="AK516" s="3"/>
      <c r="AL516" s="4"/>
      <c r="AM516" s="3"/>
      <c r="AN516" s="4"/>
      <c r="AO516" s="3"/>
      <c r="AP516" s="4"/>
      <c r="AQ516" s="3"/>
      <c r="AR516" s="4"/>
      <c r="AS516" s="3"/>
      <c r="AT516" s="4"/>
      <c r="AU516" s="3"/>
      <c r="AV516" s="4"/>
      <c r="AW516" s="3"/>
      <c r="AX516" s="4"/>
      <c r="AY516" s="3"/>
      <c r="AZ516" s="4"/>
      <c r="BA516" s="3"/>
      <c r="BB516" s="4"/>
      <c r="BC516" s="3"/>
      <c r="BD516" s="4"/>
      <c r="BE516" s="3"/>
      <c r="BF516" s="4"/>
      <c r="BG516" s="3"/>
      <c r="BH516" s="4"/>
      <c r="BI516" s="3"/>
      <c r="BJ516" s="4"/>
      <c r="BK516" s="3"/>
      <c r="BL516" s="4"/>
      <c r="BM516" s="3"/>
      <c r="BN516" s="4"/>
      <c r="BO516" s="3"/>
      <c r="BP516" s="4"/>
      <c r="BQ516" s="3"/>
      <c r="BR516" s="4"/>
      <c r="BS516" s="3"/>
      <c r="BT516" s="4"/>
      <c r="BU516" s="3"/>
      <c r="BV516" s="4"/>
      <c r="BW516" s="3"/>
      <c r="BX516" s="4"/>
      <c r="BY516" s="3"/>
      <c r="BZ516" s="4"/>
      <c r="CA516" s="3"/>
      <c r="CB516" s="4"/>
      <c r="CC516" s="3"/>
      <c r="CD516" s="4"/>
    </row>
    <row r="517">
      <c r="A517" s="3"/>
      <c r="B517" s="4"/>
      <c r="C517" s="3"/>
      <c r="D517" s="4"/>
      <c r="E517" s="3"/>
      <c r="F517" s="4"/>
      <c r="G517" s="3"/>
      <c r="H517" s="4"/>
      <c r="I517" s="3"/>
      <c r="J517" s="4"/>
      <c r="K517" s="3"/>
      <c r="L517" s="4"/>
      <c r="M517" s="3"/>
      <c r="N517" s="4"/>
      <c r="O517" s="3"/>
      <c r="P517" s="4"/>
      <c r="Q517" s="3"/>
      <c r="R517" s="4"/>
      <c r="S517" s="3"/>
      <c r="T517" s="4"/>
      <c r="U517" s="3"/>
      <c r="V517" s="4"/>
      <c r="W517" s="3"/>
      <c r="X517" s="4"/>
      <c r="Y517" s="3"/>
      <c r="Z517" s="4"/>
      <c r="AA517" s="3"/>
      <c r="AB517" s="4"/>
      <c r="AC517" s="3"/>
      <c r="AD517" s="4"/>
      <c r="AE517" s="3"/>
      <c r="AF517" s="4"/>
      <c r="AG517" s="3"/>
      <c r="AH517" s="4"/>
      <c r="AI517" s="3"/>
      <c r="AJ517" s="4"/>
      <c r="AK517" s="3"/>
      <c r="AL517" s="4"/>
      <c r="AM517" s="3"/>
      <c r="AN517" s="4"/>
      <c r="AO517" s="3"/>
      <c r="AP517" s="4"/>
      <c r="AQ517" s="3"/>
      <c r="AR517" s="4"/>
      <c r="AS517" s="3"/>
      <c r="AT517" s="4"/>
      <c r="AU517" s="3"/>
      <c r="AV517" s="4"/>
      <c r="AW517" s="3"/>
      <c r="AX517" s="4"/>
      <c r="AY517" s="3"/>
      <c r="AZ517" s="4"/>
      <c r="BA517" s="3"/>
      <c r="BB517" s="4"/>
      <c r="BC517" s="3"/>
      <c r="BD517" s="4"/>
      <c r="BE517" s="3"/>
      <c r="BF517" s="4"/>
      <c r="BG517" s="3"/>
      <c r="BH517" s="4"/>
      <c r="BI517" s="3"/>
      <c r="BJ517" s="4"/>
      <c r="BK517" s="3"/>
      <c r="BL517" s="4"/>
      <c r="BM517" s="3"/>
      <c r="BN517" s="4"/>
      <c r="BO517" s="3"/>
      <c r="BP517" s="4"/>
      <c r="BQ517" s="3"/>
      <c r="BR517" s="4"/>
      <c r="BS517" s="3"/>
      <c r="BT517" s="4"/>
      <c r="BU517" s="3"/>
      <c r="BV517" s="4"/>
      <c r="BW517" s="3"/>
      <c r="BX517" s="4"/>
      <c r="BY517" s="3"/>
      <c r="BZ517" s="4"/>
      <c r="CA517" s="3"/>
      <c r="CB517" s="4"/>
      <c r="CC517" s="3"/>
      <c r="CD517" s="4"/>
    </row>
    <row r="518">
      <c r="A518" s="3"/>
      <c r="B518" s="4"/>
      <c r="C518" s="3"/>
      <c r="D518" s="4"/>
      <c r="E518" s="3"/>
      <c r="F518" s="4"/>
      <c r="G518" s="3"/>
      <c r="H518" s="4"/>
      <c r="I518" s="3"/>
      <c r="J518" s="4"/>
      <c r="K518" s="3"/>
      <c r="L518" s="4"/>
      <c r="M518" s="3"/>
      <c r="N518" s="4"/>
      <c r="O518" s="3"/>
      <c r="P518" s="4"/>
      <c r="Q518" s="3"/>
      <c r="R518" s="4"/>
      <c r="S518" s="3"/>
      <c r="T518" s="4"/>
      <c r="U518" s="3"/>
      <c r="V518" s="4"/>
      <c r="W518" s="3"/>
      <c r="X518" s="4"/>
      <c r="Y518" s="3"/>
      <c r="Z518" s="4"/>
      <c r="AA518" s="3"/>
      <c r="AB518" s="4"/>
      <c r="AC518" s="3"/>
      <c r="AD518" s="4"/>
      <c r="AE518" s="3"/>
      <c r="AF518" s="4"/>
      <c r="AG518" s="3"/>
      <c r="AH518" s="4"/>
      <c r="AI518" s="3"/>
      <c r="AJ518" s="4"/>
      <c r="AK518" s="3"/>
      <c r="AL518" s="4"/>
      <c r="AM518" s="3"/>
      <c r="AN518" s="4"/>
      <c r="AO518" s="3"/>
      <c r="AP518" s="4"/>
      <c r="AQ518" s="3"/>
      <c r="AR518" s="4"/>
      <c r="AS518" s="3"/>
      <c r="AT518" s="4"/>
      <c r="AU518" s="3"/>
      <c r="AV518" s="4"/>
      <c r="AW518" s="3"/>
      <c r="AX518" s="4"/>
      <c r="AY518" s="3"/>
      <c r="AZ518" s="4"/>
      <c r="BA518" s="3"/>
      <c r="BB518" s="4"/>
      <c r="BC518" s="3"/>
      <c r="BD518" s="4"/>
      <c r="BE518" s="3"/>
      <c r="BF518" s="4"/>
      <c r="BG518" s="3"/>
      <c r="BH518" s="4"/>
      <c r="BI518" s="3"/>
      <c r="BJ518" s="4"/>
      <c r="BK518" s="3"/>
      <c r="BL518" s="4"/>
      <c r="BM518" s="3"/>
      <c r="BN518" s="4"/>
      <c r="BO518" s="3"/>
      <c r="BP518" s="4"/>
      <c r="BQ518" s="3"/>
      <c r="BR518" s="4"/>
      <c r="BS518" s="3"/>
      <c r="BT518" s="4"/>
      <c r="BU518" s="3"/>
      <c r="BV518" s="4"/>
      <c r="BW518" s="3"/>
      <c r="BX518" s="4"/>
      <c r="BY518" s="3"/>
      <c r="BZ518" s="4"/>
      <c r="CA518" s="3"/>
      <c r="CB518" s="4"/>
      <c r="CC518" s="3"/>
      <c r="CD518" s="4"/>
    </row>
    <row r="519">
      <c r="A519" s="3"/>
      <c r="B519" s="4"/>
      <c r="C519" s="3"/>
      <c r="D519" s="4"/>
      <c r="E519" s="3"/>
      <c r="F519" s="4"/>
      <c r="G519" s="3"/>
      <c r="H519" s="4"/>
      <c r="I519" s="3"/>
      <c r="J519" s="4"/>
      <c r="K519" s="3"/>
      <c r="L519" s="4"/>
      <c r="M519" s="3"/>
      <c r="N519" s="4"/>
      <c r="O519" s="3"/>
      <c r="P519" s="4"/>
      <c r="Q519" s="3"/>
      <c r="R519" s="4"/>
      <c r="S519" s="3"/>
      <c r="T519" s="4"/>
      <c r="U519" s="3"/>
      <c r="V519" s="4"/>
      <c r="W519" s="3"/>
      <c r="X519" s="4"/>
      <c r="Y519" s="3"/>
      <c r="Z519" s="4"/>
      <c r="AA519" s="3"/>
      <c r="AB519" s="4"/>
      <c r="AC519" s="3"/>
      <c r="AD519" s="4"/>
      <c r="AE519" s="3"/>
      <c r="AF519" s="4"/>
      <c r="AG519" s="3"/>
      <c r="AH519" s="4"/>
      <c r="AI519" s="3"/>
      <c r="AJ519" s="4"/>
      <c r="AK519" s="3"/>
      <c r="AL519" s="4"/>
      <c r="AM519" s="3"/>
      <c r="AN519" s="4"/>
      <c r="AO519" s="3"/>
      <c r="AP519" s="4"/>
      <c r="AQ519" s="3"/>
      <c r="AR519" s="4"/>
      <c r="AS519" s="3"/>
      <c r="AT519" s="4"/>
      <c r="AU519" s="3"/>
      <c r="AV519" s="4"/>
      <c r="AW519" s="3"/>
      <c r="AX519" s="4"/>
      <c r="AY519" s="3"/>
      <c r="AZ519" s="4"/>
      <c r="BA519" s="3"/>
      <c r="BB519" s="4"/>
      <c r="BC519" s="3"/>
      <c r="BD519" s="4"/>
      <c r="BE519" s="3"/>
      <c r="BF519" s="4"/>
      <c r="BG519" s="3"/>
      <c r="BH519" s="4"/>
      <c r="BI519" s="3"/>
      <c r="BJ519" s="4"/>
      <c r="BK519" s="3"/>
      <c r="BL519" s="4"/>
      <c r="BM519" s="3"/>
      <c r="BN519" s="4"/>
      <c r="BO519" s="3"/>
      <c r="BP519" s="4"/>
      <c r="BQ519" s="3"/>
      <c r="BR519" s="4"/>
      <c r="BS519" s="3"/>
      <c r="BT519" s="4"/>
      <c r="BU519" s="3"/>
      <c r="BV519" s="4"/>
      <c r="BW519" s="3"/>
      <c r="BX519" s="4"/>
      <c r="BY519" s="3"/>
      <c r="BZ519" s="4"/>
      <c r="CA519" s="3"/>
      <c r="CB519" s="4"/>
      <c r="CC519" s="3"/>
      <c r="CD519" s="4"/>
    </row>
    <row r="520">
      <c r="A520" s="3"/>
      <c r="B520" s="4"/>
      <c r="C520" s="3"/>
      <c r="D520" s="4"/>
      <c r="E520" s="3"/>
      <c r="F520" s="4"/>
      <c r="G520" s="3"/>
      <c r="H520" s="4"/>
      <c r="I520" s="3"/>
      <c r="J520" s="4"/>
      <c r="K520" s="3"/>
      <c r="L520" s="4"/>
      <c r="M520" s="3"/>
      <c r="N520" s="4"/>
      <c r="O520" s="3"/>
      <c r="P520" s="4"/>
      <c r="Q520" s="3"/>
      <c r="R520" s="4"/>
      <c r="S520" s="3"/>
      <c r="T520" s="4"/>
      <c r="U520" s="3"/>
      <c r="V520" s="4"/>
      <c r="W520" s="3"/>
      <c r="X520" s="4"/>
      <c r="Y520" s="3"/>
      <c r="Z520" s="4"/>
      <c r="AA520" s="3"/>
      <c r="AB520" s="4"/>
      <c r="AC520" s="3"/>
      <c r="AD520" s="4"/>
      <c r="AE520" s="3"/>
      <c r="AF520" s="4"/>
      <c r="AG520" s="3"/>
      <c r="AH520" s="4"/>
      <c r="AI520" s="3"/>
      <c r="AJ520" s="4"/>
      <c r="AK520" s="3"/>
      <c r="AL520" s="4"/>
      <c r="AM520" s="3"/>
      <c r="AN520" s="4"/>
      <c r="AO520" s="3"/>
      <c r="AP520" s="4"/>
      <c r="AQ520" s="3"/>
      <c r="AR520" s="4"/>
      <c r="AS520" s="3"/>
      <c r="AT520" s="4"/>
      <c r="AU520" s="3"/>
      <c r="AV520" s="4"/>
      <c r="AW520" s="3"/>
      <c r="AX520" s="4"/>
      <c r="AY520" s="3"/>
      <c r="AZ520" s="4"/>
      <c r="BA520" s="3"/>
      <c r="BB520" s="4"/>
      <c r="BC520" s="3"/>
      <c r="BD520" s="4"/>
      <c r="BE520" s="3"/>
      <c r="BF520" s="4"/>
      <c r="BG520" s="3"/>
      <c r="BH520" s="4"/>
      <c r="BI520" s="3"/>
      <c r="BJ520" s="4"/>
      <c r="BK520" s="3"/>
      <c r="BL520" s="4"/>
      <c r="BM520" s="3"/>
      <c r="BN520" s="4"/>
      <c r="BO520" s="3"/>
      <c r="BP520" s="4"/>
      <c r="BQ520" s="3"/>
      <c r="BR520" s="4"/>
      <c r="BS520" s="3"/>
      <c r="BT520" s="4"/>
      <c r="BU520" s="3"/>
      <c r="BV520" s="4"/>
      <c r="BW520" s="3"/>
      <c r="BX520" s="4"/>
      <c r="BY520" s="3"/>
      <c r="BZ520" s="4"/>
      <c r="CA520" s="3"/>
      <c r="CB520" s="4"/>
      <c r="CC520" s="3"/>
      <c r="CD520" s="4"/>
    </row>
    <row r="521">
      <c r="A521" s="3"/>
      <c r="B521" s="4"/>
      <c r="C521" s="3"/>
      <c r="D521" s="4"/>
      <c r="E521" s="3"/>
      <c r="F521" s="4"/>
      <c r="G521" s="3"/>
      <c r="H521" s="4"/>
      <c r="I521" s="3"/>
      <c r="J521" s="4"/>
      <c r="K521" s="3"/>
      <c r="L521" s="4"/>
      <c r="M521" s="3"/>
      <c r="N521" s="4"/>
      <c r="O521" s="3"/>
      <c r="P521" s="4"/>
      <c r="Q521" s="3"/>
      <c r="R521" s="4"/>
      <c r="S521" s="3"/>
      <c r="T521" s="4"/>
      <c r="U521" s="3"/>
      <c r="V521" s="4"/>
      <c r="W521" s="3"/>
      <c r="X521" s="4"/>
      <c r="Y521" s="3"/>
      <c r="Z521" s="4"/>
      <c r="AA521" s="3"/>
      <c r="AB521" s="4"/>
      <c r="AC521" s="3"/>
      <c r="AD521" s="4"/>
      <c r="AE521" s="3"/>
      <c r="AF521" s="4"/>
      <c r="AG521" s="3"/>
      <c r="AH521" s="4"/>
      <c r="AI521" s="3"/>
      <c r="AJ521" s="4"/>
      <c r="AK521" s="3"/>
      <c r="AL521" s="4"/>
      <c r="AM521" s="3"/>
      <c r="AN521" s="4"/>
      <c r="AO521" s="3"/>
      <c r="AP521" s="4"/>
      <c r="AQ521" s="3"/>
      <c r="AR521" s="4"/>
      <c r="AS521" s="3"/>
      <c r="AT521" s="4"/>
      <c r="AU521" s="3"/>
      <c r="AV521" s="4"/>
      <c r="AW521" s="3"/>
      <c r="AX521" s="4"/>
      <c r="AY521" s="3"/>
      <c r="AZ521" s="4"/>
      <c r="BA521" s="3"/>
      <c r="BB521" s="4"/>
      <c r="BC521" s="3"/>
      <c r="BD521" s="4"/>
      <c r="BE521" s="3"/>
      <c r="BF521" s="4"/>
      <c r="BG521" s="3"/>
      <c r="BH521" s="4"/>
      <c r="BI521" s="3"/>
      <c r="BJ521" s="4"/>
      <c r="BK521" s="3"/>
      <c r="BL521" s="4"/>
      <c r="BM521" s="3"/>
      <c r="BN521" s="4"/>
      <c r="BO521" s="3"/>
      <c r="BP521" s="4"/>
      <c r="BQ521" s="3"/>
      <c r="BR521" s="4"/>
      <c r="BS521" s="3"/>
      <c r="BT521" s="4"/>
      <c r="BU521" s="3"/>
      <c r="BV521" s="4"/>
      <c r="BW521" s="3"/>
      <c r="BX521" s="4"/>
      <c r="BY521" s="3"/>
      <c r="BZ521" s="4"/>
      <c r="CA521" s="3"/>
      <c r="CB521" s="4"/>
      <c r="CC521" s="3"/>
      <c r="CD521" s="4"/>
    </row>
    <row r="522">
      <c r="A522" s="3"/>
      <c r="B522" s="4"/>
      <c r="C522" s="3"/>
      <c r="D522" s="4"/>
      <c r="E522" s="3"/>
      <c r="F522" s="4"/>
      <c r="G522" s="3"/>
      <c r="H522" s="4"/>
      <c r="I522" s="3"/>
      <c r="J522" s="4"/>
      <c r="K522" s="3"/>
      <c r="L522" s="4"/>
      <c r="M522" s="3"/>
      <c r="N522" s="4"/>
      <c r="O522" s="3"/>
      <c r="P522" s="4"/>
      <c r="Q522" s="3"/>
      <c r="R522" s="4"/>
      <c r="S522" s="3"/>
      <c r="T522" s="4"/>
      <c r="U522" s="3"/>
      <c r="V522" s="4"/>
      <c r="W522" s="3"/>
      <c r="X522" s="4"/>
      <c r="Y522" s="3"/>
      <c r="Z522" s="4"/>
      <c r="AA522" s="3"/>
      <c r="AB522" s="4"/>
      <c r="AC522" s="3"/>
      <c r="AD522" s="4"/>
      <c r="AE522" s="3"/>
      <c r="AF522" s="4"/>
      <c r="AG522" s="3"/>
      <c r="AH522" s="4"/>
      <c r="AI522" s="3"/>
      <c r="AJ522" s="4"/>
      <c r="AK522" s="3"/>
      <c r="AL522" s="4"/>
      <c r="AM522" s="3"/>
      <c r="AN522" s="4"/>
      <c r="AO522" s="3"/>
      <c r="AP522" s="4"/>
      <c r="AQ522" s="3"/>
      <c r="AR522" s="4"/>
      <c r="AS522" s="3"/>
      <c r="AT522" s="4"/>
      <c r="AU522" s="3"/>
      <c r="AV522" s="4"/>
      <c r="AW522" s="3"/>
      <c r="AX522" s="4"/>
      <c r="AY522" s="3"/>
      <c r="AZ522" s="4"/>
      <c r="BA522" s="3"/>
      <c r="BB522" s="4"/>
      <c r="BC522" s="3"/>
      <c r="BD522" s="4"/>
      <c r="BE522" s="3"/>
      <c r="BF522" s="4"/>
      <c r="BG522" s="3"/>
      <c r="BH522" s="4"/>
      <c r="BI522" s="3"/>
      <c r="BJ522" s="4"/>
      <c r="BK522" s="3"/>
      <c r="BL522" s="4"/>
      <c r="BM522" s="3"/>
      <c r="BN522" s="4"/>
      <c r="BO522" s="3"/>
      <c r="BP522" s="4"/>
      <c r="BQ522" s="3"/>
      <c r="BR522" s="4"/>
      <c r="BS522" s="3"/>
      <c r="BT522" s="4"/>
      <c r="BU522" s="3"/>
      <c r="BV522" s="4"/>
      <c r="BW522" s="3"/>
      <c r="BX522" s="4"/>
      <c r="BY522" s="3"/>
      <c r="BZ522" s="4"/>
      <c r="CA522" s="3"/>
      <c r="CB522" s="4"/>
      <c r="CC522" s="3"/>
      <c r="CD522" s="4"/>
    </row>
    <row r="523">
      <c r="A523" s="3"/>
      <c r="B523" s="4"/>
      <c r="C523" s="3"/>
      <c r="D523" s="4"/>
      <c r="E523" s="3"/>
      <c r="F523" s="4"/>
      <c r="G523" s="3"/>
      <c r="H523" s="4"/>
      <c r="I523" s="3"/>
      <c r="J523" s="4"/>
      <c r="K523" s="3"/>
      <c r="L523" s="4"/>
      <c r="M523" s="3"/>
      <c r="N523" s="4"/>
      <c r="O523" s="3"/>
      <c r="P523" s="4"/>
      <c r="Q523" s="3"/>
      <c r="R523" s="4"/>
      <c r="S523" s="3"/>
      <c r="T523" s="4"/>
      <c r="U523" s="3"/>
      <c r="V523" s="4"/>
      <c r="W523" s="3"/>
      <c r="X523" s="4"/>
      <c r="Y523" s="3"/>
      <c r="Z523" s="4"/>
      <c r="AA523" s="3"/>
      <c r="AB523" s="4"/>
      <c r="AC523" s="3"/>
      <c r="AD523" s="4"/>
      <c r="AE523" s="3"/>
      <c r="AF523" s="4"/>
      <c r="AG523" s="3"/>
      <c r="AH523" s="4"/>
      <c r="AI523" s="3"/>
      <c r="AJ523" s="4"/>
      <c r="AK523" s="3"/>
      <c r="AL523" s="4"/>
      <c r="AM523" s="3"/>
      <c r="AN523" s="4"/>
      <c r="AO523" s="3"/>
      <c r="AP523" s="4"/>
      <c r="AQ523" s="3"/>
      <c r="AR523" s="4"/>
      <c r="AS523" s="3"/>
      <c r="AT523" s="4"/>
      <c r="AU523" s="3"/>
      <c r="AV523" s="4"/>
      <c r="AW523" s="3"/>
      <c r="AX523" s="4"/>
      <c r="AY523" s="3"/>
      <c r="AZ523" s="4"/>
      <c r="BA523" s="3"/>
      <c r="BB523" s="4"/>
      <c r="BC523" s="3"/>
      <c r="BD523" s="4"/>
      <c r="BE523" s="3"/>
      <c r="BF523" s="4"/>
      <c r="BG523" s="3"/>
      <c r="BH523" s="4"/>
      <c r="BI523" s="3"/>
      <c r="BJ523" s="4"/>
      <c r="BK523" s="3"/>
      <c r="BL523" s="4"/>
      <c r="BM523" s="3"/>
      <c r="BN523" s="4"/>
      <c r="BO523" s="3"/>
      <c r="BP523" s="4"/>
      <c r="BQ523" s="3"/>
      <c r="BR523" s="4"/>
      <c r="BS523" s="3"/>
      <c r="BT523" s="4"/>
      <c r="BU523" s="3"/>
      <c r="BV523" s="4"/>
      <c r="BW523" s="3"/>
      <c r="BX523" s="4"/>
      <c r="BY523" s="3"/>
      <c r="BZ523" s="4"/>
      <c r="CA523" s="3"/>
      <c r="CB523" s="4"/>
      <c r="CC523" s="3"/>
      <c r="CD523" s="4"/>
    </row>
    <row r="524">
      <c r="A524" s="3"/>
      <c r="B524" s="4"/>
      <c r="C524" s="3"/>
      <c r="D524" s="4"/>
      <c r="E524" s="3"/>
      <c r="F524" s="4"/>
      <c r="G524" s="3"/>
      <c r="H524" s="4"/>
      <c r="I524" s="3"/>
      <c r="J524" s="4"/>
      <c r="K524" s="3"/>
      <c r="L524" s="4"/>
      <c r="M524" s="3"/>
      <c r="N524" s="4"/>
      <c r="O524" s="3"/>
      <c r="P524" s="4"/>
      <c r="Q524" s="3"/>
      <c r="R524" s="4"/>
      <c r="S524" s="3"/>
      <c r="T524" s="4"/>
      <c r="U524" s="3"/>
      <c r="V524" s="4"/>
      <c r="W524" s="3"/>
      <c r="X524" s="4"/>
      <c r="Y524" s="3"/>
      <c r="Z524" s="4"/>
      <c r="AA524" s="3"/>
      <c r="AB524" s="4"/>
      <c r="AC524" s="3"/>
      <c r="AD524" s="4"/>
      <c r="AE524" s="3"/>
      <c r="AF524" s="4"/>
      <c r="AG524" s="3"/>
      <c r="AH524" s="4"/>
      <c r="AI524" s="3"/>
      <c r="AJ524" s="4"/>
      <c r="AK524" s="3"/>
      <c r="AL524" s="4"/>
      <c r="AM524" s="3"/>
      <c r="AN524" s="4"/>
      <c r="AO524" s="3"/>
      <c r="AP524" s="4"/>
      <c r="AQ524" s="3"/>
      <c r="AR524" s="4"/>
      <c r="AS524" s="3"/>
      <c r="AT524" s="4"/>
      <c r="AU524" s="3"/>
      <c r="AV524" s="4"/>
      <c r="AW524" s="3"/>
      <c r="AX524" s="4"/>
      <c r="AY524" s="3"/>
      <c r="AZ524" s="4"/>
      <c r="BA524" s="3"/>
      <c r="BB524" s="4"/>
      <c r="BC524" s="3"/>
      <c r="BD524" s="4"/>
      <c r="BE524" s="3"/>
      <c r="BF524" s="4"/>
      <c r="BG524" s="3"/>
      <c r="BH524" s="4"/>
      <c r="BI524" s="3"/>
      <c r="BJ524" s="4"/>
      <c r="BK524" s="3"/>
      <c r="BL524" s="4"/>
      <c r="BM524" s="3"/>
      <c r="BN524" s="4"/>
      <c r="BO524" s="3"/>
      <c r="BP524" s="4"/>
      <c r="BQ524" s="3"/>
      <c r="BR524" s="4"/>
      <c r="BS524" s="3"/>
      <c r="BT524" s="4"/>
      <c r="BU524" s="3"/>
      <c r="BV524" s="4"/>
      <c r="BW524" s="3"/>
      <c r="BX524" s="4"/>
      <c r="BY524" s="3"/>
      <c r="BZ524" s="4"/>
      <c r="CA524" s="3"/>
      <c r="CB524" s="4"/>
      <c r="CC524" s="3"/>
      <c r="CD524" s="4"/>
    </row>
    <row r="525">
      <c r="A525" s="3"/>
      <c r="B525" s="4"/>
      <c r="C525" s="3"/>
      <c r="D525" s="4"/>
      <c r="E525" s="3"/>
      <c r="F525" s="4"/>
      <c r="G525" s="3"/>
      <c r="H525" s="4"/>
      <c r="I525" s="3"/>
      <c r="J525" s="4"/>
      <c r="K525" s="3"/>
      <c r="L525" s="4"/>
      <c r="M525" s="3"/>
      <c r="N525" s="4"/>
      <c r="O525" s="3"/>
      <c r="P525" s="4"/>
      <c r="Q525" s="3"/>
      <c r="R525" s="4"/>
      <c r="S525" s="3"/>
      <c r="T525" s="4"/>
      <c r="U525" s="3"/>
      <c r="V525" s="4"/>
      <c r="W525" s="3"/>
      <c r="X525" s="4"/>
      <c r="Y525" s="3"/>
      <c r="Z525" s="4"/>
      <c r="AA525" s="3"/>
      <c r="AB525" s="4"/>
      <c r="AC525" s="3"/>
      <c r="AD525" s="4"/>
      <c r="AE525" s="3"/>
      <c r="AF525" s="4"/>
      <c r="AG525" s="3"/>
      <c r="AH525" s="4"/>
      <c r="AI525" s="3"/>
      <c r="AJ525" s="4"/>
      <c r="AK525" s="3"/>
      <c r="AL525" s="4"/>
      <c r="AM525" s="3"/>
      <c r="AN525" s="4"/>
      <c r="AO525" s="3"/>
      <c r="AP525" s="4"/>
      <c r="AQ525" s="3"/>
      <c r="AR525" s="4"/>
      <c r="AS525" s="3"/>
      <c r="AT525" s="4"/>
      <c r="AU525" s="3"/>
      <c r="AV525" s="4"/>
      <c r="AW525" s="3"/>
      <c r="AX525" s="4"/>
      <c r="AY525" s="3"/>
      <c r="AZ525" s="4"/>
      <c r="BA525" s="3"/>
      <c r="BB525" s="4"/>
      <c r="BC525" s="3"/>
      <c r="BD525" s="4"/>
      <c r="BE525" s="3"/>
      <c r="BF525" s="4"/>
      <c r="BG525" s="3"/>
      <c r="BH525" s="4"/>
      <c r="BI525" s="3"/>
      <c r="BJ525" s="4"/>
      <c r="BK525" s="3"/>
      <c r="BL525" s="4"/>
      <c r="BM525" s="3"/>
      <c r="BN525" s="4"/>
      <c r="BO525" s="3"/>
      <c r="BP525" s="4"/>
      <c r="BQ525" s="3"/>
      <c r="BR525" s="4"/>
      <c r="BS525" s="3"/>
      <c r="BT525" s="4"/>
      <c r="BU525" s="3"/>
      <c r="BV525" s="4"/>
      <c r="BW525" s="3"/>
      <c r="BX525" s="4"/>
      <c r="BY525" s="3"/>
      <c r="BZ525" s="4"/>
      <c r="CA525" s="3"/>
      <c r="CB525" s="4"/>
      <c r="CC525" s="3"/>
      <c r="CD525" s="4"/>
    </row>
    <row r="526">
      <c r="A526" s="3"/>
      <c r="B526" s="4"/>
      <c r="C526" s="3"/>
      <c r="D526" s="4"/>
      <c r="E526" s="3"/>
      <c r="F526" s="4"/>
      <c r="G526" s="3"/>
      <c r="H526" s="4"/>
      <c r="I526" s="3"/>
      <c r="J526" s="4"/>
      <c r="K526" s="3"/>
      <c r="L526" s="4"/>
      <c r="M526" s="3"/>
      <c r="N526" s="4"/>
      <c r="O526" s="3"/>
      <c r="P526" s="4"/>
      <c r="Q526" s="3"/>
      <c r="R526" s="4"/>
      <c r="S526" s="3"/>
      <c r="T526" s="4"/>
      <c r="U526" s="3"/>
      <c r="V526" s="4"/>
      <c r="W526" s="3"/>
      <c r="X526" s="4"/>
      <c r="Y526" s="3"/>
      <c r="Z526" s="4"/>
      <c r="AA526" s="3"/>
      <c r="AB526" s="4"/>
      <c r="AC526" s="3"/>
      <c r="AD526" s="4"/>
      <c r="AE526" s="3"/>
      <c r="AF526" s="4"/>
      <c r="AG526" s="3"/>
      <c r="AH526" s="4"/>
      <c r="AI526" s="3"/>
      <c r="AJ526" s="4"/>
      <c r="AK526" s="3"/>
      <c r="AL526" s="4"/>
      <c r="AM526" s="3"/>
      <c r="AN526" s="4"/>
      <c r="AO526" s="3"/>
      <c r="AP526" s="4"/>
      <c r="AQ526" s="3"/>
      <c r="AR526" s="4"/>
      <c r="AS526" s="3"/>
      <c r="AT526" s="4"/>
      <c r="AU526" s="3"/>
      <c r="AV526" s="4"/>
      <c r="AW526" s="3"/>
      <c r="AX526" s="4"/>
      <c r="AY526" s="3"/>
      <c r="AZ526" s="4"/>
      <c r="BA526" s="3"/>
      <c r="BB526" s="4"/>
      <c r="BC526" s="3"/>
      <c r="BD526" s="4"/>
      <c r="BE526" s="3"/>
      <c r="BF526" s="4"/>
      <c r="BG526" s="3"/>
      <c r="BH526" s="4"/>
      <c r="BI526" s="3"/>
      <c r="BJ526" s="4"/>
      <c r="BK526" s="3"/>
      <c r="BL526" s="4"/>
      <c r="BM526" s="3"/>
      <c r="BN526" s="4"/>
      <c r="BO526" s="3"/>
      <c r="BP526" s="4"/>
      <c r="BQ526" s="3"/>
      <c r="BR526" s="4"/>
      <c r="BS526" s="3"/>
      <c r="BT526" s="4"/>
      <c r="BU526" s="3"/>
      <c r="BV526" s="4"/>
      <c r="BW526" s="3"/>
      <c r="BX526" s="4"/>
      <c r="BY526" s="3"/>
      <c r="BZ526" s="4"/>
      <c r="CA526" s="3"/>
      <c r="CB526" s="4"/>
      <c r="CC526" s="3"/>
      <c r="CD526" s="4"/>
    </row>
    <row r="527">
      <c r="A527" s="3"/>
      <c r="B527" s="4"/>
      <c r="C527" s="3"/>
      <c r="D527" s="4"/>
      <c r="E527" s="3"/>
      <c r="F527" s="4"/>
      <c r="G527" s="3"/>
      <c r="H527" s="4"/>
      <c r="I527" s="3"/>
      <c r="J527" s="4"/>
      <c r="K527" s="3"/>
      <c r="L527" s="4"/>
      <c r="M527" s="3"/>
      <c r="N527" s="4"/>
      <c r="O527" s="3"/>
      <c r="P527" s="4"/>
      <c r="Q527" s="3"/>
      <c r="R527" s="4"/>
      <c r="S527" s="3"/>
      <c r="T527" s="4"/>
      <c r="U527" s="3"/>
      <c r="V527" s="4"/>
      <c r="W527" s="3"/>
      <c r="X527" s="4"/>
      <c r="Y527" s="3"/>
      <c r="Z527" s="4"/>
      <c r="AA527" s="3"/>
      <c r="AB527" s="4"/>
      <c r="AC527" s="3"/>
      <c r="AD527" s="4"/>
      <c r="AE527" s="3"/>
      <c r="AF527" s="4"/>
      <c r="AG527" s="3"/>
      <c r="AH527" s="4"/>
      <c r="AI527" s="3"/>
      <c r="AJ527" s="4"/>
      <c r="AK527" s="3"/>
      <c r="AL527" s="4"/>
      <c r="AM527" s="3"/>
      <c r="AN527" s="4"/>
      <c r="AO527" s="3"/>
      <c r="AP527" s="4"/>
      <c r="AQ527" s="3"/>
      <c r="AR527" s="4"/>
      <c r="AS527" s="3"/>
      <c r="AT527" s="4"/>
      <c r="AU527" s="3"/>
      <c r="AV527" s="4"/>
      <c r="AW527" s="3"/>
      <c r="AX527" s="4"/>
      <c r="AY527" s="3"/>
      <c r="AZ527" s="4"/>
      <c r="BA527" s="3"/>
      <c r="BB527" s="4"/>
      <c r="BC527" s="3"/>
      <c r="BD527" s="4"/>
      <c r="BE527" s="3"/>
      <c r="BF527" s="4"/>
      <c r="BG527" s="3"/>
      <c r="BH527" s="4"/>
      <c r="BI527" s="3"/>
      <c r="BJ527" s="4"/>
      <c r="BK527" s="3"/>
      <c r="BL527" s="4"/>
      <c r="BM527" s="3"/>
      <c r="BN527" s="4"/>
      <c r="BO527" s="3"/>
      <c r="BP527" s="4"/>
      <c r="BQ527" s="3"/>
      <c r="BR527" s="4"/>
      <c r="BS527" s="3"/>
      <c r="BT527" s="4"/>
      <c r="BU527" s="3"/>
      <c r="BV527" s="4"/>
      <c r="BW527" s="3"/>
      <c r="BX527" s="4"/>
      <c r="BY527" s="3"/>
      <c r="BZ527" s="4"/>
      <c r="CA527" s="3"/>
      <c r="CB527" s="4"/>
      <c r="CC527" s="3"/>
      <c r="CD527" s="4"/>
    </row>
    <row r="528">
      <c r="A528" s="3"/>
      <c r="B528" s="4"/>
      <c r="C528" s="3"/>
      <c r="D528" s="4"/>
      <c r="E528" s="3"/>
      <c r="F528" s="4"/>
      <c r="G528" s="3"/>
      <c r="H528" s="4"/>
      <c r="I528" s="3"/>
      <c r="J528" s="4"/>
      <c r="K528" s="3"/>
      <c r="L528" s="4"/>
      <c r="M528" s="3"/>
      <c r="N528" s="4"/>
      <c r="O528" s="3"/>
      <c r="P528" s="4"/>
      <c r="Q528" s="3"/>
      <c r="R528" s="4"/>
      <c r="S528" s="3"/>
      <c r="T528" s="4"/>
      <c r="U528" s="3"/>
      <c r="V528" s="4"/>
      <c r="W528" s="3"/>
      <c r="X528" s="4"/>
      <c r="Y528" s="3"/>
      <c r="Z528" s="4"/>
      <c r="AA528" s="3"/>
      <c r="AB528" s="4"/>
      <c r="AC528" s="3"/>
      <c r="AD528" s="4"/>
      <c r="AE528" s="3"/>
      <c r="AF528" s="4"/>
      <c r="AG528" s="3"/>
      <c r="AH528" s="4"/>
      <c r="AI528" s="3"/>
      <c r="AJ528" s="4"/>
      <c r="AK528" s="3"/>
      <c r="AL528" s="4"/>
      <c r="AM528" s="3"/>
      <c r="AN528" s="4"/>
      <c r="AO528" s="3"/>
      <c r="AP528" s="4"/>
      <c r="AQ528" s="3"/>
      <c r="AR528" s="4"/>
      <c r="AS528" s="3"/>
      <c r="AT528" s="4"/>
      <c r="AU528" s="3"/>
      <c r="AV528" s="4"/>
      <c r="AW528" s="3"/>
      <c r="AX528" s="4"/>
      <c r="AY528" s="3"/>
      <c r="AZ528" s="4"/>
      <c r="BA528" s="3"/>
      <c r="BB528" s="4"/>
      <c r="BC528" s="3"/>
      <c r="BD528" s="4"/>
      <c r="BE528" s="3"/>
      <c r="BF528" s="4"/>
      <c r="BG528" s="3"/>
      <c r="BH528" s="4"/>
      <c r="BI528" s="3"/>
      <c r="BJ528" s="4"/>
      <c r="BK528" s="3"/>
      <c r="BL528" s="4"/>
      <c r="BM528" s="3"/>
      <c r="BN528" s="4"/>
      <c r="BO528" s="3"/>
      <c r="BP528" s="4"/>
      <c r="BQ528" s="3"/>
      <c r="BR528" s="4"/>
      <c r="BS528" s="3"/>
      <c r="BT528" s="4"/>
      <c r="BU528" s="3"/>
      <c r="BV528" s="4"/>
      <c r="BW528" s="3"/>
      <c r="BX528" s="4"/>
      <c r="BY528" s="3"/>
      <c r="BZ528" s="4"/>
      <c r="CA528" s="3"/>
      <c r="CB528" s="4"/>
      <c r="CC528" s="3"/>
      <c r="CD528" s="4"/>
    </row>
    <row r="529">
      <c r="A529" s="3"/>
      <c r="B529" s="4"/>
      <c r="C529" s="3"/>
      <c r="D529" s="4"/>
      <c r="E529" s="3"/>
      <c r="F529" s="4"/>
      <c r="G529" s="3"/>
      <c r="H529" s="4"/>
      <c r="I529" s="3"/>
      <c r="J529" s="4"/>
      <c r="K529" s="3"/>
      <c r="L529" s="4"/>
      <c r="M529" s="3"/>
      <c r="N529" s="4"/>
      <c r="O529" s="3"/>
      <c r="P529" s="4"/>
      <c r="Q529" s="3"/>
      <c r="R529" s="4"/>
      <c r="S529" s="3"/>
      <c r="T529" s="4"/>
      <c r="U529" s="3"/>
      <c r="V529" s="4"/>
      <c r="W529" s="3"/>
      <c r="X529" s="4"/>
      <c r="Y529" s="3"/>
      <c r="Z529" s="4"/>
      <c r="AA529" s="3"/>
      <c r="AB529" s="4"/>
      <c r="AC529" s="3"/>
      <c r="AD529" s="4"/>
      <c r="AE529" s="3"/>
      <c r="AF529" s="4"/>
      <c r="AG529" s="3"/>
      <c r="AH529" s="4"/>
      <c r="AI529" s="3"/>
      <c r="AJ529" s="4"/>
      <c r="AK529" s="3"/>
      <c r="AL529" s="4"/>
      <c r="AM529" s="3"/>
      <c r="AN529" s="4"/>
      <c r="AO529" s="3"/>
      <c r="AP529" s="4"/>
      <c r="AQ529" s="3"/>
      <c r="AR529" s="4"/>
      <c r="AS529" s="3"/>
      <c r="AT529" s="4"/>
      <c r="AU529" s="3"/>
      <c r="AV529" s="4"/>
      <c r="AW529" s="3"/>
      <c r="AX529" s="4"/>
      <c r="AY529" s="3"/>
      <c r="AZ529" s="4"/>
      <c r="BA529" s="3"/>
      <c r="BB529" s="4"/>
      <c r="BC529" s="3"/>
      <c r="BD529" s="4"/>
      <c r="BE529" s="3"/>
      <c r="BF529" s="4"/>
      <c r="BG529" s="3"/>
      <c r="BH529" s="4"/>
      <c r="BI529" s="3"/>
      <c r="BJ529" s="4"/>
      <c r="BK529" s="3"/>
      <c r="BL529" s="4"/>
      <c r="BM529" s="3"/>
      <c r="BN529" s="4"/>
      <c r="BO529" s="3"/>
      <c r="BP529" s="4"/>
      <c r="BQ529" s="3"/>
      <c r="BR529" s="4"/>
      <c r="BS529" s="3"/>
      <c r="BT529" s="4"/>
      <c r="BU529" s="3"/>
      <c r="BV529" s="4"/>
      <c r="BW529" s="3"/>
      <c r="BX529" s="4"/>
      <c r="BY529" s="3"/>
      <c r="BZ529" s="4"/>
      <c r="CA529" s="3"/>
      <c r="CB529" s="4"/>
      <c r="CC529" s="3"/>
      <c r="CD529" s="4"/>
    </row>
    <row r="530">
      <c r="A530" s="3"/>
      <c r="B530" s="4"/>
      <c r="C530" s="3"/>
      <c r="D530" s="4"/>
      <c r="E530" s="3"/>
      <c r="F530" s="4"/>
      <c r="G530" s="3"/>
      <c r="H530" s="4"/>
      <c r="I530" s="3"/>
      <c r="J530" s="4"/>
      <c r="K530" s="3"/>
      <c r="L530" s="4"/>
      <c r="M530" s="3"/>
      <c r="N530" s="4"/>
      <c r="O530" s="3"/>
      <c r="P530" s="4"/>
      <c r="Q530" s="3"/>
      <c r="R530" s="4"/>
      <c r="S530" s="3"/>
      <c r="T530" s="4"/>
      <c r="U530" s="3"/>
      <c r="V530" s="4"/>
      <c r="W530" s="3"/>
      <c r="X530" s="4"/>
      <c r="Y530" s="3"/>
      <c r="Z530" s="4"/>
      <c r="AA530" s="3"/>
      <c r="AB530" s="4"/>
      <c r="AC530" s="3"/>
      <c r="AD530" s="4"/>
      <c r="AE530" s="3"/>
      <c r="AF530" s="4"/>
      <c r="AG530" s="3"/>
      <c r="AH530" s="4"/>
      <c r="AI530" s="3"/>
      <c r="AJ530" s="4"/>
      <c r="AK530" s="3"/>
      <c r="AL530" s="4"/>
      <c r="AM530" s="3"/>
      <c r="AN530" s="4"/>
      <c r="AO530" s="3"/>
      <c r="AP530" s="4"/>
      <c r="AQ530" s="3"/>
      <c r="AR530" s="4"/>
      <c r="AS530" s="3"/>
      <c r="AT530" s="4"/>
      <c r="AU530" s="3"/>
      <c r="AV530" s="4"/>
      <c r="AW530" s="3"/>
      <c r="AX530" s="4"/>
      <c r="AY530" s="3"/>
      <c r="AZ530" s="4"/>
      <c r="BA530" s="3"/>
      <c r="BB530" s="4"/>
      <c r="BC530" s="3"/>
      <c r="BD530" s="4"/>
      <c r="BE530" s="3"/>
      <c r="BF530" s="4"/>
      <c r="BG530" s="3"/>
      <c r="BH530" s="4"/>
      <c r="BI530" s="3"/>
      <c r="BJ530" s="4"/>
      <c r="BK530" s="3"/>
      <c r="BL530" s="4"/>
      <c r="BM530" s="3"/>
      <c r="BN530" s="4"/>
      <c r="BO530" s="3"/>
      <c r="BP530" s="4"/>
      <c r="BQ530" s="3"/>
      <c r="BR530" s="4"/>
      <c r="BS530" s="3"/>
      <c r="BT530" s="4"/>
      <c r="BU530" s="3"/>
      <c r="BV530" s="4"/>
      <c r="BW530" s="3"/>
      <c r="BX530" s="4"/>
      <c r="BY530" s="3"/>
      <c r="BZ530" s="4"/>
      <c r="CA530" s="3"/>
      <c r="CB530" s="4"/>
      <c r="CC530" s="3"/>
      <c r="CD530" s="4"/>
    </row>
    <row r="531">
      <c r="A531" s="3"/>
      <c r="B531" s="4"/>
      <c r="C531" s="3"/>
      <c r="D531" s="4"/>
      <c r="E531" s="3"/>
      <c r="F531" s="4"/>
      <c r="G531" s="3"/>
      <c r="H531" s="4"/>
      <c r="I531" s="3"/>
      <c r="J531" s="4"/>
      <c r="K531" s="3"/>
      <c r="L531" s="4"/>
      <c r="M531" s="3"/>
      <c r="N531" s="4"/>
      <c r="O531" s="3"/>
      <c r="P531" s="4"/>
      <c r="Q531" s="3"/>
      <c r="R531" s="4"/>
      <c r="S531" s="3"/>
      <c r="T531" s="4"/>
      <c r="U531" s="3"/>
      <c r="V531" s="4"/>
      <c r="W531" s="3"/>
      <c r="X531" s="4"/>
      <c r="Y531" s="3"/>
      <c r="Z531" s="4"/>
      <c r="AA531" s="3"/>
      <c r="AB531" s="4"/>
      <c r="AC531" s="3"/>
      <c r="AD531" s="4"/>
      <c r="AE531" s="3"/>
      <c r="AF531" s="4"/>
      <c r="AG531" s="3"/>
      <c r="AH531" s="4"/>
      <c r="AI531" s="3"/>
      <c r="AJ531" s="4"/>
      <c r="AK531" s="3"/>
      <c r="AL531" s="4"/>
      <c r="AM531" s="3"/>
      <c r="AN531" s="4"/>
      <c r="AO531" s="3"/>
      <c r="AP531" s="4"/>
      <c r="AQ531" s="3"/>
      <c r="AR531" s="4"/>
      <c r="AS531" s="3"/>
      <c r="AT531" s="4"/>
      <c r="AU531" s="3"/>
      <c r="AV531" s="4"/>
      <c r="AW531" s="3"/>
      <c r="AX531" s="4"/>
      <c r="AY531" s="3"/>
      <c r="AZ531" s="4"/>
      <c r="BA531" s="3"/>
      <c r="BB531" s="4"/>
      <c r="BC531" s="3"/>
      <c r="BD531" s="4"/>
      <c r="BE531" s="3"/>
      <c r="BF531" s="4"/>
      <c r="BG531" s="3"/>
      <c r="BH531" s="4"/>
      <c r="BI531" s="3"/>
      <c r="BJ531" s="4"/>
      <c r="BK531" s="3"/>
      <c r="BL531" s="4"/>
      <c r="BM531" s="3"/>
      <c r="BN531" s="4"/>
      <c r="BO531" s="3"/>
      <c r="BP531" s="4"/>
      <c r="BQ531" s="3"/>
      <c r="BR531" s="4"/>
      <c r="BS531" s="3"/>
      <c r="BT531" s="4"/>
      <c r="BU531" s="3"/>
      <c r="BV531" s="4"/>
      <c r="BW531" s="3"/>
      <c r="BX531" s="4"/>
      <c r="BY531" s="3"/>
      <c r="BZ531" s="4"/>
      <c r="CA531" s="3"/>
      <c r="CB531" s="4"/>
      <c r="CC531" s="3"/>
      <c r="CD531" s="4"/>
    </row>
    <row r="532">
      <c r="A532" s="3"/>
      <c r="B532" s="4"/>
      <c r="C532" s="3"/>
      <c r="D532" s="4"/>
      <c r="E532" s="3"/>
      <c r="F532" s="4"/>
      <c r="G532" s="3"/>
      <c r="H532" s="4"/>
      <c r="I532" s="3"/>
      <c r="J532" s="4"/>
      <c r="K532" s="3"/>
      <c r="L532" s="4"/>
      <c r="M532" s="3"/>
      <c r="N532" s="4"/>
      <c r="O532" s="3"/>
      <c r="P532" s="4"/>
      <c r="Q532" s="3"/>
      <c r="R532" s="4"/>
      <c r="S532" s="3"/>
      <c r="T532" s="4"/>
      <c r="U532" s="3"/>
      <c r="V532" s="4"/>
      <c r="W532" s="3"/>
      <c r="X532" s="4"/>
      <c r="Y532" s="3"/>
      <c r="Z532" s="4"/>
      <c r="AA532" s="3"/>
      <c r="AB532" s="4"/>
      <c r="AC532" s="3"/>
      <c r="AD532" s="4"/>
      <c r="AE532" s="3"/>
      <c r="AF532" s="4"/>
      <c r="AG532" s="3"/>
      <c r="AH532" s="4"/>
      <c r="AI532" s="3"/>
      <c r="AJ532" s="4"/>
      <c r="AK532" s="3"/>
      <c r="AL532" s="4"/>
      <c r="AM532" s="3"/>
      <c r="AN532" s="4"/>
      <c r="AO532" s="3"/>
      <c r="AP532" s="4"/>
      <c r="AQ532" s="3"/>
      <c r="AR532" s="4"/>
      <c r="AS532" s="3"/>
      <c r="AT532" s="4"/>
      <c r="AU532" s="3"/>
      <c r="AV532" s="4"/>
      <c r="AW532" s="3"/>
      <c r="AX532" s="4"/>
      <c r="AY532" s="3"/>
      <c r="AZ532" s="4"/>
      <c r="BA532" s="3"/>
      <c r="BB532" s="4"/>
      <c r="BC532" s="3"/>
      <c r="BD532" s="4"/>
      <c r="BE532" s="3"/>
      <c r="BF532" s="4"/>
      <c r="BG532" s="3"/>
      <c r="BH532" s="4"/>
      <c r="BI532" s="3"/>
      <c r="BJ532" s="4"/>
      <c r="BK532" s="3"/>
      <c r="BL532" s="4"/>
      <c r="BM532" s="3"/>
      <c r="BN532" s="4"/>
      <c r="BO532" s="3"/>
      <c r="BP532" s="4"/>
      <c r="BQ532" s="3"/>
      <c r="BR532" s="4"/>
      <c r="BS532" s="3"/>
      <c r="BT532" s="4"/>
      <c r="BU532" s="3"/>
      <c r="BV532" s="4"/>
      <c r="BW532" s="3"/>
      <c r="BX532" s="4"/>
      <c r="BY532" s="3"/>
      <c r="BZ532" s="4"/>
      <c r="CA532" s="3"/>
      <c r="CB532" s="4"/>
      <c r="CC532" s="3"/>
      <c r="CD532" s="4"/>
    </row>
    <row r="533">
      <c r="A533" s="3"/>
      <c r="B533" s="4"/>
      <c r="C533" s="3"/>
      <c r="D533" s="4"/>
      <c r="E533" s="3"/>
      <c r="F533" s="4"/>
      <c r="G533" s="3"/>
      <c r="H533" s="4"/>
      <c r="I533" s="3"/>
      <c r="J533" s="4"/>
      <c r="K533" s="3"/>
      <c r="L533" s="4"/>
      <c r="M533" s="3"/>
      <c r="N533" s="4"/>
      <c r="O533" s="3"/>
      <c r="P533" s="4"/>
      <c r="Q533" s="3"/>
      <c r="R533" s="4"/>
      <c r="S533" s="3"/>
      <c r="T533" s="4"/>
      <c r="U533" s="3"/>
      <c r="V533" s="4"/>
      <c r="W533" s="3"/>
      <c r="X533" s="4"/>
      <c r="Y533" s="3"/>
      <c r="Z533" s="4"/>
      <c r="AA533" s="3"/>
      <c r="AB533" s="4"/>
      <c r="AC533" s="3"/>
      <c r="AD533" s="4"/>
      <c r="AE533" s="3"/>
      <c r="AF533" s="4"/>
      <c r="AG533" s="3"/>
      <c r="AH533" s="4"/>
      <c r="AI533" s="3"/>
      <c r="AJ533" s="4"/>
      <c r="AK533" s="3"/>
      <c r="AL533" s="4"/>
      <c r="AM533" s="3"/>
      <c r="AN533" s="4"/>
      <c r="AO533" s="3"/>
      <c r="AP533" s="4"/>
      <c r="AQ533" s="3"/>
      <c r="AR533" s="4"/>
      <c r="AS533" s="3"/>
      <c r="AT533" s="4"/>
      <c r="AU533" s="3"/>
      <c r="AV533" s="4"/>
      <c r="AW533" s="3"/>
      <c r="AX533" s="4"/>
      <c r="AY533" s="3"/>
      <c r="AZ533" s="4"/>
      <c r="BA533" s="3"/>
      <c r="BB533" s="4"/>
      <c r="BC533" s="3"/>
      <c r="BD533" s="4"/>
      <c r="BE533" s="3"/>
      <c r="BF533" s="4"/>
      <c r="BG533" s="3"/>
      <c r="BH533" s="4"/>
      <c r="BI533" s="3"/>
      <c r="BJ533" s="4"/>
      <c r="BK533" s="3"/>
      <c r="BL533" s="4"/>
      <c r="BM533" s="3"/>
      <c r="BN533" s="4"/>
      <c r="BO533" s="3"/>
      <c r="BP533" s="4"/>
      <c r="BQ533" s="3"/>
      <c r="BR533" s="4"/>
      <c r="BS533" s="3"/>
      <c r="BT533" s="4"/>
      <c r="BU533" s="3"/>
      <c r="BV533" s="4"/>
      <c r="BW533" s="3"/>
      <c r="BX533" s="4"/>
      <c r="BY533" s="3"/>
      <c r="BZ533" s="4"/>
      <c r="CA533" s="3"/>
      <c r="CB533" s="4"/>
      <c r="CC533" s="3"/>
      <c r="CD533" s="4"/>
    </row>
    <row r="534">
      <c r="A534" s="3"/>
      <c r="B534" s="4"/>
      <c r="C534" s="3"/>
      <c r="D534" s="4"/>
      <c r="E534" s="3"/>
      <c r="F534" s="4"/>
      <c r="G534" s="3"/>
      <c r="H534" s="4"/>
      <c r="I534" s="3"/>
      <c r="J534" s="4"/>
      <c r="K534" s="3"/>
      <c r="L534" s="4"/>
      <c r="M534" s="3"/>
      <c r="N534" s="4"/>
      <c r="O534" s="3"/>
      <c r="P534" s="4"/>
      <c r="Q534" s="3"/>
      <c r="R534" s="4"/>
      <c r="S534" s="3"/>
      <c r="T534" s="4"/>
      <c r="U534" s="3"/>
      <c r="V534" s="4"/>
      <c r="W534" s="3"/>
      <c r="X534" s="4"/>
      <c r="Y534" s="3"/>
      <c r="Z534" s="4"/>
      <c r="AA534" s="3"/>
      <c r="AB534" s="4"/>
      <c r="AC534" s="3"/>
      <c r="AD534" s="4"/>
      <c r="AE534" s="3"/>
      <c r="AF534" s="4"/>
      <c r="AG534" s="3"/>
      <c r="AH534" s="4"/>
      <c r="AI534" s="3"/>
      <c r="AJ534" s="4"/>
      <c r="AK534" s="3"/>
      <c r="AL534" s="4"/>
      <c r="AM534" s="3"/>
      <c r="AN534" s="4"/>
      <c r="AO534" s="3"/>
      <c r="AP534" s="4"/>
      <c r="AQ534" s="3"/>
      <c r="AR534" s="4"/>
      <c r="AS534" s="3"/>
      <c r="AT534" s="4"/>
      <c r="AU534" s="3"/>
      <c r="AV534" s="4"/>
      <c r="AW534" s="3"/>
      <c r="AX534" s="4"/>
      <c r="AY534" s="3"/>
      <c r="AZ534" s="4"/>
      <c r="BA534" s="3"/>
      <c r="BB534" s="4"/>
      <c r="BC534" s="3"/>
      <c r="BD534" s="4"/>
      <c r="BE534" s="3"/>
      <c r="BF534" s="4"/>
      <c r="BG534" s="3"/>
      <c r="BH534" s="4"/>
      <c r="BI534" s="3"/>
      <c r="BJ534" s="4"/>
      <c r="BK534" s="3"/>
      <c r="BL534" s="4"/>
      <c r="BM534" s="3"/>
      <c r="BN534" s="4"/>
      <c r="BO534" s="3"/>
      <c r="BP534" s="4"/>
      <c r="BQ534" s="3"/>
      <c r="BR534" s="4"/>
      <c r="BS534" s="3"/>
      <c r="BT534" s="4"/>
      <c r="BU534" s="3"/>
      <c r="BV534" s="4"/>
      <c r="BW534" s="3"/>
      <c r="BX534" s="4"/>
      <c r="BY534" s="3"/>
      <c r="BZ534" s="4"/>
      <c r="CA534" s="3"/>
      <c r="CB534" s="4"/>
      <c r="CC534" s="3"/>
      <c r="CD534" s="4"/>
    </row>
    <row r="535">
      <c r="A535" s="3"/>
      <c r="B535" s="4"/>
      <c r="C535" s="3"/>
      <c r="D535" s="4"/>
      <c r="E535" s="3"/>
      <c r="F535" s="4"/>
      <c r="G535" s="3"/>
      <c r="H535" s="4"/>
      <c r="I535" s="3"/>
      <c r="J535" s="4"/>
      <c r="K535" s="3"/>
      <c r="L535" s="4"/>
      <c r="M535" s="3"/>
      <c r="N535" s="4"/>
      <c r="O535" s="3"/>
      <c r="P535" s="4"/>
      <c r="Q535" s="3"/>
      <c r="R535" s="4"/>
      <c r="S535" s="3"/>
      <c r="T535" s="4"/>
      <c r="U535" s="3"/>
      <c r="V535" s="4"/>
      <c r="W535" s="3"/>
      <c r="X535" s="4"/>
      <c r="Y535" s="3"/>
      <c r="Z535" s="4"/>
      <c r="AA535" s="3"/>
      <c r="AB535" s="4"/>
      <c r="AC535" s="3"/>
      <c r="AD535" s="4"/>
      <c r="AE535" s="3"/>
      <c r="AF535" s="4"/>
      <c r="AG535" s="3"/>
      <c r="AH535" s="4"/>
      <c r="AI535" s="3"/>
      <c r="AJ535" s="4"/>
      <c r="AK535" s="3"/>
      <c r="AL535" s="4"/>
      <c r="AM535" s="3"/>
      <c r="AN535" s="4"/>
      <c r="AO535" s="3"/>
      <c r="AP535" s="4"/>
      <c r="AQ535" s="3"/>
      <c r="AR535" s="4"/>
      <c r="AS535" s="3"/>
      <c r="AT535" s="4"/>
      <c r="AU535" s="3"/>
      <c r="AV535" s="4"/>
      <c r="AW535" s="3"/>
      <c r="AX535" s="4"/>
      <c r="AY535" s="3"/>
      <c r="AZ535" s="4"/>
      <c r="BA535" s="3"/>
      <c r="BB535" s="4"/>
      <c r="BC535" s="3"/>
      <c r="BD535" s="4"/>
      <c r="BE535" s="3"/>
      <c r="BF535" s="4"/>
      <c r="BG535" s="3"/>
      <c r="BH535" s="4"/>
      <c r="BI535" s="3"/>
      <c r="BJ535" s="4"/>
      <c r="BK535" s="3"/>
      <c r="BL535" s="4"/>
      <c r="BM535" s="3"/>
      <c r="BN535" s="4"/>
      <c r="BO535" s="3"/>
      <c r="BP535" s="4"/>
      <c r="BQ535" s="3"/>
      <c r="BR535" s="4"/>
      <c r="BS535" s="3"/>
      <c r="BT535" s="4"/>
      <c r="BU535" s="3"/>
      <c r="BV535" s="4"/>
      <c r="BW535" s="3"/>
      <c r="BX535" s="4"/>
      <c r="BY535" s="3"/>
      <c r="BZ535" s="4"/>
      <c r="CA535" s="3"/>
      <c r="CB535" s="4"/>
      <c r="CC535" s="3"/>
      <c r="CD535" s="4"/>
    </row>
    <row r="536">
      <c r="A536" s="3"/>
      <c r="B536" s="4"/>
      <c r="C536" s="3"/>
      <c r="D536" s="4"/>
      <c r="E536" s="3"/>
      <c r="F536" s="4"/>
      <c r="G536" s="3"/>
      <c r="H536" s="4"/>
      <c r="I536" s="3"/>
      <c r="J536" s="4"/>
      <c r="K536" s="3"/>
      <c r="L536" s="4"/>
      <c r="M536" s="3"/>
      <c r="N536" s="4"/>
      <c r="O536" s="3"/>
      <c r="P536" s="4"/>
      <c r="Q536" s="3"/>
      <c r="R536" s="4"/>
      <c r="S536" s="3"/>
      <c r="T536" s="4"/>
      <c r="U536" s="3"/>
      <c r="V536" s="4"/>
      <c r="W536" s="3"/>
      <c r="X536" s="4"/>
      <c r="Y536" s="3"/>
      <c r="Z536" s="4"/>
      <c r="AA536" s="3"/>
      <c r="AB536" s="4"/>
      <c r="AC536" s="3"/>
      <c r="AD536" s="4"/>
      <c r="AE536" s="3"/>
      <c r="AF536" s="4"/>
      <c r="AG536" s="3"/>
      <c r="AH536" s="4"/>
      <c r="AI536" s="3"/>
      <c r="AJ536" s="4"/>
      <c r="AK536" s="3"/>
      <c r="AL536" s="4"/>
      <c r="AM536" s="3"/>
      <c r="AN536" s="4"/>
      <c r="AO536" s="3"/>
      <c r="AP536" s="4"/>
      <c r="AQ536" s="3"/>
      <c r="AR536" s="4"/>
      <c r="AS536" s="3"/>
      <c r="AT536" s="4"/>
      <c r="AU536" s="3"/>
      <c r="AV536" s="4"/>
      <c r="AW536" s="3"/>
      <c r="AX536" s="4"/>
      <c r="AY536" s="3"/>
      <c r="AZ536" s="4"/>
      <c r="BA536" s="3"/>
      <c r="BB536" s="4"/>
      <c r="BC536" s="3"/>
      <c r="BD536" s="4"/>
      <c r="BE536" s="3"/>
      <c r="BF536" s="4"/>
      <c r="BG536" s="3"/>
      <c r="BH536" s="4"/>
      <c r="BI536" s="3"/>
      <c r="BJ536" s="4"/>
      <c r="BK536" s="3"/>
      <c r="BL536" s="4"/>
      <c r="BM536" s="3"/>
      <c r="BN536" s="4"/>
      <c r="BO536" s="3"/>
      <c r="BP536" s="4"/>
      <c r="BQ536" s="3"/>
      <c r="BR536" s="4"/>
      <c r="BS536" s="3"/>
      <c r="BT536" s="4"/>
      <c r="BU536" s="3"/>
      <c r="BV536" s="4"/>
      <c r="BW536" s="3"/>
      <c r="BX536" s="4"/>
      <c r="BY536" s="3"/>
      <c r="BZ536" s="4"/>
      <c r="CA536" s="3"/>
      <c r="CB536" s="4"/>
      <c r="CC536" s="3"/>
      <c r="CD536" s="4"/>
    </row>
    <row r="537">
      <c r="A537" s="3"/>
      <c r="B537" s="4"/>
      <c r="C537" s="3"/>
      <c r="D537" s="4"/>
      <c r="E537" s="3"/>
      <c r="F537" s="4"/>
      <c r="G537" s="3"/>
      <c r="H537" s="4"/>
      <c r="I537" s="3"/>
      <c r="J537" s="4"/>
      <c r="K537" s="3"/>
      <c r="L537" s="4"/>
      <c r="M537" s="3"/>
      <c r="N537" s="4"/>
      <c r="O537" s="3"/>
      <c r="P537" s="4"/>
      <c r="Q537" s="3"/>
      <c r="R537" s="4"/>
      <c r="S537" s="3"/>
      <c r="T537" s="4"/>
      <c r="U537" s="3"/>
      <c r="V537" s="4"/>
      <c r="W537" s="3"/>
      <c r="X537" s="4"/>
      <c r="Y537" s="3"/>
      <c r="Z537" s="4"/>
      <c r="AA537" s="3"/>
      <c r="AB537" s="4"/>
      <c r="AC537" s="3"/>
      <c r="AD537" s="4"/>
      <c r="AE537" s="3"/>
      <c r="AF537" s="4"/>
      <c r="AG537" s="3"/>
      <c r="AH537" s="4"/>
      <c r="AI537" s="3"/>
      <c r="AJ537" s="4"/>
      <c r="AK537" s="3"/>
      <c r="AL537" s="4"/>
      <c r="AM537" s="3"/>
      <c r="AN537" s="4"/>
      <c r="AO537" s="3"/>
      <c r="AP537" s="4"/>
      <c r="AQ537" s="3"/>
      <c r="AR537" s="4"/>
      <c r="AS537" s="3"/>
      <c r="AT537" s="4"/>
      <c r="AU537" s="3"/>
      <c r="AV537" s="4"/>
      <c r="AW537" s="3"/>
      <c r="AX537" s="4"/>
      <c r="AY537" s="3"/>
      <c r="AZ537" s="4"/>
      <c r="BA537" s="3"/>
      <c r="BB537" s="4"/>
      <c r="BC537" s="3"/>
      <c r="BD537" s="4"/>
      <c r="BE537" s="3"/>
      <c r="BF537" s="4"/>
      <c r="BG537" s="3"/>
      <c r="BH537" s="4"/>
      <c r="BI537" s="3"/>
      <c r="BJ537" s="4"/>
      <c r="BK537" s="3"/>
      <c r="BL537" s="4"/>
      <c r="BM537" s="3"/>
      <c r="BN537" s="4"/>
      <c r="BO537" s="3"/>
      <c r="BP537" s="4"/>
      <c r="BQ537" s="3"/>
      <c r="BR537" s="4"/>
      <c r="BS537" s="3"/>
      <c r="BT537" s="4"/>
      <c r="BU537" s="3"/>
      <c r="BV537" s="4"/>
      <c r="BW537" s="3"/>
      <c r="BX537" s="4"/>
      <c r="BY537" s="3"/>
      <c r="BZ537" s="4"/>
      <c r="CA537" s="3"/>
      <c r="CB537" s="4"/>
      <c r="CC537" s="3"/>
      <c r="CD537" s="4"/>
    </row>
    <row r="538">
      <c r="A538" s="3"/>
      <c r="B538" s="4"/>
      <c r="C538" s="3"/>
      <c r="D538" s="4"/>
      <c r="E538" s="3"/>
      <c r="F538" s="4"/>
      <c r="G538" s="3"/>
      <c r="H538" s="4"/>
      <c r="I538" s="3"/>
      <c r="J538" s="4"/>
      <c r="K538" s="3"/>
      <c r="L538" s="4"/>
      <c r="M538" s="3"/>
      <c r="N538" s="4"/>
      <c r="O538" s="3"/>
      <c r="P538" s="4"/>
      <c r="Q538" s="3"/>
      <c r="R538" s="4"/>
      <c r="S538" s="3"/>
      <c r="T538" s="4"/>
      <c r="U538" s="3"/>
      <c r="V538" s="4"/>
      <c r="W538" s="3"/>
      <c r="X538" s="4"/>
      <c r="Y538" s="3"/>
      <c r="Z538" s="4"/>
      <c r="AA538" s="3"/>
      <c r="AB538" s="4"/>
      <c r="AC538" s="3"/>
      <c r="AD538" s="4"/>
      <c r="AE538" s="3"/>
      <c r="AF538" s="4"/>
      <c r="AG538" s="3"/>
      <c r="AH538" s="4"/>
      <c r="AI538" s="3"/>
      <c r="AJ538" s="4"/>
      <c r="AK538" s="3"/>
      <c r="AL538" s="4"/>
      <c r="AM538" s="3"/>
      <c r="AN538" s="4"/>
      <c r="AO538" s="3"/>
      <c r="AP538" s="4"/>
      <c r="AQ538" s="3"/>
      <c r="AR538" s="4"/>
      <c r="AS538" s="3"/>
      <c r="AT538" s="4"/>
      <c r="AU538" s="3"/>
      <c r="AV538" s="4"/>
      <c r="AW538" s="3"/>
      <c r="AX538" s="4"/>
      <c r="AY538" s="3"/>
      <c r="AZ538" s="4"/>
      <c r="BA538" s="3"/>
      <c r="BB538" s="4"/>
      <c r="BC538" s="3"/>
      <c r="BD538" s="4"/>
      <c r="BE538" s="3"/>
      <c r="BF538" s="4"/>
      <c r="BG538" s="3"/>
      <c r="BH538" s="4"/>
      <c r="BI538" s="3"/>
      <c r="BJ538" s="4"/>
      <c r="BK538" s="3"/>
      <c r="BL538" s="4"/>
      <c r="BM538" s="3"/>
      <c r="BN538" s="4"/>
      <c r="BO538" s="3"/>
      <c r="BP538" s="4"/>
      <c r="BQ538" s="3"/>
      <c r="BR538" s="4"/>
      <c r="BS538" s="3"/>
      <c r="BT538" s="4"/>
      <c r="BU538" s="3"/>
      <c r="BV538" s="4"/>
      <c r="BW538" s="3"/>
      <c r="BX538" s="4"/>
      <c r="BY538" s="3"/>
      <c r="BZ538" s="4"/>
      <c r="CA538" s="3"/>
      <c r="CB538" s="4"/>
      <c r="CC538" s="3"/>
      <c r="CD538" s="4"/>
    </row>
    <row r="539">
      <c r="A539" s="3"/>
      <c r="B539" s="4"/>
      <c r="C539" s="3"/>
      <c r="D539" s="4"/>
      <c r="E539" s="3"/>
      <c r="F539" s="4"/>
      <c r="G539" s="3"/>
      <c r="H539" s="4"/>
      <c r="I539" s="3"/>
      <c r="J539" s="4"/>
      <c r="K539" s="3"/>
      <c r="L539" s="4"/>
      <c r="M539" s="3"/>
      <c r="N539" s="4"/>
      <c r="O539" s="3"/>
      <c r="P539" s="4"/>
      <c r="Q539" s="3"/>
      <c r="R539" s="4"/>
      <c r="S539" s="3"/>
      <c r="T539" s="4"/>
      <c r="U539" s="3"/>
      <c r="V539" s="4"/>
      <c r="W539" s="3"/>
      <c r="X539" s="4"/>
      <c r="Y539" s="3"/>
      <c r="Z539" s="4"/>
      <c r="AA539" s="3"/>
      <c r="AB539" s="4"/>
      <c r="AC539" s="3"/>
      <c r="AD539" s="4"/>
      <c r="AE539" s="3"/>
      <c r="AF539" s="4"/>
      <c r="AG539" s="3"/>
      <c r="AH539" s="4"/>
      <c r="AI539" s="3"/>
      <c r="AJ539" s="4"/>
      <c r="AK539" s="3"/>
      <c r="AL539" s="4"/>
      <c r="AM539" s="3"/>
      <c r="AN539" s="4"/>
      <c r="AO539" s="3"/>
      <c r="AP539" s="4"/>
      <c r="AQ539" s="3"/>
      <c r="AR539" s="4"/>
      <c r="AS539" s="3"/>
      <c r="AT539" s="4"/>
      <c r="AU539" s="3"/>
      <c r="AV539" s="4"/>
      <c r="AW539" s="3"/>
      <c r="AX539" s="4"/>
      <c r="AY539" s="3"/>
      <c r="AZ539" s="4"/>
      <c r="BA539" s="3"/>
      <c r="BB539" s="4"/>
      <c r="BC539" s="3"/>
      <c r="BD539" s="4"/>
      <c r="BE539" s="3"/>
      <c r="BF539" s="4"/>
      <c r="BG539" s="3"/>
      <c r="BH539" s="4"/>
      <c r="BI539" s="3"/>
      <c r="BJ539" s="4"/>
      <c r="BK539" s="3"/>
      <c r="BL539" s="4"/>
      <c r="BM539" s="3"/>
      <c r="BN539" s="4"/>
      <c r="BO539" s="3"/>
      <c r="BP539" s="4"/>
      <c r="BQ539" s="3"/>
      <c r="BR539" s="4"/>
      <c r="BS539" s="3"/>
      <c r="BT539" s="4"/>
      <c r="BU539" s="3"/>
      <c r="BV539" s="4"/>
      <c r="BW539" s="3"/>
      <c r="BX539" s="4"/>
      <c r="BY539" s="3"/>
      <c r="BZ539" s="4"/>
      <c r="CA539" s="3"/>
      <c r="CB539" s="4"/>
      <c r="CC539" s="3"/>
      <c r="CD539" s="4"/>
    </row>
    <row r="540">
      <c r="A540" s="3"/>
      <c r="B540" s="4"/>
      <c r="C540" s="3"/>
      <c r="D540" s="4"/>
      <c r="E540" s="3"/>
      <c r="F540" s="4"/>
      <c r="G540" s="3"/>
      <c r="H540" s="4"/>
      <c r="I540" s="3"/>
      <c r="J540" s="4"/>
      <c r="K540" s="3"/>
      <c r="L540" s="4"/>
      <c r="M540" s="3"/>
      <c r="N540" s="4"/>
      <c r="O540" s="3"/>
      <c r="P540" s="4"/>
      <c r="Q540" s="3"/>
      <c r="R540" s="4"/>
      <c r="S540" s="3"/>
      <c r="T540" s="4"/>
      <c r="U540" s="3"/>
      <c r="V540" s="4"/>
      <c r="W540" s="3"/>
      <c r="X540" s="4"/>
      <c r="Y540" s="3"/>
      <c r="Z540" s="4"/>
      <c r="AA540" s="3"/>
      <c r="AB540" s="4"/>
      <c r="AC540" s="3"/>
      <c r="AD540" s="4"/>
      <c r="AE540" s="3"/>
      <c r="AF540" s="4"/>
      <c r="AG540" s="3"/>
      <c r="AH540" s="4"/>
      <c r="AI540" s="3"/>
      <c r="AJ540" s="4"/>
      <c r="AK540" s="3"/>
      <c r="AL540" s="4"/>
      <c r="AM540" s="3"/>
      <c r="AN540" s="4"/>
      <c r="AO540" s="3"/>
      <c r="AP540" s="4"/>
      <c r="AQ540" s="3"/>
      <c r="AR540" s="4"/>
      <c r="AS540" s="3"/>
      <c r="AT540" s="4"/>
      <c r="AU540" s="3"/>
      <c r="AV540" s="4"/>
      <c r="AW540" s="3"/>
      <c r="AX540" s="4"/>
      <c r="AY540" s="3"/>
      <c r="AZ540" s="4"/>
      <c r="BA540" s="3"/>
      <c r="BB540" s="4"/>
      <c r="BC540" s="3"/>
      <c r="BD540" s="4"/>
      <c r="BE540" s="3"/>
      <c r="BF540" s="4"/>
      <c r="BG540" s="3"/>
      <c r="BH540" s="4"/>
      <c r="BI540" s="3"/>
      <c r="BJ540" s="4"/>
      <c r="BK540" s="3"/>
      <c r="BL540" s="4"/>
      <c r="BM540" s="3"/>
      <c r="BN540" s="4"/>
      <c r="BO540" s="3"/>
      <c r="BP540" s="4"/>
      <c r="BQ540" s="3"/>
      <c r="BR540" s="4"/>
      <c r="BS540" s="3"/>
      <c r="BT540" s="4"/>
      <c r="BU540" s="3"/>
      <c r="BV540" s="4"/>
      <c r="BW540" s="3"/>
      <c r="BX540" s="4"/>
      <c r="BY540" s="3"/>
      <c r="BZ540" s="4"/>
      <c r="CA540" s="3"/>
      <c r="CB540" s="4"/>
      <c r="CC540" s="3"/>
      <c r="CD540" s="4"/>
    </row>
    <row r="541">
      <c r="A541" s="3"/>
      <c r="B541" s="4"/>
      <c r="C541" s="3"/>
      <c r="D541" s="4"/>
      <c r="E541" s="3"/>
      <c r="F541" s="4"/>
      <c r="G541" s="3"/>
      <c r="H541" s="4"/>
      <c r="I541" s="3"/>
      <c r="J541" s="4"/>
      <c r="K541" s="3"/>
      <c r="L541" s="4"/>
      <c r="M541" s="3"/>
      <c r="N541" s="4"/>
      <c r="O541" s="3"/>
      <c r="P541" s="4"/>
      <c r="Q541" s="3"/>
      <c r="R541" s="4"/>
      <c r="S541" s="3"/>
      <c r="T541" s="4"/>
      <c r="U541" s="3"/>
      <c r="V541" s="4"/>
      <c r="W541" s="3"/>
      <c r="X541" s="4"/>
      <c r="Y541" s="3"/>
      <c r="Z541" s="4"/>
      <c r="AA541" s="3"/>
      <c r="AB541" s="4"/>
      <c r="AC541" s="3"/>
      <c r="AD541" s="4"/>
      <c r="AE541" s="3"/>
      <c r="AF541" s="4"/>
      <c r="AG541" s="3"/>
      <c r="AH541" s="4"/>
      <c r="AI541" s="3"/>
      <c r="AJ541" s="4"/>
      <c r="AK541" s="3"/>
      <c r="AL541" s="4"/>
      <c r="AM541" s="3"/>
      <c r="AN541" s="4"/>
      <c r="AO541" s="3"/>
      <c r="AP541" s="4"/>
      <c r="AQ541" s="3"/>
      <c r="AR541" s="4"/>
      <c r="AS541" s="3"/>
      <c r="AT541" s="4"/>
      <c r="AU541" s="3"/>
      <c r="AV541" s="4"/>
      <c r="AW541" s="3"/>
      <c r="AX541" s="4"/>
      <c r="AY541" s="3"/>
      <c r="AZ541" s="4"/>
      <c r="BA541" s="3"/>
      <c r="BB541" s="4"/>
      <c r="BC541" s="3"/>
      <c r="BD541" s="4"/>
      <c r="BE541" s="3"/>
      <c r="BF541" s="4"/>
      <c r="BG541" s="3"/>
      <c r="BH541" s="4"/>
      <c r="BI541" s="3"/>
      <c r="BJ541" s="4"/>
      <c r="BK541" s="3"/>
      <c r="BL541" s="4"/>
      <c r="BM541" s="3"/>
      <c r="BN541" s="4"/>
      <c r="BO541" s="3"/>
      <c r="BP541" s="4"/>
      <c r="BQ541" s="3"/>
      <c r="BR541" s="4"/>
      <c r="BS541" s="3"/>
      <c r="BT541" s="4"/>
      <c r="BU541" s="3"/>
      <c r="BV541" s="4"/>
      <c r="BW541" s="3"/>
      <c r="BX541" s="4"/>
      <c r="BY541" s="3"/>
      <c r="BZ541" s="4"/>
      <c r="CA541" s="3"/>
      <c r="CB541" s="4"/>
      <c r="CC541" s="3"/>
      <c r="CD541" s="4"/>
    </row>
    <row r="542">
      <c r="A542" s="3"/>
      <c r="B542" s="4"/>
      <c r="C542" s="3"/>
      <c r="D542" s="4"/>
      <c r="E542" s="3"/>
      <c r="F542" s="4"/>
      <c r="G542" s="3"/>
      <c r="H542" s="4"/>
      <c r="I542" s="3"/>
      <c r="J542" s="4"/>
      <c r="K542" s="3"/>
      <c r="L542" s="4"/>
      <c r="M542" s="3"/>
      <c r="N542" s="4"/>
      <c r="O542" s="3"/>
      <c r="P542" s="4"/>
      <c r="Q542" s="3"/>
      <c r="R542" s="4"/>
      <c r="S542" s="3"/>
      <c r="T542" s="4"/>
      <c r="U542" s="3"/>
      <c r="V542" s="4"/>
      <c r="W542" s="3"/>
      <c r="X542" s="4"/>
      <c r="Y542" s="3"/>
      <c r="Z542" s="4"/>
      <c r="AA542" s="3"/>
      <c r="AB542" s="4"/>
      <c r="AC542" s="3"/>
      <c r="AD542" s="4"/>
      <c r="AE542" s="3"/>
      <c r="AF542" s="4"/>
      <c r="AG542" s="3"/>
      <c r="AH542" s="4"/>
      <c r="AI542" s="3"/>
      <c r="AJ542" s="4"/>
      <c r="AK542" s="3"/>
      <c r="AL542" s="4"/>
      <c r="AM542" s="3"/>
      <c r="AN542" s="4"/>
      <c r="AO542" s="3"/>
      <c r="AP542" s="4"/>
      <c r="AQ542" s="3"/>
      <c r="AR542" s="4"/>
      <c r="AS542" s="3"/>
      <c r="AT542" s="4"/>
      <c r="AU542" s="3"/>
      <c r="AV542" s="4"/>
      <c r="AW542" s="3"/>
      <c r="AX542" s="4"/>
      <c r="AY542" s="3"/>
      <c r="AZ542" s="4"/>
      <c r="BA542" s="3"/>
      <c r="BB542" s="4"/>
      <c r="BC542" s="3"/>
      <c r="BD542" s="4"/>
      <c r="BE542" s="3"/>
      <c r="BF542" s="4"/>
      <c r="BG542" s="3"/>
      <c r="BH542" s="4"/>
      <c r="BI542" s="3"/>
      <c r="BJ542" s="4"/>
      <c r="BK542" s="3"/>
      <c r="BL542" s="4"/>
      <c r="BM542" s="3"/>
      <c r="BN542" s="4"/>
      <c r="BO542" s="3"/>
      <c r="BP542" s="4"/>
      <c r="BQ542" s="3"/>
      <c r="BR542" s="4"/>
      <c r="BS542" s="3"/>
      <c r="BT542" s="4"/>
      <c r="BU542" s="3"/>
      <c r="BV542" s="4"/>
      <c r="BW542" s="3"/>
      <c r="BX542" s="4"/>
      <c r="BY542" s="3"/>
      <c r="BZ542" s="4"/>
      <c r="CA542" s="3"/>
      <c r="CB542" s="4"/>
      <c r="CC542" s="3"/>
      <c r="CD542" s="4"/>
    </row>
    <row r="543">
      <c r="A543" s="3"/>
      <c r="B543" s="4"/>
      <c r="C543" s="3"/>
      <c r="D543" s="4"/>
      <c r="E543" s="3"/>
      <c r="F543" s="4"/>
      <c r="G543" s="3"/>
      <c r="H543" s="4"/>
      <c r="I543" s="3"/>
      <c r="J543" s="4"/>
      <c r="K543" s="3"/>
      <c r="L543" s="4"/>
      <c r="M543" s="3"/>
      <c r="N543" s="4"/>
      <c r="O543" s="3"/>
      <c r="P543" s="4"/>
      <c r="Q543" s="3"/>
      <c r="R543" s="4"/>
      <c r="S543" s="3"/>
      <c r="T543" s="4"/>
      <c r="U543" s="3"/>
      <c r="V543" s="4"/>
      <c r="W543" s="3"/>
      <c r="X543" s="4"/>
      <c r="Y543" s="3"/>
      <c r="Z543" s="4"/>
      <c r="AA543" s="3"/>
      <c r="AB543" s="4"/>
      <c r="AC543" s="3"/>
      <c r="AD543" s="4"/>
      <c r="AE543" s="3"/>
      <c r="AF543" s="4"/>
      <c r="AG543" s="3"/>
      <c r="AH543" s="4"/>
      <c r="AI543" s="3"/>
      <c r="AJ543" s="4"/>
      <c r="AK543" s="3"/>
      <c r="AL543" s="4"/>
      <c r="AM543" s="3"/>
      <c r="AN543" s="4"/>
      <c r="AO543" s="3"/>
      <c r="AP543" s="4"/>
      <c r="AQ543" s="3"/>
      <c r="AR543" s="4"/>
      <c r="AS543" s="3"/>
      <c r="AT543" s="4"/>
      <c r="AU543" s="3"/>
      <c r="AV543" s="4"/>
      <c r="AW543" s="3"/>
      <c r="AX543" s="4"/>
      <c r="AY543" s="3"/>
      <c r="AZ543" s="4"/>
      <c r="BA543" s="3"/>
      <c r="BB543" s="4"/>
      <c r="BC543" s="3"/>
      <c r="BD543" s="4"/>
      <c r="BE543" s="3"/>
      <c r="BF543" s="4"/>
      <c r="BG543" s="3"/>
      <c r="BH543" s="4"/>
      <c r="BI543" s="3"/>
      <c r="BJ543" s="4"/>
      <c r="BK543" s="3"/>
      <c r="BL543" s="4"/>
      <c r="BM543" s="3"/>
      <c r="BN543" s="4"/>
      <c r="BO543" s="3"/>
      <c r="BP543" s="4"/>
      <c r="BQ543" s="3"/>
      <c r="BR543" s="4"/>
      <c r="BS543" s="3"/>
      <c r="BT543" s="4"/>
      <c r="BU543" s="3"/>
      <c r="BV543" s="4"/>
      <c r="BW543" s="3"/>
      <c r="BX543" s="4"/>
      <c r="BY543" s="3"/>
      <c r="BZ543" s="4"/>
      <c r="CA543" s="3"/>
      <c r="CB543" s="4"/>
      <c r="CC543" s="3"/>
      <c r="CD543" s="4"/>
    </row>
    <row r="544">
      <c r="A544" s="3"/>
      <c r="B544" s="4"/>
      <c r="C544" s="3"/>
      <c r="D544" s="4"/>
      <c r="E544" s="3"/>
      <c r="F544" s="4"/>
      <c r="G544" s="3"/>
      <c r="H544" s="4"/>
      <c r="I544" s="3"/>
      <c r="J544" s="4"/>
      <c r="K544" s="3"/>
      <c r="L544" s="4"/>
      <c r="M544" s="3"/>
      <c r="N544" s="4"/>
      <c r="O544" s="3"/>
      <c r="P544" s="4"/>
      <c r="Q544" s="3"/>
      <c r="R544" s="4"/>
      <c r="S544" s="3"/>
      <c r="T544" s="4"/>
      <c r="U544" s="3"/>
      <c r="V544" s="4"/>
      <c r="W544" s="3"/>
      <c r="X544" s="4"/>
      <c r="Y544" s="3"/>
      <c r="Z544" s="4"/>
      <c r="AA544" s="3"/>
      <c r="AB544" s="4"/>
      <c r="AC544" s="3"/>
      <c r="AD544" s="4"/>
      <c r="AE544" s="3"/>
      <c r="AF544" s="4"/>
      <c r="AG544" s="3"/>
      <c r="AH544" s="4"/>
      <c r="AI544" s="3"/>
      <c r="AJ544" s="4"/>
      <c r="AK544" s="3"/>
      <c r="AL544" s="4"/>
      <c r="AM544" s="3"/>
      <c r="AN544" s="4"/>
      <c r="AO544" s="3"/>
      <c r="AP544" s="4"/>
      <c r="AQ544" s="3"/>
      <c r="AR544" s="4"/>
      <c r="AS544" s="3"/>
      <c r="AT544" s="4"/>
      <c r="AU544" s="3"/>
      <c r="AV544" s="4"/>
      <c r="AW544" s="3"/>
      <c r="AX544" s="4"/>
      <c r="AY544" s="3"/>
      <c r="AZ544" s="4"/>
      <c r="BA544" s="3"/>
      <c r="BB544" s="4"/>
      <c r="BC544" s="3"/>
      <c r="BD544" s="4"/>
      <c r="BE544" s="3"/>
      <c r="BF544" s="4"/>
      <c r="BG544" s="3"/>
      <c r="BH544" s="4"/>
      <c r="BI544" s="3"/>
      <c r="BJ544" s="4"/>
      <c r="BK544" s="3"/>
      <c r="BL544" s="4"/>
      <c r="BM544" s="3"/>
      <c r="BN544" s="4"/>
      <c r="BO544" s="3"/>
      <c r="BP544" s="4"/>
      <c r="BQ544" s="3"/>
      <c r="BR544" s="4"/>
      <c r="BS544" s="3"/>
      <c r="BT544" s="4"/>
      <c r="BU544" s="3"/>
      <c r="BV544" s="4"/>
      <c r="BW544" s="3"/>
      <c r="BX544" s="4"/>
      <c r="BY544" s="3"/>
      <c r="BZ544" s="4"/>
      <c r="CA544" s="3"/>
      <c r="CB544" s="4"/>
      <c r="CC544" s="3"/>
      <c r="CD544" s="4"/>
    </row>
    <row r="545">
      <c r="A545" s="3"/>
      <c r="B545" s="4"/>
      <c r="C545" s="3"/>
      <c r="D545" s="4"/>
      <c r="E545" s="3"/>
      <c r="F545" s="4"/>
      <c r="G545" s="3"/>
      <c r="H545" s="4"/>
      <c r="I545" s="3"/>
      <c r="J545" s="4"/>
      <c r="K545" s="3"/>
      <c r="L545" s="4"/>
      <c r="M545" s="3"/>
      <c r="N545" s="4"/>
      <c r="O545" s="3"/>
      <c r="P545" s="4"/>
      <c r="Q545" s="3"/>
      <c r="R545" s="4"/>
      <c r="S545" s="3"/>
      <c r="T545" s="4"/>
      <c r="U545" s="3"/>
      <c r="V545" s="4"/>
      <c r="W545" s="3"/>
      <c r="X545" s="4"/>
      <c r="Y545" s="3"/>
      <c r="Z545" s="4"/>
      <c r="AA545" s="3"/>
      <c r="AB545" s="4"/>
      <c r="AC545" s="3"/>
      <c r="AD545" s="4"/>
      <c r="AE545" s="3"/>
      <c r="AF545" s="4"/>
      <c r="AG545" s="3"/>
      <c r="AH545" s="4"/>
      <c r="AI545" s="3"/>
      <c r="AJ545" s="4"/>
      <c r="AK545" s="3"/>
      <c r="AL545" s="4"/>
      <c r="AM545" s="3"/>
      <c r="AN545" s="4"/>
      <c r="AO545" s="3"/>
      <c r="AP545" s="4"/>
      <c r="AQ545" s="3"/>
      <c r="AR545" s="4"/>
      <c r="AS545" s="3"/>
      <c r="AT545" s="4"/>
      <c r="AU545" s="3"/>
      <c r="AV545" s="4"/>
      <c r="AW545" s="3"/>
      <c r="AX545" s="4"/>
      <c r="AY545" s="3"/>
      <c r="AZ545" s="4"/>
      <c r="BA545" s="3"/>
      <c r="BB545" s="4"/>
      <c r="BC545" s="3"/>
      <c r="BD545" s="4"/>
      <c r="BE545" s="3"/>
      <c r="BF545" s="4"/>
      <c r="BG545" s="3"/>
      <c r="BH545" s="4"/>
      <c r="BI545" s="3"/>
      <c r="BJ545" s="4"/>
      <c r="BK545" s="3"/>
      <c r="BL545" s="4"/>
      <c r="BM545" s="3"/>
      <c r="BN545" s="4"/>
      <c r="BO545" s="3"/>
      <c r="BP545" s="4"/>
      <c r="BQ545" s="3"/>
      <c r="BR545" s="4"/>
      <c r="BS545" s="3"/>
      <c r="BT545" s="4"/>
      <c r="BU545" s="3"/>
      <c r="BV545" s="4"/>
      <c r="BW545" s="3"/>
      <c r="BX545" s="4"/>
      <c r="BY545" s="3"/>
      <c r="BZ545" s="4"/>
      <c r="CA545" s="3"/>
      <c r="CB545" s="4"/>
      <c r="CC545" s="3"/>
      <c r="CD545" s="4"/>
    </row>
    <row r="546">
      <c r="A546" s="3"/>
      <c r="B546" s="4"/>
      <c r="C546" s="3"/>
      <c r="D546" s="4"/>
      <c r="E546" s="3"/>
      <c r="F546" s="4"/>
      <c r="G546" s="3"/>
      <c r="H546" s="4"/>
      <c r="I546" s="3"/>
      <c r="J546" s="4"/>
      <c r="K546" s="3"/>
      <c r="L546" s="4"/>
      <c r="M546" s="3"/>
      <c r="N546" s="4"/>
      <c r="O546" s="3"/>
      <c r="P546" s="4"/>
      <c r="Q546" s="3"/>
      <c r="R546" s="4"/>
      <c r="S546" s="3"/>
      <c r="T546" s="4"/>
      <c r="U546" s="3"/>
      <c r="V546" s="4"/>
      <c r="W546" s="3"/>
      <c r="X546" s="4"/>
      <c r="Y546" s="3"/>
      <c r="Z546" s="4"/>
      <c r="AA546" s="3"/>
      <c r="AB546" s="4"/>
      <c r="AC546" s="3"/>
      <c r="AD546" s="4"/>
      <c r="AE546" s="3"/>
      <c r="AF546" s="4"/>
      <c r="AG546" s="3"/>
      <c r="AH546" s="4"/>
      <c r="AI546" s="3"/>
      <c r="AJ546" s="4"/>
      <c r="AK546" s="3"/>
      <c r="AL546" s="4"/>
      <c r="AM546" s="3"/>
      <c r="AN546" s="4"/>
      <c r="AO546" s="3"/>
      <c r="AP546" s="4"/>
      <c r="AQ546" s="3"/>
      <c r="AR546" s="4"/>
      <c r="AS546" s="3"/>
      <c r="AT546" s="4"/>
      <c r="AU546" s="3"/>
      <c r="AV546" s="4"/>
      <c r="AW546" s="3"/>
      <c r="AX546" s="4"/>
      <c r="AY546" s="3"/>
      <c r="AZ546" s="4"/>
      <c r="BA546" s="3"/>
      <c r="BB546" s="4"/>
      <c r="BC546" s="3"/>
      <c r="BD546" s="4"/>
      <c r="BE546" s="3"/>
      <c r="BF546" s="4"/>
      <c r="BG546" s="3"/>
      <c r="BH546" s="4"/>
      <c r="BI546" s="3"/>
      <c r="BJ546" s="4"/>
      <c r="BK546" s="3"/>
      <c r="BL546" s="4"/>
      <c r="BM546" s="3"/>
      <c r="BN546" s="4"/>
      <c r="BO546" s="3"/>
      <c r="BP546" s="4"/>
      <c r="BQ546" s="3"/>
      <c r="BR546" s="4"/>
      <c r="BS546" s="3"/>
      <c r="BT546" s="4"/>
      <c r="BU546" s="3"/>
      <c r="BV546" s="4"/>
      <c r="BW546" s="3"/>
      <c r="BX546" s="4"/>
      <c r="BY546" s="3"/>
      <c r="BZ546" s="4"/>
      <c r="CA546" s="3"/>
      <c r="CB546" s="4"/>
      <c r="CC546" s="3"/>
      <c r="CD546" s="4"/>
    </row>
    <row r="547">
      <c r="A547" s="3"/>
      <c r="B547" s="4"/>
      <c r="C547" s="3"/>
      <c r="D547" s="4"/>
      <c r="E547" s="3"/>
      <c r="F547" s="4"/>
      <c r="G547" s="3"/>
      <c r="H547" s="4"/>
      <c r="I547" s="3"/>
      <c r="J547" s="4"/>
      <c r="K547" s="3"/>
      <c r="L547" s="4"/>
      <c r="M547" s="3"/>
      <c r="N547" s="4"/>
      <c r="O547" s="3"/>
      <c r="P547" s="4"/>
      <c r="Q547" s="3"/>
      <c r="R547" s="4"/>
      <c r="S547" s="3"/>
      <c r="T547" s="4"/>
      <c r="U547" s="3"/>
      <c r="V547" s="4"/>
      <c r="W547" s="3"/>
      <c r="X547" s="4"/>
      <c r="Y547" s="3"/>
      <c r="Z547" s="4"/>
      <c r="AA547" s="3"/>
      <c r="AB547" s="4"/>
      <c r="AC547" s="3"/>
      <c r="AD547" s="4"/>
      <c r="AE547" s="3"/>
      <c r="AF547" s="4"/>
      <c r="AG547" s="3"/>
      <c r="AH547" s="4"/>
      <c r="AI547" s="3"/>
      <c r="AJ547" s="4"/>
      <c r="AK547" s="3"/>
      <c r="AL547" s="4"/>
      <c r="AM547" s="3"/>
      <c r="AN547" s="4"/>
      <c r="AO547" s="3"/>
      <c r="AP547" s="4"/>
      <c r="AQ547" s="3"/>
      <c r="AR547" s="4"/>
      <c r="AS547" s="3"/>
      <c r="AT547" s="4"/>
      <c r="AU547" s="3"/>
      <c r="AV547" s="4"/>
      <c r="AW547" s="3"/>
      <c r="AX547" s="4"/>
      <c r="AY547" s="3"/>
      <c r="AZ547" s="4"/>
      <c r="BA547" s="3"/>
      <c r="BB547" s="4"/>
      <c r="BC547" s="3"/>
      <c r="BD547" s="4"/>
      <c r="BE547" s="3"/>
      <c r="BF547" s="4"/>
      <c r="BG547" s="3"/>
      <c r="BH547" s="4"/>
      <c r="BI547" s="3"/>
      <c r="BJ547" s="4"/>
      <c r="BK547" s="3"/>
      <c r="BL547" s="4"/>
      <c r="BM547" s="3"/>
      <c r="BN547" s="4"/>
      <c r="BO547" s="3"/>
      <c r="BP547" s="4"/>
      <c r="BQ547" s="3"/>
      <c r="BR547" s="4"/>
      <c r="BS547" s="3"/>
      <c r="BT547" s="4"/>
      <c r="BU547" s="3"/>
      <c r="BV547" s="4"/>
      <c r="BW547" s="3"/>
      <c r="BX547" s="4"/>
      <c r="BY547" s="3"/>
      <c r="BZ547" s="4"/>
      <c r="CA547" s="3"/>
      <c r="CB547" s="4"/>
      <c r="CC547" s="3"/>
      <c r="CD547" s="4"/>
    </row>
    <row r="548">
      <c r="A548" s="3"/>
      <c r="B548" s="4"/>
      <c r="C548" s="3"/>
      <c r="D548" s="4"/>
      <c r="E548" s="3"/>
      <c r="F548" s="4"/>
      <c r="G548" s="3"/>
      <c r="H548" s="4"/>
      <c r="I548" s="3"/>
      <c r="J548" s="4"/>
      <c r="K548" s="3"/>
      <c r="L548" s="4"/>
      <c r="M548" s="3"/>
      <c r="N548" s="4"/>
      <c r="O548" s="3"/>
      <c r="P548" s="4"/>
      <c r="Q548" s="3"/>
      <c r="R548" s="4"/>
      <c r="S548" s="3"/>
      <c r="T548" s="4"/>
      <c r="U548" s="3"/>
      <c r="V548" s="4"/>
      <c r="W548" s="3"/>
      <c r="X548" s="4"/>
      <c r="Y548" s="3"/>
      <c r="Z548" s="4"/>
      <c r="AA548" s="3"/>
      <c r="AB548" s="4"/>
      <c r="AC548" s="3"/>
      <c r="AD548" s="4"/>
      <c r="AE548" s="3"/>
      <c r="AF548" s="4"/>
      <c r="AG548" s="3"/>
      <c r="AH548" s="4"/>
      <c r="AI548" s="3"/>
      <c r="AJ548" s="4"/>
      <c r="AK548" s="3"/>
      <c r="AL548" s="4"/>
      <c r="AM548" s="3"/>
      <c r="AN548" s="4"/>
      <c r="AO548" s="3"/>
      <c r="AP548" s="4"/>
      <c r="AQ548" s="3"/>
      <c r="AR548" s="4"/>
      <c r="AS548" s="3"/>
      <c r="AT548" s="4"/>
      <c r="AU548" s="3"/>
      <c r="AV548" s="4"/>
      <c r="AW548" s="3"/>
      <c r="AX548" s="4"/>
      <c r="AY548" s="3"/>
      <c r="AZ548" s="4"/>
      <c r="BA548" s="3"/>
      <c r="BB548" s="4"/>
      <c r="BC548" s="3"/>
      <c r="BD548" s="4"/>
      <c r="BE548" s="3"/>
      <c r="BF548" s="4"/>
      <c r="BG548" s="3"/>
      <c r="BH548" s="4"/>
      <c r="BI548" s="3"/>
      <c r="BJ548" s="4"/>
      <c r="BK548" s="3"/>
      <c r="BL548" s="4"/>
      <c r="BM548" s="3"/>
      <c r="BN548" s="4"/>
      <c r="BO548" s="3"/>
      <c r="BP548" s="4"/>
      <c r="BQ548" s="3"/>
      <c r="BR548" s="4"/>
      <c r="BS548" s="3"/>
      <c r="BT548" s="4"/>
      <c r="BU548" s="3"/>
      <c r="BV548" s="4"/>
      <c r="BW548" s="3"/>
      <c r="BX548" s="4"/>
      <c r="BY548" s="3"/>
      <c r="BZ548" s="4"/>
      <c r="CA548" s="3"/>
      <c r="CB548" s="4"/>
      <c r="CC548" s="3"/>
      <c r="CD548" s="4"/>
    </row>
    <row r="549">
      <c r="A549" s="3"/>
      <c r="B549" s="4"/>
      <c r="C549" s="3"/>
      <c r="D549" s="4"/>
      <c r="E549" s="3"/>
      <c r="F549" s="4"/>
      <c r="G549" s="3"/>
      <c r="H549" s="4"/>
      <c r="I549" s="3"/>
      <c r="J549" s="4"/>
      <c r="K549" s="3"/>
      <c r="L549" s="4"/>
      <c r="M549" s="3"/>
      <c r="N549" s="4"/>
      <c r="O549" s="3"/>
      <c r="P549" s="4"/>
      <c r="Q549" s="3"/>
      <c r="R549" s="4"/>
      <c r="S549" s="3"/>
      <c r="T549" s="4"/>
      <c r="U549" s="3"/>
      <c r="V549" s="4"/>
      <c r="W549" s="3"/>
      <c r="X549" s="4"/>
      <c r="Y549" s="3"/>
      <c r="Z549" s="4"/>
      <c r="AA549" s="3"/>
      <c r="AB549" s="4"/>
      <c r="AC549" s="3"/>
      <c r="AD549" s="4"/>
      <c r="AE549" s="3"/>
      <c r="AF549" s="4"/>
      <c r="AG549" s="3"/>
      <c r="AH549" s="4"/>
      <c r="AI549" s="3"/>
      <c r="AJ549" s="4"/>
      <c r="AK549" s="3"/>
      <c r="AL549" s="4"/>
      <c r="AM549" s="3"/>
      <c r="AN549" s="4"/>
      <c r="AO549" s="3"/>
      <c r="AP549" s="4"/>
      <c r="AQ549" s="3"/>
      <c r="AR549" s="4"/>
      <c r="AS549" s="3"/>
      <c r="AT549" s="4"/>
      <c r="AU549" s="3"/>
      <c r="AV549" s="4"/>
      <c r="AW549" s="3"/>
      <c r="AX549" s="4"/>
      <c r="AY549" s="3"/>
      <c r="AZ549" s="4"/>
      <c r="BA549" s="3"/>
      <c r="BB549" s="4"/>
      <c r="BC549" s="3"/>
      <c r="BD549" s="4"/>
      <c r="BE549" s="3"/>
      <c r="BF549" s="4"/>
      <c r="BG549" s="3"/>
      <c r="BH549" s="4"/>
      <c r="BI549" s="3"/>
      <c r="BJ549" s="4"/>
      <c r="BK549" s="3"/>
      <c r="BL549" s="4"/>
      <c r="BM549" s="3"/>
      <c r="BN549" s="4"/>
      <c r="BO549" s="3"/>
      <c r="BP549" s="4"/>
      <c r="BQ549" s="3"/>
      <c r="BR549" s="4"/>
      <c r="BS549" s="3"/>
      <c r="BT549" s="4"/>
      <c r="BU549" s="3"/>
      <c r="BV549" s="4"/>
      <c r="BW549" s="3"/>
      <c r="BX549" s="4"/>
      <c r="BY549" s="3"/>
      <c r="BZ549" s="4"/>
      <c r="CA549" s="3"/>
      <c r="CB549" s="4"/>
      <c r="CC549" s="3"/>
      <c r="CD549" s="4"/>
    </row>
    <row r="550">
      <c r="A550" s="3"/>
      <c r="B550" s="4"/>
      <c r="C550" s="3"/>
      <c r="D550" s="4"/>
      <c r="E550" s="3"/>
      <c r="F550" s="4"/>
      <c r="G550" s="3"/>
      <c r="H550" s="4"/>
      <c r="I550" s="3"/>
      <c r="J550" s="4"/>
      <c r="K550" s="3"/>
      <c r="L550" s="4"/>
      <c r="M550" s="3"/>
      <c r="N550" s="4"/>
      <c r="O550" s="3"/>
      <c r="P550" s="4"/>
      <c r="Q550" s="3"/>
      <c r="R550" s="4"/>
      <c r="S550" s="3"/>
      <c r="T550" s="4"/>
      <c r="U550" s="3"/>
      <c r="V550" s="4"/>
      <c r="W550" s="3"/>
      <c r="X550" s="4"/>
      <c r="Y550" s="3"/>
      <c r="Z550" s="4"/>
      <c r="AA550" s="3"/>
      <c r="AB550" s="4"/>
      <c r="AC550" s="3"/>
      <c r="AD550" s="4"/>
      <c r="AE550" s="3"/>
      <c r="AF550" s="4"/>
      <c r="AG550" s="3"/>
      <c r="AH550" s="4"/>
      <c r="AI550" s="3"/>
      <c r="AJ550" s="4"/>
      <c r="AK550" s="3"/>
      <c r="AL550" s="4"/>
      <c r="AM550" s="3"/>
      <c r="AN550" s="4"/>
      <c r="AO550" s="3"/>
      <c r="AP550" s="4"/>
      <c r="AQ550" s="3"/>
      <c r="AR550" s="4"/>
      <c r="AS550" s="3"/>
      <c r="AT550" s="4"/>
      <c r="AU550" s="3"/>
      <c r="AV550" s="4"/>
      <c r="AW550" s="3"/>
      <c r="AX550" s="4"/>
      <c r="AY550" s="3"/>
      <c r="AZ550" s="4"/>
      <c r="BA550" s="3"/>
      <c r="BB550" s="4"/>
      <c r="BC550" s="3"/>
      <c r="BD550" s="4"/>
      <c r="BE550" s="3"/>
      <c r="BF550" s="4"/>
      <c r="BG550" s="3"/>
      <c r="BH550" s="4"/>
      <c r="BI550" s="3"/>
      <c r="BJ550" s="4"/>
      <c r="BK550" s="3"/>
      <c r="BL550" s="4"/>
      <c r="BM550" s="3"/>
      <c r="BN550" s="4"/>
      <c r="BO550" s="3"/>
      <c r="BP550" s="4"/>
      <c r="BQ550" s="3"/>
      <c r="BR550" s="4"/>
      <c r="BS550" s="3"/>
      <c r="BT550" s="4"/>
      <c r="BU550" s="3"/>
      <c r="BV550" s="4"/>
      <c r="BW550" s="3"/>
      <c r="BX550" s="4"/>
      <c r="BY550" s="3"/>
      <c r="BZ550" s="4"/>
      <c r="CA550" s="3"/>
      <c r="CB550" s="4"/>
      <c r="CC550" s="3"/>
      <c r="CD550" s="4"/>
    </row>
    <row r="551">
      <c r="A551" s="3"/>
      <c r="B551" s="4"/>
      <c r="C551" s="3"/>
      <c r="D551" s="4"/>
      <c r="E551" s="3"/>
      <c r="F551" s="4"/>
      <c r="G551" s="3"/>
      <c r="H551" s="4"/>
      <c r="I551" s="3"/>
      <c r="J551" s="4"/>
      <c r="K551" s="3"/>
      <c r="L551" s="4"/>
      <c r="M551" s="3"/>
      <c r="N551" s="4"/>
      <c r="O551" s="3"/>
      <c r="P551" s="4"/>
      <c r="Q551" s="3"/>
      <c r="R551" s="4"/>
      <c r="S551" s="3"/>
      <c r="T551" s="4"/>
      <c r="U551" s="3"/>
      <c r="V551" s="4"/>
      <c r="W551" s="3"/>
      <c r="X551" s="4"/>
      <c r="Y551" s="3"/>
      <c r="Z551" s="4"/>
      <c r="AA551" s="3"/>
      <c r="AB551" s="4"/>
      <c r="AC551" s="3"/>
      <c r="AD551" s="4"/>
      <c r="AE551" s="3"/>
      <c r="AF551" s="4"/>
      <c r="AG551" s="3"/>
      <c r="AH551" s="4"/>
      <c r="AI551" s="3"/>
      <c r="AJ551" s="4"/>
      <c r="AK551" s="3"/>
      <c r="AL551" s="4"/>
      <c r="AM551" s="3"/>
      <c r="AN551" s="4"/>
      <c r="AO551" s="3"/>
      <c r="AP551" s="4"/>
      <c r="AQ551" s="3"/>
      <c r="AR551" s="4"/>
      <c r="AS551" s="3"/>
      <c r="AT551" s="4"/>
      <c r="AU551" s="3"/>
      <c r="AV551" s="4"/>
      <c r="AW551" s="3"/>
      <c r="AX551" s="4"/>
      <c r="AY551" s="3"/>
      <c r="AZ551" s="4"/>
      <c r="BA551" s="3"/>
      <c r="BB551" s="4"/>
      <c r="BC551" s="3"/>
      <c r="BD551" s="4"/>
      <c r="BE551" s="3"/>
      <c r="BF551" s="4"/>
      <c r="BG551" s="3"/>
      <c r="BH551" s="4"/>
      <c r="BI551" s="3"/>
      <c r="BJ551" s="4"/>
      <c r="BK551" s="3"/>
      <c r="BL551" s="4"/>
      <c r="BM551" s="3"/>
      <c r="BN551" s="4"/>
      <c r="BO551" s="3"/>
      <c r="BP551" s="4"/>
      <c r="BQ551" s="3"/>
      <c r="BR551" s="4"/>
      <c r="BS551" s="3"/>
      <c r="BT551" s="4"/>
      <c r="BU551" s="3"/>
      <c r="BV551" s="4"/>
      <c r="BW551" s="3"/>
      <c r="BX551" s="4"/>
      <c r="BY551" s="3"/>
      <c r="BZ551" s="4"/>
      <c r="CA551" s="3"/>
      <c r="CB551" s="4"/>
      <c r="CC551" s="3"/>
      <c r="CD551" s="4"/>
    </row>
    <row r="552">
      <c r="A552" s="3"/>
      <c r="B552" s="4"/>
      <c r="C552" s="3"/>
      <c r="D552" s="4"/>
      <c r="E552" s="3"/>
      <c r="F552" s="4"/>
      <c r="G552" s="3"/>
      <c r="H552" s="4"/>
      <c r="I552" s="3"/>
      <c r="J552" s="4"/>
      <c r="K552" s="3"/>
      <c r="L552" s="4"/>
      <c r="M552" s="3"/>
      <c r="N552" s="4"/>
      <c r="O552" s="3"/>
      <c r="P552" s="4"/>
      <c r="Q552" s="3"/>
      <c r="R552" s="4"/>
      <c r="S552" s="3"/>
      <c r="T552" s="4"/>
      <c r="U552" s="3"/>
      <c r="V552" s="4"/>
      <c r="W552" s="3"/>
      <c r="X552" s="4"/>
      <c r="Y552" s="3"/>
      <c r="Z552" s="4"/>
      <c r="AA552" s="3"/>
      <c r="AB552" s="4"/>
      <c r="AC552" s="3"/>
      <c r="AD552" s="4"/>
      <c r="AE552" s="3"/>
      <c r="AF552" s="4"/>
      <c r="AG552" s="3"/>
      <c r="AH552" s="4"/>
      <c r="AI552" s="3"/>
      <c r="AJ552" s="4"/>
      <c r="AK552" s="3"/>
      <c r="AL552" s="4"/>
      <c r="AM552" s="3"/>
      <c r="AN552" s="4"/>
      <c r="AO552" s="3"/>
      <c r="AP552" s="4"/>
      <c r="AQ552" s="3"/>
      <c r="AR552" s="4"/>
      <c r="AS552" s="3"/>
      <c r="AT552" s="4"/>
      <c r="AU552" s="3"/>
      <c r="AV552" s="4"/>
      <c r="AW552" s="3"/>
      <c r="AX552" s="4"/>
      <c r="AY552" s="3"/>
      <c r="AZ552" s="4"/>
      <c r="BA552" s="3"/>
      <c r="BB552" s="4"/>
      <c r="BC552" s="3"/>
      <c r="BD552" s="4"/>
      <c r="BE552" s="3"/>
      <c r="BF552" s="4"/>
      <c r="BG552" s="3"/>
      <c r="BH552" s="4"/>
      <c r="BI552" s="3"/>
      <c r="BJ552" s="4"/>
      <c r="BK552" s="3"/>
      <c r="BL552" s="4"/>
      <c r="BM552" s="3"/>
      <c r="BN552" s="4"/>
      <c r="BO552" s="3"/>
      <c r="BP552" s="4"/>
      <c r="BQ552" s="3"/>
      <c r="BR552" s="4"/>
      <c r="BS552" s="3"/>
      <c r="BT552" s="4"/>
      <c r="BU552" s="3"/>
      <c r="BV552" s="4"/>
      <c r="BW552" s="3"/>
      <c r="BX552" s="4"/>
      <c r="BY552" s="3"/>
      <c r="BZ552" s="4"/>
      <c r="CA552" s="3"/>
      <c r="CB552" s="4"/>
      <c r="CC552" s="3"/>
      <c r="CD552" s="4"/>
    </row>
    <row r="553">
      <c r="A553" s="3"/>
      <c r="B553" s="4"/>
      <c r="C553" s="3"/>
      <c r="D553" s="4"/>
      <c r="E553" s="3"/>
      <c r="F553" s="4"/>
      <c r="G553" s="3"/>
      <c r="H553" s="4"/>
      <c r="I553" s="3"/>
      <c r="J553" s="4"/>
      <c r="K553" s="3"/>
      <c r="L553" s="4"/>
      <c r="M553" s="3"/>
      <c r="N553" s="4"/>
      <c r="O553" s="3"/>
      <c r="P553" s="4"/>
      <c r="Q553" s="3"/>
      <c r="R553" s="4"/>
      <c r="S553" s="3"/>
      <c r="T553" s="4"/>
      <c r="U553" s="3"/>
      <c r="V553" s="4"/>
      <c r="W553" s="3"/>
      <c r="X553" s="4"/>
      <c r="Y553" s="3"/>
      <c r="Z553" s="4"/>
      <c r="AA553" s="3"/>
      <c r="AB553" s="4"/>
      <c r="AC553" s="3"/>
      <c r="AD553" s="4"/>
      <c r="AE553" s="3"/>
      <c r="AF553" s="4"/>
      <c r="AG553" s="3"/>
      <c r="AH553" s="4"/>
      <c r="AI553" s="3"/>
      <c r="AJ553" s="4"/>
      <c r="AK553" s="3"/>
      <c r="AL553" s="4"/>
      <c r="AM553" s="3"/>
      <c r="AN553" s="4"/>
      <c r="AO553" s="3"/>
      <c r="AP553" s="4"/>
      <c r="AQ553" s="3"/>
      <c r="AR553" s="4"/>
      <c r="AS553" s="3"/>
      <c r="AT553" s="4"/>
      <c r="AU553" s="3"/>
      <c r="AV553" s="4"/>
      <c r="AW553" s="3"/>
      <c r="AX553" s="4"/>
      <c r="AY553" s="3"/>
      <c r="AZ553" s="4"/>
      <c r="BA553" s="3"/>
      <c r="BB553" s="4"/>
      <c r="BC553" s="3"/>
      <c r="BD553" s="4"/>
      <c r="BE553" s="3"/>
      <c r="BF553" s="4"/>
      <c r="BG553" s="3"/>
      <c r="BH553" s="4"/>
      <c r="BI553" s="3"/>
      <c r="BJ553" s="4"/>
      <c r="BK553" s="3"/>
      <c r="BL553" s="4"/>
      <c r="BM553" s="3"/>
      <c r="BN553" s="4"/>
      <c r="BO553" s="3"/>
      <c r="BP553" s="4"/>
      <c r="BQ553" s="3"/>
      <c r="BR553" s="4"/>
      <c r="BS553" s="3"/>
      <c r="BT553" s="4"/>
      <c r="BU553" s="3"/>
      <c r="BV553" s="4"/>
      <c r="BW553" s="3"/>
      <c r="BX553" s="4"/>
      <c r="BY553" s="3"/>
      <c r="BZ553" s="4"/>
      <c r="CA553" s="3"/>
      <c r="CB553" s="4"/>
      <c r="CC553" s="3"/>
      <c r="CD553" s="4"/>
    </row>
    <row r="554">
      <c r="A554" s="3"/>
      <c r="B554" s="4"/>
      <c r="C554" s="3"/>
      <c r="D554" s="4"/>
      <c r="E554" s="3"/>
      <c r="F554" s="4"/>
      <c r="G554" s="3"/>
      <c r="H554" s="4"/>
      <c r="I554" s="3"/>
      <c r="J554" s="4"/>
      <c r="K554" s="3"/>
      <c r="L554" s="4"/>
      <c r="M554" s="3"/>
      <c r="N554" s="4"/>
      <c r="O554" s="3"/>
      <c r="P554" s="4"/>
      <c r="Q554" s="3"/>
      <c r="R554" s="4"/>
      <c r="S554" s="3"/>
      <c r="T554" s="4"/>
      <c r="U554" s="3"/>
      <c r="V554" s="4"/>
      <c r="W554" s="3"/>
      <c r="X554" s="4"/>
      <c r="Y554" s="3"/>
      <c r="Z554" s="4"/>
      <c r="AA554" s="3"/>
      <c r="AB554" s="4"/>
      <c r="AC554" s="3"/>
      <c r="AD554" s="4"/>
      <c r="AE554" s="3"/>
      <c r="AF554" s="4"/>
      <c r="AG554" s="3"/>
      <c r="AH554" s="4"/>
      <c r="AI554" s="3"/>
      <c r="AJ554" s="4"/>
      <c r="AK554" s="3"/>
      <c r="AL554" s="4"/>
      <c r="AM554" s="3"/>
      <c r="AN554" s="4"/>
      <c r="AO554" s="3"/>
      <c r="AP554" s="4"/>
      <c r="AQ554" s="3"/>
      <c r="AR554" s="4"/>
      <c r="AS554" s="3"/>
      <c r="AT554" s="4"/>
      <c r="AU554" s="3"/>
      <c r="AV554" s="4"/>
      <c r="AW554" s="3"/>
      <c r="AX554" s="4"/>
      <c r="AY554" s="3"/>
      <c r="AZ554" s="4"/>
      <c r="BA554" s="3"/>
      <c r="BB554" s="4"/>
      <c r="BC554" s="3"/>
      <c r="BD554" s="4"/>
      <c r="BE554" s="3"/>
      <c r="BF554" s="4"/>
      <c r="BG554" s="3"/>
      <c r="BH554" s="4"/>
      <c r="BI554" s="3"/>
      <c r="BJ554" s="4"/>
      <c r="BK554" s="3"/>
      <c r="BL554" s="4"/>
      <c r="BM554" s="3"/>
      <c r="BN554" s="4"/>
      <c r="BO554" s="3"/>
      <c r="BP554" s="4"/>
      <c r="BQ554" s="3"/>
      <c r="BR554" s="4"/>
      <c r="BS554" s="3"/>
      <c r="BT554" s="4"/>
      <c r="BU554" s="3"/>
      <c r="BV554" s="4"/>
      <c r="BW554" s="3"/>
      <c r="BX554" s="4"/>
      <c r="BY554" s="3"/>
      <c r="BZ554" s="4"/>
      <c r="CA554" s="3"/>
      <c r="CB554" s="4"/>
      <c r="CC554" s="3"/>
      <c r="CD554" s="4"/>
    </row>
    <row r="555">
      <c r="A555" s="3"/>
      <c r="B555" s="4"/>
      <c r="C555" s="3"/>
      <c r="D555" s="4"/>
      <c r="E555" s="3"/>
      <c r="F555" s="4"/>
      <c r="G555" s="3"/>
      <c r="H555" s="4"/>
      <c r="I555" s="3"/>
      <c r="J555" s="4"/>
      <c r="K555" s="3"/>
      <c r="L555" s="4"/>
      <c r="M555" s="3"/>
      <c r="N555" s="4"/>
      <c r="O555" s="3"/>
      <c r="P555" s="4"/>
      <c r="Q555" s="3"/>
      <c r="R555" s="4"/>
      <c r="S555" s="3"/>
      <c r="T555" s="4"/>
      <c r="U555" s="3"/>
      <c r="V555" s="4"/>
      <c r="W555" s="3"/>
      <c r="X555" s="4"/>
      <c r="Y555" s="3"/>
      <c r="Z555" s="4"/>
      <c r="AA555" s="3"/>
      <c r="AB555" s="4"/>
      <c r="AC555" s="3"/>
      <c r="AD555" s="4"/>
      <c r="AE555" s="3"/>
      <c r="AF555" s="4"/>
      <c r="AG555" s="3"/>
      <c r="AH555" s="4"/>
      <c r="AI555" s="3"/>
      <c r="AJ555" s="4"/>
      <c r="AK555" s="3"/>
      <c r="AL555" s="4"/>
      <c r="AM555" s="3"/>
      <c r="AN555" s="4"/>
      <c r="AO555" s="3"/>
      <c r="AP555" s="4"/>
      <c r="AQ555" s="3"/>
      <c r="AR555" s="4"/>
      <c r="AS555" s="3"/>
      <c r="AT555" s="4"/>
      <c r="AU555" s="3"/>
      <c r="AV555" s="4"/>
      <c r="AW555" s="3"/>
      <c r="AX555" s="4"/>
      <c r="AY555" s="3"/>
      <c r="AZ555" s="4"/>
      <c r="BA555" s="3"/>
      <c r="BB555" s="4"/>
      <c r="BC555" s="3"/>
      <c r="BD555" s="4"/>
      <c r="BE555" s="3"/>
      <c r="BF555" s="4"/>
      <c r="BG555" s="3"/>
      <c r="BH555" s="4"/>
      <c r="BI555" s="3"/>
      <c r="BJ555" s="4"/>
      <c r="BK555" s="3"/>
      <c r="BL555" s="4"/>
      <c r="BM555" s="3"/>
      <c r="BN555" s="4"/>
      <c r="BO555" s="3"/>
      <c r="BP555" s="4"/>
      <c r="BQ555" s="3"/>
      <c r="BR555" s="4"/>
      <c r="BS555" s="3"/>
      <c r="BT555" s="4"/>
      <c r="BU555" s="3"/>
      <c r="BV555" s="4"/>
      <c r="BW555" s="3"/>
      <c r="BX555" s="4"/>
      <c r="BY555" s="3"/>
      <c r="BZ555" s="4"/>
      <c r="CA555" s="3"/>
      <c r="CB555" s="4"/>
      <c r="CC555" s="3"/>
      <c r="CD555" s="4"/>
    </row>
    <row r="556">
      <c r="A556" s="3"/>
      <c r="B556" s="4"/>
      <c r="C556" s="3"/>
      <c r="D556" s="4"/>
      <c r="E556" s="3"/>
      <c r="F556" s="4"/>
      <c r="G556" s="3"/>
      <c r="H556" s="4"/>
      <c r="I556" s="3"/>
      <c r="J556" s="4"/>
      <c r="K556" s="3"/>
      <c r="L556" s="4"/>
      <c r="M556" s="3"/>
      <c r="N556" s="4"/>
      <c r="O556" s="3"/>
      <c r="P556" s="4"/>
      <c r="Q556" s="3"/>
      <c r="R556" s="4"/>
      <c r="S556" s="3"/>
      <c r="T556" s="4"/>
      <c r="U556" s="3"/>
      <c r="V556" s="4"/>
      <c r="W556" s="3"/>
      <c r="X556" s="4"/>
      <c r="Y556" s="3"/>
      <c r="Z556" s="4"/>
      <c r="AA556" s="3"/>
      <c r="AB556" s="4"/>
      <c r="AC556" s="3"/>
      <c r="AD556" s="4"/>
      <c r="AE556" s="3"/>
      <c r="AF556" s="4"/>
      <c r="AG556" s="3"/>
      <c r="AH556" s="4"/>
      <c r="AI556" s="3"/>
      <c r="AJ556" s="4"/>
      <c r="AK556" s="3"/>
      <c r="AL556" s="4"/>
      <c r="AM556" s="3"/>
      <c r="AN556" s="4"/>
      <c r="AO556" s="3"/>
      <c r="AP556" s="4"/>
      <c r="AQ556" s="3"/>
      <c r="AR556" s="4"/>
      <c r="AS556" s="3"/>
      <c r="AT556" s="4"/>
      <c r="AU556" s="3"/>
      <c r="AV556" s="4"/>
      <c r="AW556" s="3"/>
      <c r="AX556" s="4"/>
      <c r="AY556" s="3"/>
      <c r="AZ556" s="4"/>
      <c r="BA556" s="3"/>
      <c r="BB556" s="4"/>
      <c r="BC556" s="3"/>
      <c r="BD556" s="4"/>
      <c r="BE556" s="3"/>
      <c r="BF556" s="4"/>
      <c r="BG556" s="3"/>
      <c r="BH556" s="4"/>
      <c r="BI556" s="3"/>
      <c r="BJ556" s="4"/>
      <c r="BK556" s="3"/>
      <c r="BL556" s="4"/>
      <c r="BM556" s="3"/>
      <c r="BN556" s="4"/>
      <c r="BO556" s="3"/>
      <c r="BP556" s="4"/>
      <c r="BQ556" s="3"/>
      <c r="BR556" s="4"/>
      <c r="BS556" s="3"/>
      <c r="BT556" s="4"/>
      <c r="BU556" s="3"/>
      <c r="BV556" s="4"/>
      <c r="BW556" s="3"/>
      <c r="BX556" s="4"/>
      <c r="BY556" s="3"/>
      <c r="BZ556" s="4"/>
      <c r="CA556" s="3"/>
      <c r="CB556" s="4"/>
      <c r="CC556" s="3"/>
      <c r="CD556" s="4"/>
    </row>
    <row r="557">
      <c r="A557" s="3"/>
      <c r="B557" s="4"/>
      <c r="C557" s="3"/>
      <c r="D557" s="4"/>
      <c r="E557" s="3"/>
      <c r="F557" s="4"/>
      <c r="G557" s="3"/>
      <c r="H557" s="4"/>
      <c r="I557" s="3"/>
      <c r="J557" s="4"/>
      <c r="K557" s="3"/>
      <c r="L557" s="4"/>
      <c r="M557" s="3"/>
      <c r="N557" s="4"/>
      <c r="O557" s="3"/>
      <c r="P557" s="4"/>
      <c r="Q557" s="3"/>
      <c r="R557" s="4"/>
      <c r="S557" s="3"/>
      <c r="T557" s="4"/>
      <c r="U557" s="3"/>
      <c r="V557" s="4"/>
      <c r="W557" s="3"/>
      <c r="X557" s="4"/>
      <c r="Y557" s="3"/>
      <c r="Z557" s="4"/>
      <c r="AA557" s="3"/>
      <c r="AB557" s="4"/>
      <c r="AC557" s="3"/>
      <c r="AD557" s="4"/>
      <c r="AE557" s="3"/>
      <c r="AF557" s="4"/>
      <c r="AG557" s="3"/>
      <c r="AH557" s="4"/>
      <c r="AI557" s="3"/>
      <c r="AJ557" s="4"/>
      <c r="AK557" s="3"/>
      <c r="AL557" s="4"/>
      <c r="AM557" s="3"/>
      <c r="AN557" s="4"/>
      <c r="AO557" s="3"/>
      <c r="AP557" s="4"/>
      <c r="AQ557" s="3"/>
      <c r="AR557" s="4"/>
      <c r="AS557" s="3"/>
      <c r="AT557" s="4"/>
      <c r="AU557" s="3"/>
      <c r="AV557" s="4"/>
      <c r="AW557" s="3"/>
      <c r="AX557" s="4"/>
      <c r="AY557" s="3"/>
      <c r="AZ557" s="4"/>
      <c r="BA557" s="3"/>
      <c r="BB557" s="4"/>
      <c r="BC557" s="3"/>
      <c r="BD557" s="4"/>
      <c r="BE557" s="3"/>
      <c r="BF557" s="4"/>
      <c r="BG557" s="3"/>
      <c r="BH557" s="4"/>
      <c r="BI557" s="3"/>
      <c r="BJ557" s="4"/>
      <c r="BK557" s="3"/>
      <c r="BL557" s="4"/>
      <c r="BM557" s="3"/>
      <c r="BN557" s="4"/>
      <c r="BO557" s="3"/>
      <c r="BP557" s="4"/>
      <c r="BQ557" s="3"/>
      <c r="BR557" s="4"/>
      <c r="BS557" s="3"/>
      <c r="BT557" s="4"/>
      <c r="BU557" s="3"/>
      <c r="BV557" s="4"/>
      <c r="BW557" s="3"/>
      <c r="BX557" s="4"/>
      <c r="BY557" s="3"/>
      <c r="BZ557" s="4"/>
      <c r="CA557" s="3"/>
      <c r="CB557" s="4"/>
      <c r="CC557" s="3"/>
      <c r="CD557" s="4"/>
    </row>
    <row r="558">
      <c r="A558" s="3"/>
      <c r="B558" s="4"/>
      <c r="C558" s="3"/>
      <c r="D558" s="4"/>
      <c r="E558" s="3"/>
      <c r="F558" s="4"/>
      <c r="G558" s="3"/>
      <c r="H558" s="4"/>
      <c r="I558" s="3"/>
      <c r="J558" s="4"/>
      <c r="K558" s="3"/>
      <c r="L558" s="4"/>
      <c r="M558" s="3"/>
      <c r="N558" s="4"/>
      <c r="O558" s="3"/>
      <c r="P558" s="4"/>
      <c r="Q558" s="3"/>
      <c r="R558" s="4"/>
      <c r="S558" s="3"/>
      <c r="T558" s="4"/>
      <c r="U558" s="3"/>
      <c r="V558" s="4"/>
      <c r="W558" s="3"/>
      <c r="X558" s="4"/>
      <c r="Y558" s="3"/>
      <c r="Z558" s="4"/>
      <c r="AA558" s="3"/>
      <c r="AB558" s="4"/>
      <c r="AC558" s="3"/>
      <c r="AD558" s="4"/>
      <c r="AE558" s="3"/>
      <c r="AF558" s="4"/>
      <c r="AG558" s="3"/>
      <c r="AH558" s="4"/>
      <c r="AI558" s="3"/>
      <c r="AJ558" s="4"/>
      <c r="AK558" s="3"/>
      <c r="AL558" s="4"/>
      <c r="AM558" s="3"/>
      <c r="AN558" s="4"/>
      <c r="AO558" s="3"/>
      <c r="AP558" s="4"/>
      <c r="AQ558" s="3"/>
      <c r="AR558" s="4"/>
      <c r="AS558" s="3"/>
      <c r="AT558" s="4"/>
      <c r="AU558" s="3"/>
      <c r="AV558" s="4"/>
      <c r="AW558" s="3"/>
      <c r="AX558" s="4"/>
      <c r="AY558" s="3"/>
      <c r="AZ558" s="4"/>
      <c r="BA558" s="3"/>
      <c r="BB558" s="4"/>
      <c r="BC558" s="3"/>
      <c r="BD558" s="4"/>
      <c r="BE558" s="3"/>
      <c r="BF558" s="4"/>
      <c r="BG558" s="3"/>
      <c r="BH558" s="4"/>
      <c r="BI558" s="3"/>
      <c r="BJ558" s="4"/>
      <c r="BK558" s="3"/>
      <c r="BL558" s="4"/>
      <c r="BM558" s="3"/>
      <c r="BN558" s="4"/>
      <c r="BO558" s="3"/>
      <c r="BP558" s="4"/>
      <c r="BQ558" s="3"/>
      <c r="BR558" s="4"/>
      <c r="BS558" s="3"/>
      <c r="BT558" s="4"/>
      <c r="BU558" s="3"/>
      <c r="BV558" s="4"/>
      <c r="BW558" s="3"/>
      <c r="BX558" s="4"/>
      <c r="BY558" s="3"/>
      <c r="BZ558" s="4"/>
      <c r="CA558" s="3"/>
      <c r="CB558" s="4"/>
      <c r="CC558" s="3"/>
      <c r="CD558" s="4"/>
    </row>
    <row r="559">
      <c r="A559" s="3"/>
      <c r="B559" s="4"/>
      <c r="C559" s="3"/>
      <c r="D559" s="4"/>
      <c r="E559" s="3"/>
      <c r="F559" s="4"/>
      <c r="G559" s="3"/>
      <c r="H559" s="4"/>
      <c r="I559" s="3"/>
      <c r="J559" s="4"/>
      <c r="K559" s="3"/>
      <c r="L559" s="4"/>
      <c r="M559" s="3"/>
      <c r="N559" s="4"/>
      <c r="O559" s="3"/>
      <c r="P559" s="4"/>
      <c r="Q559" s="3"/>
      <c r="R559" s="4"/>
      <c r="S559" s="3"/>
      <c r="T559" s="4"/>
      <c r="U559" s="3"/>
      <c r="V559" s="4"/>
      <c r="W559" s="3"/>
      <c r="X559" s="4"/>
      <c r="Y559" s="3"/>
      <c r="Z559" s="4"/>
      <c r="AA559" s="3"/>
      <c r="AB559" s="4"/>
      <c r="AC559" s="3"/>
      <c r="AD559" s="4"/>
      <c r="AE559" s="3"/>
      <c r="AF559" s="4"/>
      <c r="AG559" s="3"/>
      <c r="AH559" s="4"/>
      <c r="AI559" s="3"/>
      <c r="AJ559" s="4"/>
      <c r="AK559" s="3"/>
      <c r="AL559" s="4"/>
      <c r="AM559" s="3"/>
      <c r="AN559" s="4"/>
      <c r="AO559" s="3"/>
      <c r="AP559" s="4"/>
      <c r="AQ559" s="3"/>
      <c r="AR559" s="4"/>
      <c r="AS559" s="3"/>
      <c r="AT559" s="4"/>
      <c r="AU559" s="3"/>
      <c r="AV559" s="4"/>
      <c r="AW559" s="3"/>
      <c r="AX559" s="4"/>
      <c r="AY559" s="3"/>
      <c r="AZ559" s="4"/>
      <c r="BA559" s="3"/>
      <c r="BB559" s="4"/>
      <c r="BC559" s="3"/>
      <c r="BD559" s="4"/>
      <c r="BE559" s="3"/>
      <c r="BF559" s="4"/>
      <c r="BG559" s="3"/>
      <c r="BH559" s="4"/>
      <c r="BI559" s="3"/>
      <c r="BJ559" s="4"/>
      <c r="BK559" s="3"/>
      <c r="BL559" s="4"/>
      <c r="BM559" s="3"/>
      <c r="BN559" s="4"/>
      <c r="BO559" s="3"/>
      <c r="BP559" s="4"/>
      <c r="BQ559" s="3"/>
      <c r="BR559" s="4"/>
      <c r="BS559" s="3"/>
      <c r="BT559" s="4"/>
      <c r="BU559" s="3"/>
      <c r="BV559" s="4"/>
      <c r="BW559" s="3"/>
      <c r="BX559" s="4"/>
      <c r="BY559" s="3"/>
      <c r="BZ559" s="4"/>
      <c r="CA559" s="3"/>
      <c r="CB559" s="4"/>
      <c r="CC559" s="3"/>
      <c r="CD559" s="4"/>
    </row>
    <row r="560">
      <c r="A560" s="3"/>
      <c r="B560" s="4"/>
      <c r="C560" s="3"/>
      <c r="D560" s="4"/>
      <c r="E560" s="3"/>
      <c r="F560" s="4"/>
      <c r="G560" s="3"/>
      <c r="H560" s="4"/>
      <c r="I560" s="3"/>
      <c r="J560" s="4"/>
      <c r="K560" s="3"/>
      <c r="L560" s="4"/>
      <c r="M560" s="3"/>
      <c r="N560" s="4"/>
      <c r="O560" s="3"/>
      <c r="P560" s="4"/>
      <c r="Q560" s="3"/>
      <c r="R560" s="4"/>
      <c r="S560" s="3"/>
      <c r="T560" s="4"/>
      <c r="U560" s="3"/>
      <c r="V560" s="4"/>
      <c r="W560" s="3"/>
      <c r="X560" s="4"/>
      <c r="Y560" s="3"/>
      <c r="Z560" s="4"/>
      <c r="AA560" s="3"/>
      <c r="AB560" s="4"/>
      <c r="AC560" s="3"/>
      <c r="AD560" s="4"/>
      <c r="AE560" s="3"/>
      <c r="AF560" s="4"/>
      <c r="AG560" s="3"/>
      <c r="AH560" s="4"/>
      <c r="AI560" s="3"/>
      <c r="AJ560" s="4"/>
      <c r="AK560" s="3"/>
      <c r="AL560" s="4"/>
      <c r="AM560" s="3"/>
      <c r="AN560" s="4"/>
      <c r="AO560" s="3"/>
      <c r="AP560" s="4"/>
      <c r="AQ560" s="3"/>
      <c r="AR560" s="4"/>
      <c r="AS560" s="3"/>
      <c r="AT560" s="4"/>
      <c r="AU560" s="3"/>
      <c r="AV560" s="4"/>
      <c r="AW560" s="3"/>
      <c r="AX560" s="4"/>
      <c r="AY560" s="3"/>
      <c r="AZ560" s="4"/>
      <c r="BA560" s="3"/>
      <c r="BB560" s="4"/>
      <c r="BC560" s="3"/>
      <c r="BD560" s="4"/>
      <c r="BE560" s="3"/>
      <c r="BF560" s="4"/>
      <c r="BG560" s="3"/>
      <c r="BH560" s="4"/>
      <c r="BI560" s="3"/>
      <c r="BJ560" s="4"/>
      <c r="BK560" s="3"/>
      <c r="BL560" s="4"/>
      <c r="BM560" s="3"/>
      <c r="BN560" s="4"/>
      <c r="BO560" s="3"/>
      <c r="BP560" s="4"/>
      <c r="BQ560" s="3"/>
      <c r="BR560" s="4"/>
      <c r="BS560" s="3"/>
      <c r="BT560" s="4"/>
      <c r="BU560" s="3"/>
      <c r="BV560" s="4"/>
      <c r="BW560" s="3"/>
      <c r="BX560" s="4"/>
      <c r="BY560" s="3"/>
      <c r="BZ560" s="4"/>
      <c r="CA560" s="3"/>
      <c r="CB560" s="4"/>
      <c r="CC560" s="3"/>
      <c r="CD560" s="4"/>
    </row>
    <row r="561">
      <c r="A561" s="3"/>
      <c r="B561" s="4"/>
      <c r="C561" s="3"/>
      <c r="D561" s="4"/>
      <c r="E561" s="3"/>
      <c r="F561" s="4"/>
      <c r="G561" s="3"/>
      <c r="H561" s="4"/>
      <c r="I561" s="3"/>
      <c r="J561" s="4"/>
      <c r="K561" s="3"/>
      <c r="L561" s="4"/>
      <c r="M561" s="3"/>
      <c r="N561" s="4"/>
      <c r="O561" s="3"/>
      <c r="P561" s="4"/>
      <c r="Q561" s="3"/>
      <c r="R561" s="4"/>
      <c r="S561" s="3"/>
      <c r="T561" s="4"/>
      <c r="U561" s="3"/>
      <c r="V561" s="4"/>
      <c r="W561" s="3"/>
      <c r="X561" s="4"/>
      <c r="Y561" s="3"/>
      <c r="Z561" s="4"/>
      <c r="AA561" s="3"/>
      <c r="AB561" s="4"/>
      <c r="AC561" s="3"/>
      <c r="AD561" s="4"/>
      <c r="AE561" s="3"/>
      <c r="AF561" s="4"/>
      <c r="AG561" s="3"/>
      <c r="AH561" s="4"/>
      <c r="AI561" s="3"/>
      <c r="AJ561" s="4"/>
      <c r="AK561" s="3"/>
      <c r="AL561" s="4"/>
      <c r="AM561" s="3"/>
      <c r="AN561" s="4"/>
      <c r="AO561" s="3"/>
      <c r="AP561" s="4"/>
      <c r="AQ561" s="3"/>
      <c r="AR561" s="4"/>
      <c r="AS561" s="3"/>
      <c r="AT561" s="4"/>
      <c r="AU561" s="3"/>
      <c r="AV561" s="4"/>
      <c r="AW561" s="3"/>
      <c r="AX561" s="4"/>
      <c r="AY561" s="3"/>
      <c r="AZ561" s="4"/>
      <c r="BA561" s="3"/>
      <c r="BB561" s="4"/>
      <c r="BC561" s="3"/>
      <c r="BD561" s="4"/>
      <c r="BE561" s="3"/>
      <c r="BF561" s="4"/>
      <c r="BG561" s="3"/>
      <c r="BH561" s="4"/>
      <c r="BI561" s="3"/>
      <c r="BJ561" s="4"/>
      <c r="BK561" s="3"/>
      <c r="BL561" s="4"/>
      <c r="BM561" s="3"/>
      <c r="BN561" s="4"/>
      <c r="BO561" s="3"/>
      <c r="BP561" s="4"/>
      <c r="BQ561" s="3"/>
      <c r="BR561" s="4"/>
      <c r="BS561" s="3"/>
      <c r="BT561" s="4"/>
      <c r="BU561" s="3"/>
      <c r="BV561" s="4"/>
      <c r="BW561" s="3"/>
      <c r="BX561" s="4"/>
      <c r="BY561" s="3"/>
      <c r="BZ561" s="4"/>
      <c r="CA561" s="3"/>
      <c r="CB561" s="4"/>
      <c r="CC561" s="3"/>
      <c r="CD561" s="4"/>
    </row>
    <row r="562">
      <c r="A562" s="3"/>
      <c r="B562" s="4"/>
      <c r="C562" s="3"/>
      <c r="D562" s="4"/>
      <c r="E562" s="3"/>
      <c r="F562" s="4"/>
      <c r="G562" s="3"/>
      <c r="H562" s="4"/>
      <c r="I562" s="3"/>
      <c r="J562" s="4"/>
      <c r="K562" s="3"/>
      <c r="L562" s="4"/>
      <c r="M562" s="3"/>
      <c r="N562" s="4"/>
      <c r="O562" s="3"/>
      <c r="P562" s="4"/>
      <c r="Q562" s="3"/>
      <c r="R562" s="4"/>
      <c r="S562" s="3"/>
      <c r="T562" s="4"/>
      <c r="U562" s="3"/>
      <c r="V562" s="4"/>
      <c r="W562" s="3"/>
      <c r="X562" s="4"/>
      <c r="Y562" s="3"/>
      <c r="Z562" s="4"/>
      <c r="AA562" s="3"/>
      <c r="AB562" s="4"/>
      <c r="AC562" s="3"/>
      <c r="AD562" s="4"/>
      <c r="AE562" s="3"/>
      <c r="AF562" s="4"/>
      <c r="AG562" s="3"/>
      <c r="AH562" s="4"/>
      <c r="AI562" s="3"/>
      <c r="AJ562" s="4"/>
      <c r="AK562" s="3"/>
      <c r="AL562" s="4"/>
      <c r="AM562" s="3"/>
      <c r="AN562" s="4"/>
      <c r="AO562" s="3"/>
      <c r="AP562" s="4"/>
      <c r="AQ562" s="3"/>
      <c r="AR562" s="4"/>
      <c r="AS562" s="3"/>
      <c r="AT562" s="4"/>
      <c r="AU562" s="3"/>
      <c r="AV562" s="4"/>
      <c r="AW562" s="3"/>
      <c r="AX562" s="4"/>
      <c r="AY562" s="3"/>
      <c r="AZ562" s="4"/>
      <c r="BA562" s="3"/>
      <c r="BB562" s="4"/>
      <c r="BC562" s="3"/>
      <c r="BD562" s="4"/>
      <c r="BE562" s="3"/>
      <c r="BF562" s="4"/>
      <c r="BG562" s="3"/>
      <c r="BH562" s="4"/>
      <c r="BI562" s="3"/>
      <c r="BJ562" s="4"/>
      <c r="BK562" s="3"/>
      <c r="BL562" s="4"/>
      <c r="BM562" s="3"/>
      <c r="BN562" s="4"/>
      <c r="BO562" s="3"/>
      <c r="BP562" s="4"/>
      <c r="BQ562" s="3"/>
      <c r="BR562" s="4"/>
      <c r="BS562" s="3"/>
      <c r="BT562" s="4"/>
      <c r="BU562" s="3"/>
      <c r="BV562" s="4"/>
      <c r="BW562" s="3"/>
      <c r="BX562" s="4"/>
      <c r="BY562" s="3"/>
      <c r="BZ562" s="4"/>
      <c r="CA562" s="3"/>
      <c r="CB562" s="4"/>
      <c r="CC562" s="3"/>
      <c r="CD562" s="4"/>
    </row>
    <row r="563">
      <c r="A563" s="3"/>
      <c r="B563" s="4"/>
      <c r="C563" s="3"/>
      <c r="D563" s="4"/>
      <c r="E563" s="3"/>
      <c r="F563" s="4"/>
      <c r="G563" s="3"/>
      <c r="H563" s="4"/>
      <c r="I563" s="3"/>
      <c r="J563" s="4"/>
      <c r="K563" s="3"/>
      <c r="L563" s="4"/>
      <c r="M563" s="3"/>
      <c r="N563" s="4"/>
      <c r="O563" s="3"/>
      <c r="P563" s="4"/>
      <c r="Q563" s="3"/>
      <c r="R563" s="4"/>
      <c r="S563" s="3"/>
      <c r="T563" s="4"/>
      <c r="U563" s="3"/>
      <c r="V563" s="4"/>
      <c r="W563" s="3"/>
      <c r="X563" s="4"/>
      <c r="Y563" s="3"/>
      <c r="Z563" s="4"/>
      <c r="AA563" s="3"/>
      <c r="AB563" s="4"/>
      <c r="AC563" s="3"/>
      <c r="AD563" s="4"/>
      <c r="AE563" s="3"/>
      <c r="AF563" s="4"/>
      <c r="AG563" s="3"/>
      <c r="AH563" s="4"/>
      <c r="AI563" s="3"/>
      <c r="AJ563" s="4"/>
      <c r="AK563" s="3"/>
      <c r="AL563" s="4"/>
      <c r="AM563" s="3"/>
      <c r="AN563" s="4"/>
      <c r="AO563" s="3"/>
      <c r="AP563" s="4"/>
      <c r="AQ563" s="3"/>
      <c r="AR563" s="4"/>
      <c r="AS563" s="3"/>
      <c r="AT563" s="4"/>
      <c r="AU563" s="3"/>
      <c r="AV563" s="4"/>
      <c r="AW563" s="3"/>
      <c r="AX563" s="4"/>
      <c r="AY563" s="3"/>
      <c r="AZ563" s="4"/>
      <c r="BA563" s="3"/>
      <c r="BB563" s="4"/>
      <c r="BC563" s="3"/>
      <c r="BD563" s="4"/>
      <c r="BE563" s="3"/>
      <c r="BF563" s="4"/>
      <c r="BG563" s="3"/>
      <c r="BH563" s="4"/>
      <c r="BI563" s="3"/>
      <c r="BJ563" s="4"/>
      <c r="BK563" s="3"/>
      <c r="BL563" s="4"/>
      <c r="BM563" s="3"/>
      <c r="BN563" s="4"/>
      <c r="BO563" s="3"/>
      <c r="BP563" s="4"/>
      <c r="BQ563" s="3"/>
      <c r="BR563" s="4"/>
      <c r="BS563" s="3"/>
      <c r="BT563" s="4"/>
      <c r="BU563" s="3"/>
      <c r="BV563" s="4"/>
      <c r="BW563" s="3"/>
      <c r="BX563" s="4"/>
      <c r="BY563" s="3"/>
      <c r="BZ563" s="4"/>
      <c r="CA563" s="3"/>
      <c r="CB563" s="4"/>
      <c r="CC563" s="3"/>
      <c r="CD563" s="4"/>
    </row>
    <row r="564">
      <c r="A564" s="3"/>
      <c r="B564" s="4"/>
      <c r="C564" s="3"/>
      <c r="D564" s="4"/>
      <c r="E564" s="3"/>
      <c r="F564" s="4"/>
      <c r="G564" s="3"/>
      <c r="H564" s="4"/>
      <c r="I564" s="3"/>
      <c r="J564" s="4"/>
      <c r="K564" s="3"/>
      <c r="L564" s="4"/>
      <c r="M564" s="3"/>
      <c r="N564" s="4"/>
      <c r="O564" s="3"/>
      <c r="P564" s="4"/>
      <c r="Q564" s="3"/>
      <c r="R564" s="4"/>
      <c r="S564" s="3"/>
      <c r="T564" s="4"/>
      <c r="U564" s="3"/>
      <c r="V564" s="4"/>
      <c r="W564" s="3"/>
      <c r="X564" s="4"/>
      <c r="Y564" s="3"/>
      <c r="Z564" s="4"/>
      <c r="AA564" s="3"/>
      <c r="AB564" s="4"/>
      <c r="AC564" s="3"/>
      <c r="AD564" s="4"/>
      <c r="AE564" s="3"/>
      <c r="AF564" s="4"/>
      <c r="AG564" s="3"/>
      <c r="AH564" s="4"/>
      <c r="AI564" s="3"/>
      <c r="AJ564" s="4"/>
      <c r="AK564" s="3"/>
      <c r="AL564" s="4"/>
      <c r="AM564" s="3"/>
      <c r="AN564" s="4"/>
      <c r="AO564" s="3"/>
      <c r="AP564" s="4"/>
      <c r="AQ564" s="3"/>
      <c r="AR564" s="4"/>
      <c r="AS564" s="3"/>
      <c r="AT564" s="4"/>
      <c r="AU564" s="3"/>
      <c r="AV564" s="4"/>
      <c r="AW564" s="3"/>
      <c r="AX564" s="4"/>
      <c r="AY564" s="3"/>
      <c r="AZ564" s="4"/>
      <c r="BA564" s="3"/>
      <c r="BB564" s="4"/>
      <c r="BC564" s="3"/>
      <c r="BD564" s="4"/>
      <c r="BE564" s="3"/>
      <c r="BF564" s="4"/>
      <c r="BG564" s="3"/>
      <c r="BH564" s="4"/>
      <c r="BI564" s="3"/>
      <c r="BJ564" s="4"/>
      <c r="BK564" s="3"/>
      <c r="BL564" s="4"/>
      <c r="BM564" s="3"/>
      <c r="BN564" s="4"/>
      <c r="BO564" s="3"/>
      <c r="BP564" s="4"/>
      <c r="BQ564" s="3"/>
      <c r="BR564" s="4"/>
      <c r="BS564" s="3"/>
      <c r="BT564" s="4"/>
      <c r="BU564" s="3"/>
      <c r="BV564" s="4"/>
      <c r="BW564" s="3"/>
      <c r="BX564" s="4"/>
      <c r="BY564" s="3"/>
      <c r="BZ564" s="4"/>
      <c r="CA564" s="3"/>
      <c r="CB564" s="4"/>
      <c r="CC564" s="3"/>
      <c r="CD564" s="4"/>
    </row>
    <row r="565">
      <c r="A565" s="3"/>
      <c r="B565" s="4"/>
      <c r="C565" s="3"/>
      <c r="D565" s="4"/>
      <c r="E565" s="3"/>
      <c r="F565" s="4"/>
      <c r="G565" s="3"/>
      <c r="H565" s="4"/>
      <c r="I565" s="3"/>
      <c r="J565" s="4"/>
      <c r="K565" s="3"/>
      <c r="L565" s="4"/>
      <c r="M565" s="3"/>
      <c r="N565" s="4"/>
      <c r="O565" s="3"/>
      <c r="P565" s="4"/>
      <c r="Q565" s="3"/>
      <c r="R565" s="4"/>
      <c r="S565" s="3"/>
      <c r="T565" s="4"/>
      <c r="U565" s="3"/>
      <c r="V565" s="4"/>
      <c r="W565" s="3"/>
      <c r="X565" s="4"/>
      <c r="Y565" s="3"/>
      <c r="Z565" s="4"/>
      <c r="AA565" s="3"/>
      <c r="AB565" s="4"/>
      <c r="AC565" s="3"/>
      <c r="AD565" s="4"/>
      <c r="AE565" s="3"/>
      <c r="AF565" s="4"/>
      <c r="AG565" s="3"/>
      <c r="AH565" s="4"/>
      <c r="AI565" s="3"/>
      <c r="AJ565" s="4"/>
      <c r="AK565" s="3"/>
      <c r="AL565" s="4"/>
      <c r="AM565" s="3"/>
      <c r="AN565" s="4"/>
      <c r="AO565" s="3"/>
      <c r="AP565" s="4"/>
      <c r="AQ565" s="3"/>
      <c r="AR565" s="4"/>
      <c r="AS565" s="3"/>
      <c r="AT565" s="4"/>
      <c r="AU565" s="3"/>
      <c r="AV565" s="4"/>
      <c r="AW565" s="3"/>
      <c r="AX565" s="4"/>
      <c r="AY565" s="3"/>
      <c r="AZ565" s="4"/>
      <c r="BA565" s="3"/>
      <c r="BB565" s="4"/>
      <c r="BC565" s="3"/>
      <c r="BD565" s="4"/>
      <c r="BE565" s="3"/>
      <c r="BF565" s="4"/>
      <c r="BG565" s="3"/>
      <c r="BH565" s="4"/>
      <c r="BI565" s="3"/>
      <c r="BJ565" s="4"/>
      <c r="BK565" s="3"/>
      <c r="BL565" s="4"/>
      <c r="BM565" s="3"/>
      <c r="BN565" s="4"/>
      <c r="BO565" s="3"/>
      <c r="BP565" s="4"/>
      <c r="BQ565" s="3"/>
      <c r="BR565" s="4"/>
      <c r="BS565" s="3"/>
      <c r="BT565" s="4"/>
      <c r="BU565" s="3"/>
      <c r="BV565" s="4"/>
      <c r="BW565" s="3"/>
      <c r="BX565" s="4"/>
      <c r="BY565" s="3"/>
      <c r="BZ565" s="4"/>
      <c r="CA565" s="3"/>
      <c r="CB565" s="4"/>
      <c r="CC565" s="3"/>
      <c r="CD565" s="4"/>
    </row>
    <row r="566">
      <c r="A566" s="3"/>
      <c r="B566" s="4"/>
      <c r="C566" s="3"/>
      <c r="D566" s="4"/>
      <c r="E566" s="3"/>
      <c r="F566" s="4"/>
      <c r="G566" s="3"/>
      <c r="H566" s="4"/>
      <c r="I566" s="3"/>
      <c r="J566" s="4"/>
      <c r="K566" s="3"/>
      <c r="L566" s="4"/>
      <c r="M566" s="3"/>
      <c r="N566" s="4"/>
      <c r="O566" s="3"/>
      <c r="P566" s="4"/>
      <c r="Q566" s="3"/>
      <c r="R566" s="4"/>
      <c r="S566" s="3"/>
      <c r="T566" s="4"/>
      <c r="U566" s="3"/>
      <c r="V566" s="4"/>
      <c r="W566" s="3"/>
      <c r="X566" s="4"/>
      <c r="Y566" s="3"/>
      <c r="Z566" s="4"/>
      <c r="AA566" s="3"/>
      <c r="AB566" s="4"/>
      <c r="AC566" s="3"/>
      <c r="AD566" s="4"/>
      <c r="AE566" s="3"/>
      <c r="AF566" s="4"/>
      <c r="AG566" s="3"/>
      <c r="AH566" s="4"/>
      <c r="AI566" s="3"/>
      <c r="AJ566" s="4"/>
      <c r="AK566" s="3"/>
      <c r="AL566" s="4"/>
      <c r="AM566" s="3"/>
      <c r="AN566" s="4"/>
      <c r="AO566" s="3"/>
      <c r="AP566" s="4"/>
      <c r="AQ566" s="3"/>
      <c r="AR566" s="4"/>
      <c r="AS566" s="3"/>
      <c r="AT566" s="4"/>
      <c r="AU566" s="3"/>
      <c r="AV566" s="4"/>
      <c r="AW566" s="3"/>
      <c r="AX566" s="4"/>
      <c r="AY566" s="3"/>
      <c r="AZ566" s="4"/>
      <c r="BA566" s="3"/>
      <c r="BB566" s="4"/>
      <c r="BC566" s="3"/>
      <c r="BD566" s="4"/>
      <c r="BE566" s="3"/>
      <c r="BF566" s="4"/>
      <c r="BG566" s="3"/>
      <c r="BH566" s="4"/>
      <c r="BI566" s="3"/>
      <c r="BJ566" s="4"/>
      <c r="BK566" s="3"/>
      <c r="BL566" s="4"/>
      <c r="BM566" s="3"/>
      <c r="BN566" s="4"/>
      <c r="BO566" s="3"/>
      <c r="BP566" s="4"/>
      <c r="BQ566" s="3"/>
      <c r="BR566" s="4"/>
      <c r="BS566" s="3"/>
      <c r="BT566" s="4"/>
      <c r="BU566" s="3"/>
      <c r="BV566" s="4"/>
      <c r="BW566" s="3"/>
      <c r="BX566" s="4"/>
      <c r="BY566" s="3"/>
      <c r="BZ566" s="4"/>
      <c r="CA566" s="3"/>
      <c r="CB566" s="4"/>
      <c r="CC566" s="3"/>
      <c r="CD566" s="4"/>
    </row>
    <row r="567">
      <c r="A567" s="3"/>
      <c r="B567" s="4"/>
      <c r="C567" s="3"/>
      <c r="D567" s="4"/>
      <c r="E567" s="3"/>
      <c r="F567" s="4"/>
      <c r="G567" s="3"/>
      <c r="H567" s="4"/>
      <c r="I567" s="3"/>
      <c r="J567" s="4"/>
      <c r="K567" s="3"/>
      <c r="L567" s="4"/>
      <c r="M567" s="3"/>
      <c r="N567" s="4"/>
      <c r="O567" s="3"/>
      <c r="P567" s="4"/>
      <c r="Q567" s="3"/>
      <c r="R567" s="4"/>
      <c r="S567" s="3"/>
      <c r="T567" s="4"/>
      <c r="U567" s="3"/>
      <c r="V567" s="4"/>
      <c r="W567" s="3"/>
      <c r="X567" s="4"/>
      <c r="Y567" s="3"/>
      <c r="Z567" s="4"/>
      <c r="AA567" s="3"/>
      <c r="AB567" s="4"/>
      <c r="AC567" s="3"/>
      <c r="AD567" s="4"/>
      <c r="AE567" s="3"/>
      <c r="AF567" s="4"/>
      <c r="AG567" s="3"/>
      <c r="AH567" s="4"/>
      <c r="AI567" s="3"/>
      <c r="AJ567" s="4"/>
      <c r="AK567" s="3"/>
      <c r="AL567" s="4"/>
      <c r="AM567" s="3"/>
      <c r="AN567" s="4"/>
      <c r="AO567" s="3"/>
      <c r="AP567" s="4"/>
      <c r="AQ567" s="3"/>
      <c r="AR567" s="4"/>
      <c r="AS567" s="3"/>
      <c r="AT567" s="4"/>
      <c r="AU567" s="3"/>
      <c r="AV567" s="4"/>
      <c r="AW567" s="3"/>
      <c r="AX567" s="4"/>
      <c r="AY567" s="3"/>
      <c r="AZ567" s="4"/>
      <c r="BA567" s="3"/>
      <c r="BB567" s="4"/>
      <c r="BC567" s="3"/>
      <c r="BD567" s="4"/>
      <c r="BE567" s="3"/>
      <c r="BF567" s="4"/>
      <c r="BG567" s="3"/>
      <c r="BH567" s="4"/>
      <c r="BI567" s="3"/>
      <c r="BJ567" s="4"/>
      <c r="BK567" s="3"/>
      <c r="BL567" s="4"/>
      <c r="BM567" s="3"/>
      <c r="BN567" s="4"/>
      <c r="BO567" s="3"/>
      <c r="BP567" s="4"/>
      <c r="BQ567" s="3"/>
      <c r="BR567" s="4"/>
      <c r="BS567" s="3"/>
      <c r="BT567" s="4"/>
      <c r="BU567" s="3"/>
      <c r="BV567" s="4"/>
      <c r="BW567" s="3"/>
      <c r="BX567" s="4"/>
      <c r="BY567" s="3"/>
      <c r="BZ567" s="4"/>
      <c r="CA567" s="3"/>
      <c r="CB567" s="4"/>
      <c r="CC567" s="3"/>
      <c r="CD567" s="4"/>
    </row>
    <row r="568">
      <c r="A568" s="3"/>
      <c r="B568" s="4"/>
      <c r="C568" s="3"/>
      <c r="D568" s="4"/>
      <c r="E568" s="3"/>
      <c r="F568" s="4"/>
      <c r="G568" s="3"/>
      <c r="H568" s="4"/>
      <c r="I568" s="3"/>
      <c r="J568" s="4"/>
      <c r="K568" s="3"/>
      <c r="L568" s="4"/>
      <c r="M568" s="3"/>
      <c r="N568" s="4"/>
      <c r="O568" s="3"/>
      <c r="P568" s="4"/>
      <c r="Q568" s="3"/>
      <c r="R568" s="4"/>
      <c r="S568" s="3"/>
      <c r="T568" s="4"/>
      <c r="U568" s="3"/>
      <c r="V568" s="4"/>
      <c r="W568" s="3"/>
      <c r="X568" s="4"/>
      <c r="Y568" s="3"/>
      <c r="Z568" s="4"/>
      <c r="AA568" s="3"/>
      <c r="AB568" s="4"/>
      <c r="AC568" s="3"/>
      <c r="AD568" s="4"/>
      <c r="AE568" s="3"/>
      <c r="AF568" s="4"/>
      <c r="AG568" s="3"/>
      <c r="AH568" s="4"/>
      <c r="AI568" s="3"/>
      <c r="AJ568" s="4"/>
      <c r="AK568" s="3"/>
      <c r="AL568" s="4"/>
      <c r="AM568" s="3"/>
      <c r="AN568" s="4"/>
      <c r="AO568" s="3"/>
      <c r="AP568" s="4"/>
      <c r="AQ568" s="3"/>
      <c r="AR568" s="4"/>
      <c r="AS568" s="3"/>
      <c r="AT568" s="4"/>
      <c r="AU568" s="3"/>
      <c r="AV568" s="4"/>
      <c r="AW568" s="3"/>
      <c r="AX568" s="4"/>
      <c r="AY568" s="3"/>
      <c r="AZ568" s="4"/>
      <c r="BA568" s="3"/>
      <c r="BB568" s="4"/>
      <c r="BC568" s="3"/>
      <c r="BD568" s="4"/>
      <c r="BE568" s="3"/>
      <c r="BF568" s="4"/>
      <c r="BG568" s="3"/>
      <c r="BH568" s="4"/>
      <c r="BI568" s="3"/>
      <c r="BJ568" s="4"/>
      <c r="BK568" s="3"/>
      <c r="BL568" s="4"/>
      <c r="BM568" s="3"/>
      <c r="BN568" s="4"/>
      <c r="BO568" s="3"/>
      <c r="BP568" s="4"/>
      <c r="BQ568" s="3"/>
      <c r="BR568" s="4"/>
      <c r="BS568" s="3"/>
      <c r="BT568" s="4"/>
      <c r="BU568" s="3"/>
      <c r="BV568" s="4"/>
      <c r="BW568" s="3"/>
      <c r="BX568" s="4"/>
      <c r="BY568" s="3"/>
      <c r="BZ568" s="4"/>
      <c r="CA568" s="3"/>
      <c r="CB568" s="4"/>
      <c r="CC568" s="3"/>
      <c r="CD568" s="4"/>
    </row>
    <row r="569">
      <c r="A569" s="3"/>
      <c r="B569" s="4"/>
      <c r="C569" s="3"/>
      <c r="D569" s="4"/>
      <c r="E569" s="3"/>
      <c r="F569" s="4"/>
      <c r="G569" s="3"/>
      <c r="H569" s="4"/>
      <c r="I569" s="3"/>
      <c r="J569" s="4"/>
      <c r="K569" s="3"/>
      <c r="L569" s="4"/>
      <c r="M569" s="3"/>
      <c r="N569" s="4"/>
      <c r="O569" s="3"/>
      <c r="P569" s="4"/>
      <c r="Q569" s="3"/>
      <c r="R569" s="4"/>
      <c r="S569" s="3"/>
      <c r="T569" s="4"/>
      <c r="U569" s="3"/>
      <c r="V569" s="4"/>
      <c r="W569" s="3"/>
      <c r="X569" s="4"/>
      <c r="Y569" s="3"/>
      <c r="Z569" s="4"/>
      <c r="AA569" s="3"/>
      <c r="AB569" s="4"/>
      <c r="AC569" s="3"/>
      <c r="AD569" s="4"/>
      <c r="AE569" s="3"/>
      <c r="AF569" s="4"/>
      <c r="AG569" s="3"/>
      <c r="AH569" s="4"/>
      <c r="AI569" s="3"/>
      <c r="AJ569" s="4"/>
      <c r="AK569" s="3"/>
      <c r="AL569" s="4"/>
      <c r="AM569" s="3"/>
      <c r="AN569" s="4"/>
      <c r="AO569" s="3"/>
      <c r="AP569" s="4"/>
      <c r="AQ569" s="3"/>
      <c r="AR569" s="4"/>
      <c r="AS569" s="3"/>
      <c r="AT569" s="4"/>
      <c r="AU569" s="3"/>
      <c r="AV569" s="4"/>
      <c r="AW569" s="3"/>
      <c r="AX569" s="4"/>
      <c r="AY569" s="3"/>
      <c r="AZ569" s="4"/>
      <c r="BA569" s="3"/>
      <c r="BB569" s="4"/>
      <c r="BC569" s="3"/>
      <c r="BD569" s="4"/>
      <c r="BE569" s="3"/>
      <c r="BF569" s="4"/>
      <c r="BG569" s="3"/>
      <c r="BH569" s="4"/>
      <c r="BI569" s="3"/>
      <c r="BJ569" s="4"/>
      <c r="BK569" s="3"/>
      <c r="BL569" s="4"/>
      <c r="BM569" s="3"/>
      <c r="BN569" s="4"/>
      <c r="BO569" s="3"/>
      <c r="BP569" s="4"/>
      <c r="BQ569" s="3"/>
      <c r="BR569" s="4"/>
      <c r="BS569" s="3"/>
      <c r="BT569" s="4"/>
      <c r="BU569" s="3"/>
      <c r="BV569" s="4"/>
      <c r="BW569" s="3"/>
      <c r="BX569" s="4"/>
      <c r="BY569" s="3"/>
      <c r="BZ569" s="4"/>
      <c r="CA569" s="3"/>
      <c r="CB569" s="4"/>
      <c r="CC569" s="3"/>
      <c r="CD569" s="4"/>
    </row>
    <row r="570">
      <c r="A570" s="3"/>
      <c r="B570" s="4"/>
      <c r="C570" s="3"/>
      <c r="D570" s="4"/>
      <c r="E570" s="3"/>
      <c r="F570" s="4"/>
      <c r="G570" s="3"/>
      <c r="H570" s="4"/>
      <c r="I570" s="3"/>
      <c r="J570" s="4"/>
      <c r="K570" s="3"/>
      <c r="L570" s="4"/>
      <c r="M570" s="3"/>
      <c r="N570" s="4"/>
      <c r="O570" s="3"/>
      <c r="P570" s="4"/>
      <c r="Q570" s="3"/>
      <c r="R570" s="4"/>
      <c r="S570" s="3"/>
      <c r="T570" s="4"/>
      <c r="U570" s="3"/>
      <c r="V570" s="4"/>
      <c r="W570" s="3"/>
      <c r="X570" s="4"/>
      <c r="Y570" s="3"/>
      <c r="Z570" s="4"/>
      <c r="AA570" s="3"/>
      <c r="AB570" s="4"/>
      <c r="AC570" s="3"/>
      <c r="AD570" s="4"/>
      <c r="AE570" s="3"/>
      <c r="AF570" s="4"/>
      <c r="AG570" s="3"/>
      <c r="AH570" s="4"/>
      <c r="AI570" s="3"/>
      <c r="AJ570" s="4"/>
      <c r="AK570" s="3"/>
      <c r="AL570" s="4"/>
      <c r="AM570" s="3"/>
      <c r="AN570" s="4"/>
      <c r="AO570" s="3"/>
      <c r="AP570" s="4"/>
      <c r="AQ570" s="3"/>
      <c r="AR570" s="4"/>
      <c r="AS570" s="3"/>
      <c r="AT570" s="4"/>
      <c r="AU570" s="3"/>
      <c r="AV570" s="4"/>
      <c r="AW570" s="3"/>
      <c r="AX570" s="4"/>
      <c r="AY570" s="3"/>
      <c r="AZ570" s="4"/>
      <c r="BA570" s="3"/>
      <c r="BB570" s="4"/>
      <c r="BC570" s="3"/>
      <c r="BD570" s="4"/>
      <c r="BE570" s="3"/>
      <c r="BF570" s="4"/>
      <c r="BG570" s="3"/>
      <c r="BH570" s="4"/>
      <c r="BI570" s="3"/>
      <c r="BJ570" s="4"/>
      <c r="BK570" s="3"/>
      <c r="BL570" s="4"/>
      <c r="BM570" s="3"/>
      <c r="BN570" s="4"/>
      <c r="BO570" s="3"/>
      <c r="BP570" s="4"/>
      <c r="BQ570" s="3"/>
      <c r="BR570" s="4"/>
      <c r="BS570" s="3"/>
      <c r="BT570" s="4"/>
      <c r="BU570" s="3"/>
      <c r="BV570" s="4"/>
      <c r="BW570" s="3"/>
      <c r="BX570" s="4"/>
      <c r="BY570" s="3"/>
      <c r="BZ570" s="4"/>
      <c r="CA570" s="3"/>
      <c r="CB570" s="4"/>
      <c r="CC570" s="3"/>
      <c r="CD570" s="4"/>
    </row>
    <row r="571">
      <c r="A571" s="3"/>
      <c r="B571" s="4"/>
      <c r="C571" s="3"/>
      <c r="D571" s="4"/>
      <c r="E571" s="3"/>
      <c r="F571" s="4"/>
      <c r="G571" s="3"/>
      <c r="H571" s="4"/>
      <c r="I571" s="3"/>
      <c r="J571" s="4"/>
      <c r="K571" s="3"/>
      <c r="L571" s="4"/>
      <c r="M571" s="3"/>
      <c r="N571" s="4"/>
      <c r="O571" s="3"/>
      <c r="P571" s="4"/>
      <c r="Q571" s="3"/>
      <c r="R571" s="4"/>
      <c r="S571" s="3"/>
      <c r="T571" s="4"/>
      <c r="U571" s="3"/>
      <c r="V571" s="4"/>
      <c r="W571" s="3"/>
      <c r="X571" s="4"/>
      <c r="Y571" s="3"/>
      <c r="Z571" s="4"/>
      <c r="AA571" s="3"/>
      <c r="AB571" s="4"/>
      <c r="AC571" s="3"/>
      <c r="AD571" s="4"/>
      <c r="AE571" s="3"/>
      <c r="AF571" s="4"/>
      <c r="AG571" s="3"/>
      <c r="AH571" s="4"/>
      <c r="AI571" s="3"/>
      <c r="AJ571" s="4"/>
      <c r="AK571" s="3"/>
      <c r="AL571" s="4"/>
      <c r="AM571" s="3"/>
      <c r="AN571" s="4"/>
      <c r="AO571" s="3"/>
      <c r="AP571" s="4"/>
      <c r="AQ571" s="3"/>
      <c r="AR571" s="4"/>
      <c r="AS571" s="3"/>
      <c r="AT571" s="4"/>
      <c r="AU571" s="3"/>
      <c r="AV571" s="4"/>
      <c r="AW571" s="3"/>
      <c r="AX571" s="4"/>
      <c r="AY571" s="3"/>
      <c r="AZ571" s="4"/>
      <c r="BA571" s="3"/>
      <c r="BB571" s="4"/>
      <c r="BC571" s="3"/>
      <c r="BD571" s="4"/>
      <c r="BE571" s="3"/>
      <c r="BF571" s="4"/>
      <c r="BG571" s="3"/>
      <c r="BH571" s="4"/>
      <c r="BI571" s="3"/>
      <c r="BJ571" s="4"/>
      <c r="BK571" s="3"/>
      <c r="BL571" s="4"/>
      <c r="BM571" s="3"/>
      <c r="BN571" s="4"/>
      <c r="BO571" s="3"/>
      <c r="BP571" s="4"/>
      <c r="BQ571" s="3"/>
      <c r="BR571" s="4"/>
      <c r="BS571" s="3"/>
      <c r="BT571" s="4"/>
      <c r="BU571" s="3"/>
      <c r="BV571" s="4"/>
      <c r="BW571" s="3"/>
      <c r="BX571" s="4"/>
      <c r="BY571" s="3"/>
      <c r="BZ571" s="4"/>
      <c r="CA571" s="3"/>
      <c r="CB571" s="4"/>
      <c r="CC571" s="3"/>
      <c r="CD571" s="4"/>
    </row>
    <row r="572">
      <c r="A572" s="3"/>
      <c r="B572" s="4"/>
      <c r="C572" s="3"/>
      <c r="D572" s="4"/>
      <c r="E572" s="3"/>
      <c r="F572" s="4"/>
      <c r="G572" s="3"/>
      <c r="H572" s="4"/>
      <c r="I572" s="3"/>
      <c r="J572" s="4"/>
      <c r="K572" s="3"/>
      <c r="L572" s="4"/>
      <c r="M572" s="3"/>
      <c r="N572" s="4"/>
      <c r="O572" s="3"/>
      <c r="P572" s="4"/>
      <c r="Q572" s="3"/>
      <c r="R572" s="4"/>
      <c r="S572" s="3"/>
      <c r="T572" s="4"/>
      <c r="U572" s="3"/>
      <c r="V572" s="4"/>
      <c r="W572" s="3"/>
      <c r="X572" s="4"/>
      <c r="Y572" s="3"/>
      <c r="Z572" s="4"/>
      <c r="AA572" s="3"/>
      <c r="AB572" s="4"/>
      <c r="AC572" s="3"/>
      <c r="AD572" s="4"/>
      <c r="AE572" s="3"/>
      <c r="AF572" s="4"/>
      <c r="AG572" s="3"/>
      <c r="AH572" s="4"/>
      <c r="AI572" s="3"/>
      <c r="AJ572" s="4"/>
      <c r="AK572" s="3"/>
      <c r="AL572" s="4"/>
      <c r="AM572" s="3"/>
      <c r="AN572" s="4"/>
      <c r="AO572" s="3"/>
      <c r="AP572" s="4"/>
      <c r="AQ572" s="3"/>
      <c r="AR572" s="4"/>
      <c r="AS572" s="3"/>
      <c r="AT572" s="4"/>
      <c r="AU572" s="3"/>
      <c r="AV572" s="4"/>
      <c r="AW572" s="3"/>
      <c r="AX572" s="4"/>
      <c r="AY572" s="3"/>
      <c r="AZ572" s="4"/>
      <c r="BA572" s="3"/>
      <c r="BB572" s="4"/>
      <c r="BC572" s="3"/>
      <c r="BD572" s="4"/>
      <c r="BE572" s="3"/>
      <c r="BF572" s="4"/>
      <c r="BG572" s="3"/>
      <c r="BH572" s="4"/>
      <c r="BI572" s="3"/>
      <c r="BJ572" s="4"/>
      <c r="BK572" s="3"/>
      <c r="BL572" s="4"/>
      <c r="BM572" s="3"/>
      <c r="BN572" s="4"/>
      <c r="BO572" s="3"/>
      <c r="BP572" s="4"/>
      <c r="BQ572" s="3"/>
      <c r="BR572" s="4"/>
      <c r="BS572" s="3"/>
      <c r="BT572" s="4"/>
      <c r="BU572" s="3"/>
      <c r="BV572" s="4"/>
      <c r="BW572" s="3"/>
      <c r="BX572" s="4"/>
      <c r="BY572" s="3"/>
      <c r="BZ572" s="4"/>
      <c r="CA572" s="3"/>
      <c r="CB572" s="4"/>
      <c r="CC572" s="3"/>
      <c r="CD572" s="4"/>
    </row>
    <row r="573">
      <c r="A573" s="3"/>
      <c r="B573" s="4"/>
      <c r="C573" s="3"/>
      <c r="D573" s="4"/>
      <c r="E573" s="3"/>
      <c r="F573" s="4"/>
      <c r="G573" s="3"/>
      <c r="H573" s="4"/>
      <c r="I573" s="3"/>
      <c r="J573" s="4"/>
      <c r="K573" s="3"/>
      <c r="L573" s="4"/>
      <c r="M573" s="3"/>
      <c r="N573" s="4"/>
      <c r="O573" s="3"/>
      <c r="P573" s="4"/>
      <c r="Q573" s="3"/>
      <c r="R573" s="4"/>
      <c r="S573" s="3"/>
      <c r="T573" s="4"/>
      <c r="U573" s="3"/>
      <c r="V573" s="4"/>
      <c r="W573" s="3"/>
      <c r="X573" s="4"/>
      <c r="Y573" s="3"/>
      <c r="Z573" s="4"/>
      <c r="AA573" s="3"/>
      <c r="AB573" s="4"/>
      <c r="AC573" s="3"/>
      <c r="AD573" s="4"/>
      <c r="AE573" s="3"/>
      <c r="AF573" s="4"/>
      <c r="AG573" s="3"/>
      <c r="AH573" s="4"/>
      <c r="AI573" s="3"/>
      <c r="AJ573" s="4"/>
      <c r="AK573" s="3"/>
      <c r="AL573" s="4"/>
      <c r="AM573" s="3"/>
      <c r="AN573" s="4"/>
      <c r="AO573" s="3"/>
      <c r="AP573" s="4"/>
      <c r="AQ573" s="3"/>
      <c r="AR573" s="4"/>
      <c r="AS573" s="3"/>
      <c r="AT573" s="4"/>
      <c r="AU573" s="3"/>
      <c r="AV573" s="4"/>
      <c r="AW573" s="3"/>
      <c r="AX573" s="4"/>
      <c r="AY573" s="3"/>
      <c r="AZ573" s="4"/>
      <c r="BA573" s="3"/>
      <c r="BB573" s="4"/>
      <c r="BC573" s="3"/>
      <c r="BD573" s="4"/>
      <c r="BE573" s="3"/>
      <c r="BF573" s="4"/>
      <c r="BG573" s="3"/>
      <c r="BH573" s="4"/>
      <c r="BI573" s="3"/>
      <c r="BJ573" s="4"/>
      <c r="BK573" s="3"/>
      <c r="BL573" s="4"/>
      <c r="BM573" s="3"/>
      <c r="BN573" s="4"/>
      <c r="BO573" s="3"/>
      <c r="BP573" s="4"/>
      <c r="BQ573" s="3"/>
      <c r="BR573" s="4"/>
      <c r="BS573" s="3"/>
      <c r="BT573" s="4"/>
      <c r="BU573" s="3"/>
      <c r="BV573" s="4"/>
      <c r="BW573" s="3"/>
      <c r="BX573" s="4"/>
      <c r="BY573" s="3"/>
      <c r="BZ573" s="4"/>
      <c r="CA573" s="3"/>
      <c r="CB573" s="4"/>
      <c r="CC573" s="3"/>
      <c r="CD573" s="4"/>
    </row>
    <row r="574">
      <c r="A574" s="3"/>
      <c r="B574" s="4"/>
      <c r="C574" s="3"/>
      <c r="D574" s="4"/>
      <c r="E574" s="3"/>
      <c r="F574" s="4"/>
      <c r="G574" s="3"/>
      <c r="H574" s="4"/>
      <c r="I574" s="3"/>
      <c r="J574" s="4"/>
      <c r="K574" s="3"/>
      <c r="L574" s="4"/>
      <c r="M574" s="3"/>
      <c r="N574" s="4"/>
      <c r="O574" s="3"/>
      <c r="P574" s="4"/>
      <c r="Q574" s="3"/>
      <c r="R574" s="4"/>
      <c r="S574" s="3"/>
      <c r="T574" s="4"/>
      <c r="U574" s="3"/>
      <c r="V574" s="4"/>
      <c r="W574" s="3"/>
      <c r="X574" s="4"/>
      <c r="Y574" s="3"/>
      <c r="Z574" s="4"/>
      <c r="AA574" s="3"/>
      <c r="AB574" s="4"/>
      <c r="AC574" s="3"/>
      <c r="AD574" s="4"/>
      <c r="AE574" s="3"/>
      <c r="AF574" s="4"/>
      <c r="AG574" s="3"/>
      <c r="AH574" s="4"/>
      <c r="AI574" s="3"/>
      <c r="AJ574" s="4"/>
      <c r="AK574" s="3"/>
      <c r="AL574" s="4"/>
      <c r="AM574" s="3"/>
      <c r="AN574" s="4"/>
      <c r="AO574" s="3"/>
      <c r="AP574" s="4"/>
      <c r="AQ574" s="3"/>
      <c r="AR574" s="4"/>
      <c r="AS574" s="3"/>
      <c r="AT574" s="4"/>
      <c r="AU574" s="3"/>
      <c r="AV574" s="4"/>
      <c r="AW574" s="3"/>
      <c r="AX574" s="4"/>
      <c r="AY574" s="3"/>
      <c r="AZ574" s="4"/>
      <c r="BA574" s="3"/>
      <c r="BB574" s="4"/>
      <c r="BC574" s="3"/>
      <c r="BD574" s="4"/>
      <c r="BE574" s="3"/>
      <c r="BF574" s="4"/>
      <c r="BG574" s="3"/>
      <c r="BH574" s="4"/>
      <c r="BI574" s="3"/>
      <c r="BJ574" s="4"/>
      <c r="BK574" s="3"/>
      <c r="BL574" s="4"/>
      <c r="BM574" s="3"/>
      <c r="BN574" s="4"/>
      <c r="BO574" s="3"/>
      <c r="BP574" s="4"/>
      <c r="BQ574" s="3"/>
      <c r="BR574" s="4"/>
      <c r="BS574" s="3"/>
      <c r="BT574" s="4"/>
      <c r="BU574" s="3"/>
      <c r="BV574" s="4"/>
      <c r="BW574" s="3"/>
      <c r="BX574" s="4"/>
      <c r="BY574" s="3"/>
      <c r="BZ574" s="4"/>
      <c r="CA574" s="3"/>
      <c r="CB574" s="4"/>
      <c r="CC574" s="3"/>
      <c r="CD574" s="4"/>
    </row>
    <row r="575">
      <c r="A575" s="3"/>
      <c r="B575" s="4"/>
      <c r="C575" s="3"/>
      <c r="D575" s="4"/>
      <c r="E575" s="3"/>
      <c r="F575" s="4"/>
      <c r="G575" s="3"/>
      <c r="H575" s="4"/>
      <c r="I575" s="3"/>
      <c r="J575" s="4"/>
      <c r="K575" s="3"/>
      <c r="L575" s="4"/>
      <c r="M575" s="3"/>
      <c r="N575" s="4"/>
      <c r="O575" s="3"/>
      <c r="P575" s="4"/>
      <c r="Q575" s="3"/>
      <c r="R575" s="4"/>
      <c r="S575" s="3"/>
      <c r="T575" s="4"/>
      <c r="U575" s="3"/>
      <c r="V575" s="4"/>
      <c r="W575" s="3"/>
      <c r="X575" s="4"/>
      <c r="Y575" s="3"/>
      <c r="Z575" s="4"/>
      <c r="AA575" s="3"/>
      <c r="AB575" s="4"/>
      <c r="AC575" s="3"/>
      <c r="AD575" s="4"/>
      <c r="AE575" s="3"/>
      <c r="AF575" s="4"/>
      <c r="AG575" s="3"/>
      <c r="AH575" s="4"/>
      <c r="AI575" s="3"/>
      <c r="AJ575" s="4"/>
      <c r="AK575" s="3"/>
      <c r="AL575" s="4"/>
      <c r="AM575" s="3"/>
      <c r="AN575" s="4"/>
      <c r="AO575" s="3"/>
      <c r="AP575" s="4"/>
      <c r="AQ575" s="3"/>
      <c r="AR575" s="4"/>
      <c r="AS575" s="3"/>
      <c r="AT575" s="4"/>
      <c r="AU575" s="3"/>
      <c r="AV575" s="4"/>
      <c r="AW575" s="3"/>
      <c r="AX575" s="4"/>
      <c r="AY575" s="3"/>
      <c r="AZ575" s="4"/>
      <c r="BA575" s="3"/>
      <c r="BB575" s="4"/>
      <c r="BC575" s="3"/>
      <c r="BD575" s="4"/>
      <c r="BE575" s="3"/>
      <c r="BF575" s="4"/>
      <c r="BG575" s="3"/>
      <c r="BH575" s="4"/>
      <c r="BI575" s="3"/>
      <c r="BJ575" s="4"/>
      <c r="BK575" s="3"/>
      <c r="BL575" s="4"/>
      <c r="BM575" s="3"/>
      <c r="BN575" s="4"/>
      <c r="BO575" s="3"/>
      <c r="BP575" s="4"/>
      <c r="BQ575" s="3"/>
      <c r="BR575" s="4"/>
      <c r="BS575" s="3"/>
      <c r="BT575" s="4"/>
      <c r="BU575" s="3"/>
      <c r="BV575" s="4"/>
      <c r="BW575" s="3"/>
      <c r="BX575" s="4"/>
      <c r="BY575" s="3"/>
      <c r="BZ575" s="4"/>
      <c r="CA575" s="3"/>
      <c r="CB575" s="4"/>
      <c r="CC575" s="3"/>
      <c r="CD575" s="4"/>
    </row>
    <row r="576">
      <c r="A576" s="3"/>
      <c r="B576" s="4"/>
      <c r="C576" s="3"/>
      <c r="D576" s="4"/>
      <c r="E576" s="3"/>
      <c r="F576" s="4"/>
      <c r="G576" s="3"/>
      <c r="H576" s="4"/>
      <c r="I576" s="3"/>
      <c r="J576" s="4"/>
      <c r="K576" s="3"/>
      <c r="L576" s="4"/>
      <c r="M576" s="3"/>
      <c r="N576" s="4"/>
      <c r="O576" s="3"/>
      <c r="P576" s="4"/>
      <c r="Q576" s="3"/>
      <c r="R576" s="4"/>
      <c r="S576" s="3"/>
      <c r="T576" s="4"/>
      <c r="U576" s="3"/>
      <c r="V576" s="4"/>
      <c r="W576" s="3"/>
      <c r="X576" s="4"/>
      <c r="Y576" s="3"/>
      <c r="Z576" s="4"/>
      <c r="AA576" s="3"/>
      <c r="AB576" s="4"/>
      <c r="AC576" s="3"/>
      <c r="AD576" s="4"/>
      <c r="AE576" s="3"/>
      <c r="AF576" s="4"/>
      <c r="AG576" s="3"/>
      <c r="AH576" s="4"/>
      <c r="AI576" s="3"/>
      <c r="AJ576" s="4"/>
      <c r="AK576" s="3"/>
      <c r="AL576" s="4"/>
      <c r="AM576" s="3"/>
      <c r="AN576" s="4"/>
      <c r="AO576" s="3"/>
      <c r="AP576" s="4"/>
      <c r="AQ576" s="3"/>
      <c r="AR576" s="4"/>
      <c r="AS576" s="3"/>
      <c r="AT576" s="4"/>
      <c r="AU576" s="3"/>
      <c r="AV576" s="4"/>
      <c r="AW576" s="3"/>
      <c r="AX576" s="4"/>
      <c r="AY576" s="3"/>
      <c r="AZ576" s="4"/>
      <c r="BA576" s="3"/>
      <c r="BB576" s="4"/>
      <c r="BC576" s="3"/>
      <c r="BD576" s="4"/>
      <c r="BE576" s="3"/>
      <c r="BF576" s="4"/>
      <c r="BG576" s="3"/>
      <c r="BH576" s="4"/>
      <c r="BI576" s="3"/>
      <c r="BJ576" s="4"/>
      <c r="BK576" s="3"/>
      <c r="BL576" s="4"/>
      <c r="BM576" s="3"/>
      <c r="BN576" s="4"/>
      <c r="BO576" s="3"/>
      <c r="BP576" s="4"/>
      <c r="BQ576" s="3"/>
      <c r="BR576" s="4"/>
      <c r="BS576" s="3"/>
      <c r="BT576" s="4"/>
      <c r="BU576" s="3"/>
      <c r="BV576" s="4"/>
      <c r="BW576" s="3"/>
      <c r="BX576" s="4"/>
      <c r="BY576" s="3"/>
      <c r="BZ576" s="4"/>
      <c r="CA576" s="3"/>
      <c r="CB576" s="4"/>
      <c r="CC576" s="3"/>
      <c r="CD576" s="4"/>
    </row>
    <row r="577">
      <c r="A577" s="3"/>
      <c r="B577" s="4"/>
      <c r="C577" s="3"/>
      <c r="D577" s="4"/>
      <c r="E577" s="3"/>
      <c r="F577" s="4"/>
      <c r="G577" s="3"/>
      <c r="H577" s="4"/>
      <c r="I577" s="3"/>
      <c r="J577" s="4"/>
      <c r="K577" s="3"/>
      <c r="L577" s="4"/>
      <c r="M577" s="3"/>
      <c r="N577" s="4"/>
      <c r="O577" s="3"/>
      <c r="P577" s="4"/>
      <c r="Q577" s="3"/>
      <c r="R577" s="4"/>
      <c r="S577" s="3"/>
      <c r="T577" s="4"/>
      <c r="U577" s="3"/>
      <c r="V577" s="4"/>
      <c r="W577" s="3"/>
      <c r="X577" s="4"/>
      <c r="Y577" s="3"/>
      <c r="Z577" s="4"/>
      <c r="AA577" s="3"/>
      <c r="AB577" s="4"/>
      <c r="AC577" s="3"/>
      <c r="AD577" s="4"/>
      <c r="AE577" s="3"/>
      <c r="AF577" s="4"/>
      <c r="AG577" s="3"/>
      <c r="AH577" s="4"/>
      <c r="AI577" s="3"/>
      <c r="AJ577" s="4"/>
      <c r="AK577" s="3"/>
      <c r="AL577" s="4"/>
      <c r="AM577" s="3"/>
      <c r="AN577" s="4"/>
      <c r="AO577" s="3"/>
      <c r="AP577" s="4"/>
      <c r="AQ577" s="3"/>
      <c r="AR577" s="4"/>
      <c r="AS577" s="3"/>
      <c r="AT577" s="4"/>
      <c r="AU577" s="3"/>
      <c r="AV577" s="4"/>
      <c r="AW577" s="3"/>
      <c r="AX577" s="4"/>
      <c r="AY577" s="3"/>
      <c r="AZ577" s="4"/>
      <c r="BA577" s="3"/>
      <c r="BB577" s="4"/>
      <c r="BC577" s="3"/>
      <c r="BD577" s="4"/>
      <c r="BE577" s="3"/>
      <c r="BF577" s="4"/>
      <c r="BG577" s="3"/>
      <c r="BH577" s="4"/>
      <c r="BI577" s="3"/>
      <c r="BJ577" s="4"/>
      <c r="BK577" s="3"/>
      <c r="BL577" s="4"/>
      <c r="BM577" s="3"/>
      <c r="BN577" s="4"/>
      <c r="BO577" s="3"/>
      <c r="BP577" s="4"/>
      <c r="BQ577" s="3"/>
      <c r="BR577" s="4"/>
      <c r="BS577" s="3"/>
      <c r="BT577" s="4"/>
      <c r="BU577" s="3"/>
      <c r="BV577" s="4"/>
      <c r="BW577" s="3"/>
      <c r="BX577" s="4"/>
      <c r="BY577" s="3"/>
      <c r="BZ577" s="4"/>
      <c r="CA577" s="3"/>
      <c r="CB577" s="4"/>
      <c r="CC577" s="3"/>
      <c r="CD577" s="4"/>
    </row>
    <row r="578">
      <c r="A578" s="3"/>
      <c r="B578" s="4"/>
      <c r="C578" s="3"/>
      <c r="D578" s="4"/>
      <c r="E578" s="3"/>
      <c r="F578" s="4"/>
      <c r="G578" s="3"/>
      <c r="H578" s="4"/>
      <c r="I578" s="3"/>
      <c r="J578" s="4"/>
      <c r="K578" s="3"/>
      <c r="L578" s="4"/>
      <c r="M578" s="3"/>
      <c r="N578" s="4"/>
      <c r="O578" s="3"/>
      <c r="P578" s="4"/>
      <c r="Q578" s="3"/>
      <c r="R578" s="4"/>
      <c r="S578" s="3"/>
      <c r="T578" s="4"/>
      <c r="U578" s="3"/>
      <c r="V578" s="4"/>
      <c r="W578" s="3"/>
      <c r="X578" s="4"/>
      <c r="Y578" s="3"/>
      <c r="Z578" s="4"/>
      <c r="AA578" s="3"/>
      <c r="AB578" s="4"/>
      <c r="AC578" s="3"/>
      <c r="AD578" s="4"/>
      <c r="AE578" s="3"/>
      <c r="AF578" s="4"/>
      <c r="AG578" s="3"/>
      <c r="AH578" s="4"/>
      <c r="AI578" s="3"/>
      <c r="AJ578" s="4"/>
      <c r="AK578" s="3"/>
      <c r="AL578" s="4"/>
      <c r="AM578" s="3"/>
      <c r="AN578" s="4"/>
      <c r="AO578" s="3"/>
      <c r="AP578" s="4"/>
      <c r="AQ578" s="3"/>
      <c r="AR578" s="4"/>
      <c r="AS578" s="3"/>
      <c r="AT578" s="4"/>
      <c r="AU578" s="3"/>
      <c r="AV578" s="4"/>
      <c r="AW578" s="3"/>
      <c r="AX578" s="4"/>
      <c r="AY578" s="3"/>
      <c r="AZ578" s="4"/>
      <c r="BA578" s="3"/>
      <c r="BB578" s="4"/>
      <c r="BC578" s="3"/>
      <c r="BD578" s="4"/>
      <c r="BE578" s="3"/>
      <c r="BF578" s="4"/>
      <c r="BG578" s="3"/>
      <c r="BH578" s="4"/>
      <c r="BI578" s="3"/>
      <c r="BJ578" s="4"/>
      <c r="BK578" s="3"/>
      <c r="BL578" s="4"/>
      <c r="BM578" s="3"/>
      <c r="BN578" s="4"/>
      <c r="BO578" s="3"/>
      <c r="BP578" s="4"/>
      <c r="BQ578" s="3"/>
      <c r="BR578" s="4"/>
      <c r="BS578" s="3"/>
      <c r="BT578" s="4"/>
      <c r="BU578" s="3"/>
      <c r="BV578" s="4"/>
      <c r="BW578" s="3"/>
      <c r="BX578" s="4"/>
      <c r="BY578" s="3"/>
      <c r="BZ578" s="4"/>
      <c r="CA578" s="3"/>
      <c r="CB578" s="4"/>
      <c r="CC578" s="3"/>
      <c r="CD578" s="4"/>
    </row>
    <row r="579">
      <c r="A579" s="3"/>
      <c r="B579" s="4"/>
      <c r="C579" s="3"/>
      <c r="D579" s="4"/>
      <c r="E579" s="3"/>
      <c r="F579" s="4"/>
      <c r="G579" s="3"/>
      <c r="H579" s="4"/>
      <c r="I579" s="3"/>
      <c r="J579" s="4"/>
      <c r="K579" s="3"/>
      <c r="L579" s="4"/>
      <c r="M579" s="3"/>
      <c r="N579" s="4"/>
      <c r="O579" s="3"/>
      <c r="P579" s="4"/>
      <c r="Q579" s="3"/>
      <c r="R579" s="4"/>
      <c r="S579" s="3"/>
      <c r="T579" s="4"/>
      <c r="U579" s="3"/>
      <c r="V579" s="4"/>
      <c r="W579" s="3"/>
      <c r="X579" s="4"/>
      <c r="Y579" s="3"/>
      <c r="Z579" s="4"/>
      <c r="AA579" s="3"/>
      <c r="AB579" s="4"/>
      <c r="AC579" s="3"/>
      <c r="AD579" s="4"/>
      <c r="AE579" s="3"/>
      <c r="AF579" s="4"/>
      <c r="AG579" s="3"/>
      <c r="AH579" s="4"/>
      <c r="AI579" s="3"/>
      <c r="AJ579" s="4"/>
      <c r="AK579" s="3"/>
      <c r="AL579" s="4"/>
      <c r="AM579" s="3"/>
      <c r="AN579" s="4"/>
      <c r="AO579" s="3"/>
      <c r="AP579" s="4"/>
      <c r="AQ579" s="3"/>
      <c r="AR579" s="4"/>
      <c r="AS579" s="3"/>
      <c r="AT579" s="4"/>
      <c r="AU579" s="3"/>
      <c r="AV579" s="4"/>
      <c r="AW579" s="3"/>
      <c r="AX579" s="4"/>
      <c r="AY579" s="3"/>
      <c r="AZ579" s="4"/>
      <c r="BA579" s="3"/>
      <c r="BB579" s="4"/>
      <c r="BC579" s="3"/>
      <c r="BD579" s="4"/>
      <c r="BE579" s="3"/>
      <c r="BF579" s="4"/>
      <c r="BG579" s="3"/>
      <c r="BH579" s="4"/>
      <c r="BI579" s="3"/>
      <c r="BJ579" s="4"/>
      <c r="BK579" s="3"/>
      <c r="BL579" s="4"/>
      <c r="BM579" s="3"/>
      <c r="BN579" s="4"/>
      <c r="BO579" s="3"/>
      <c r="BP579" s="4"/>
      <c r="BQ579" s="3"/>
      <c r="BR579" s="4"/>
      <c r="BS579" s="3"/>
      <c r="BT579" s="4"/>
      <c r="BU579" s="3"/>
      <c r="BV579" s="4"/>
      <c r="BW579" s="3"/>
      <c r="BX579" s="4"/>
      <c r="BY579" s="3"/>
      <c r="BZ579" s="4"/>
      <c r="CA579" s="3"/>
      <c r="CB579" s="4"/>
      <c r="CC579" s="3"/>
      <c r="CD579" s="4"/>
    </row>
    <row r="580">
      <c r="A580" s="3"/>
      <c r="B580" s="4"/>
      <c r="C580" s="3"/>
      <c r="D580" s="4"/>
      <c r="E580" s="3"/>
      <c r="F580" s="4"/>
      <c r="G580" s="3"/>
      <c r="H580" s="4"/>
      <c r="I580" s="3"/>
      <c r="J580" s="4"/>
      <c r="K580" s="3"/>
      <c r="L580" s="4"/>
      <c r="M580" s="3"/>
      <c r="N580" s="4"/>
      <c r="O580" s="3"/>
      <c r="P580" s="4"/>
      <c r="Q580" s="3"/>
      <c r="R580" s="4"/>
      <c r="S580" s="3"/>
      <c r="T580" s="4"/>
      <c r="U580" s="3"/>
      <c r="V580" s="4"/>
      <c r="W580" s="3"/>
      <c r="X580" s="4"/>
      <c r="Y580" s="3"/>
      <c r="Z580" s="4"/>
      <c r="AA580" s="3"/>
      <c r="AB580" s="4"/>
      <c r="AC580" s="3"/>
      <c r="AD580" s="4"/>
      <c r="AE580" s="3"/>
      <c r="AF580" s="4"/>
      <c r="AG580" s="3"/>
      <c r="AH580" s="4"/>
      <c r="AI580" s="3"/>
      <c r="AJ580" s="4"/>
      <c r="AK580" s="3"/>
      <c r="AL580" s="4"/>
      <c r="AM580" s="3"/>
      <c r="AN580" s="4"/>
      <c r="AO580" s="3"/>
      <c r="AP580" s="4"/>
      <c r="AQ580" s="3"/>
      <c r="AR580" s="4"/>
      <c r="AS580" s="3"/>
      <c r="AT580" s="4"/>
      <c r="AU580" s="3"/>
      <c r="AV580" s="4"/>
      <c r="AW580" s="3"/>
      <c r="AX580" s="4"/>
      <c r="AY580" s="3"/>
      <c r="AZ580" s="4"/>
      <c r="BA580" s="3"/>
      <c r="BB580" s="4"/>
      <c r="BC580" s="3"/>
      <c r="BD580" s="4"/>
      <c r="BE580" s="3"/>
      <c r="BF580" s="4"/>
      <c r="BG580" s="3"/>
      <c r="BH580" s="4"/>
      <c r="BI580" s="3"/>
      <c r="BJ580" s="4"/>
      <c r="BK580" s="3"/>
      <c r="BL580" s="4"/>
      <c r="BM580" s="3"/>
      <c r="BN580" s="4"/>
      <c r="BO580" s="3"/>
      <c r="BP580" s="4"/>
      <c r="BQ580" s="3"/>
      <c r="BR580" s="4"/>
      <c r="BS580" s="3"/>
      <c r="BT580" s="4"/>
      <c r="BU580" s="3"/>
      <c r="BV580" s="4"/>
      <c r="BW580" s="3"/>
      <c r="BX580" s="4"/>
      <c r="BY580" s="3"/>
      <c r="BZ580" s="4"/>
      <c r="CA580" s="3"/>
      <c r="CB580" s="4"/>
      <c r="CC580" s="3"/>
      <c r="CD580" s="4"/>
    </row>
    <row r="581">
      <c r="A581" s="3"/>
      <c r="B581" s="4"/>
      <c r="C581" s="3"/>
      <c r="D581" s="4"/>
      <c r="E581" s="3"/>
      <c r="F581" s="4"/>
      <c r="G581" s="3"/>
      <c r="H581" s="4"/>
      <c r="I581" s="3"/>
      <c r="J581" s="4"/>
      <c r="K581" s="3"/>
      <c r="L581" s="4"/>
      <c r="M581" s="3"/>
      <c r="N581" s="4"/>
      <c r="O581" s="3"/>
      <c r="P581" s="4"/>
      <c r="Q581" s="3"/>
      <c r="R581" s="4"/>
      <c r="S581" s="3"/>
      <c r="T581" s="4"/>
      <c r="U581" s="3"/>
      <c r="V581" s="4"/>
      <c r="W581" s="3"/>
      <c r="X581" s="4"/>
      <c r="Y581" s="3"/>
      <c r="Z581" s="4"/>
      <c r="AA581" s="3"/>
      <c r="AB581" s="4"/>
      <c r="AC581" s="3"/>
      <c r="AD581" s="4"/>
      <c r="AE581" s="3"/>
      <c r="AF581" s="4"/>
      <c r="AG581" s="3"/>
      <c r="AH581" s="4"/>
      <c r="AI581" s="3"/>
      <c r="AJ581" s="4"/>
      <c r="AK581" s="3"/>
      <c r="AL581" s="4"/>
      <c r="AM581" s="3"/>
      <c r="AN581" s="4"/>
      <c r="AO581" s="3"/>
      <c r="AP581" s="4"/>
      <c r="AQ581" s="3"/>
      <c r="AR581" s="4"/>
      <c r="AS581" s="3"/>
      <c r="AT581" s="4"/>
      <c r="AU581" s="3"/>
      <c r="AV581" s="4"/>
      <c r="AW581" s="3"/>
      <c r="AX581" s="4"/>
      <c r="AY581" s="3"/>
      <c r="AZ581" s="4"/>
      <c r="BA581" s="3"/>
      <c r="BB581" s="4"/>
      <c r="BC581" s="3"/>
      <c r="BD581" s="4"/>
      <c r="BE581" s="3"/>
      <c r="BF581" s="4"/>
      <c r="BG581" s="3"/>
      <c r="BH581" s="4"/>
      <c r="BI581" s="3"/>
      <c r="BJ581" s="4"/>
      <c r="BK581" s="3"/>
      <c r="BL581" s="4"/>
      <c r="BM581" s="3"/>
      <c r="BN581" s="4"/>
      <c r="BO581" s="3"/>
      <c r="BP581" s="4"/>
      <c r="BQ581" s="3"/>
      <c r="BR581" s="4"/>
      <c r="BS581" s="3"/>
      <c r="BT581" s="4"/>
      <c r="BU581" s="3"/>
      <c r="BV581" s="4"/>
      <c r="BW581" s="3"/>
      <c r="BX581" s="4"/>
      <c r="BY581" s="3"/>
      <c r="BZ581" s="4"/>
      <c r="CA581" s="3"/>
      <c r="CB581" s="4"/>
      <c r="CC581" s="3"/>
      <c r="CD581" s="4"/>
    </row>
    <row r="582">
      <c r="A582" s="3"/>
      <c r="B582" s="4"/>
      <c r="C582" s="3"/>
      <c r="D582" s="4"/>
      <c r="E582" s="3"/>
      <c r="F582" s="4"/>
      <c r="G582" s="3"/>
      <c r="H582" s="4"/>
      <c r="I582" s="3"/>
      <c r="J582" s="4"/>
      <c r="K582" s="3"/>
      <c r="L582" s="4"/>
      <c r="M582" s="3"/>
      <c r="N582" s="4"/>
      <c r="O582" s="3"/>
      <c r="P582" s="4"/>
      <c r="Q582" s="3"/>
      <c r="R582" s="4"/>
      <c r="S582" s="3"/>
      <c r="T582" s="4"/>
      <c r="U582" s="3"/>
      <c r="V582" s="4"/>
      <c r="W582" s="3"/>
      <c r="X582" s="4"/>
      <c r="Y582" s="3"/>
      <c r="Z582" s="4"/>
      <c r="AA582" s="3"/>
      <c r="AB582" s="4"/>
      <c r="AC582" s="3"/>
      <c r="AD582" s="4"/>
      <c r="AE582" s="3"/>
      <c r="AF582" s="4"/>
      <c r="AG582" s="3"/>
      <c r="AH582" s="4"/>
      <c r="AI582" s="3"/>
      <c r="AJ582" s="4"/>
      <c r="AK582" s="3"/>
      <c r="AL582" s="4"/>
      <c r="AM582" s="3"/>
      <c r="AN582" s="4"/>
      <c r="AO582" s="3"/>
      <c r="AP582" s="4"/>
      <c r="AQ582" s="3"/>
      <c r="AR582" s="4"/>
      <c r="AS582" s="3"/>
      <c r="AT582" s="4"/>
      <c r="AU582" s="3"/>
      <c r="AV582" s="4"/>
      <c r="AW582" s="3"/>
      <c r="AX582" s="4"/>
      <c r="AY582" s="3"/>
      <c r="AZ582" s="4"/>
      <c r="BA582" s="3"/>
      <c r="BB582" s="4"/>
      <c r="BC582" s="3"/>
      <c r="BD582" s="4"/>
      <c r="BE582" s="3"/>
      <c r="BF582" s="4"/>
      <c r="BG582" s="3"/>
      <c r="BH582" s="4"/>
      <c r="BI582" s="3"/>
      <c r="BJ582" s="4"/>
      <c r="BK582" s="3"/>
      <c r="BL582" s="4"/>
      <c r="BM582" s="3"/>
      <c r="BN582" s="4"/>
      <c r="BO582" s="3"/>
      <c r="BP582" s="4"/>
      <c r="BQ582" s="3"/>
      <c r="BR582" s="4"/>
      <c r="BS582" s="3"/>
      <c r="BT582" s="4"/>
      <c r="BU582" s="3"/>
      <c r="BV582" s="4"/>
      <c r="BW582" s="3"/>
      <c r="BX582" s="4"/>
      <c r="BY582" s="3"/>
      <c r="BZ582" s="4"/>
      <c r="CA582" s="3"/>
      <c r="CB582" s="4"/>
      <c r="CC582" s="3"/>
      <c r="CD582" s="4"/>
    </row>
    <row r="583">
      <c r="A583" s="3"/>
      <c r="B583" s="4"/>
      <c r="C583" s="3"/>
      <c r="D583" s="4"/>
      <c r="E583" s="3"/>
      <c r="F583" s="4"/>
      <c r="G583" s="3"/>
      <c r="H583" s="4"/>
      <c r="I583" s="3"/>
      <c r="J583" s="4"/>
      <c r="K583" s="3"/>
      <c r="L583" s="4"/>
      <c r="M583" s="3"/>
      <c r="N583" s="4"/>
      <c r="O583" s="3"/>
      <c r="P583" s="4"/>
      <c r="Q583" s="3"/>
      <c r="R583" s="4"/>
      <c r="S583" s="3"/>
      <c r="T583" s="4"/>
      <c r="U583" s="3"/>
      <c r="V583" s="4"/>
      <c r="W583" s="3"/>
      <c r="X583" s="4"/>
      <c r="Y583" s="3"/>
      <c r="Z583" s="4"/>
      <c r="AA583" s="3"/>
      <c r="AB583" s="4"/>
      <c r="AC583" s="3"/>
      <c r="AD583" s="4"/>
      <c r="AE583" s="3"/>
      <c r="AF583" s="4"/>
      <c r="AG583" s="3"/>
      <c r="AH583" s="4"/>
      <c r="AI583" s="3"/>
      <c r="AJ583" s="4"/>
      <c r="AK583" s="3"/>
      <c r="AL583" s="4"/>
      <c r="AM583" s="3"/>
      <c r="AN583" s="4"/>
      <c r="AO583" s="3"/>
      <c r="AP583" s="4"/>
      <c r="AQ583" s="3"/>
      <c r="AR583" s="4"/>
      <c r="AS583" s="3"/>
      <c r="AT583" s="4"/>
      <c r="AU583" s="3"/>
      <c r="AV583" s="4"/>
      <c r="AW583" s="3"/>
      <c r="AX583" s="4"/>
      <c r="AY583" s="3"/>
      <c r="AZ583" s="4"/>
      <c r="BA583" s="3"/>
      <c r="BB583" s="4"/>
      <c r="BC583" s="3"/>
      <c r="BD583" s="4"/>
      <c r="BE583" s="3"/>
      <c r="BF583" s="4"/>
      <c r="BG583" s="3"/>
      <c r="BH583" s="4"/>
      <c r="BI583" s="3"/>
      <c r="BJ583" s="4"/>
      <c r="BK583" s="3"/>
      <c r="BL583" s="4"/>
      <c r="BM583" s="3"/>
      <c r="BN583" s="4"/>
      <c r="BO583" s="3"/>
      <c r="BP583" s="4"/>
      <c r="BQ583" s="3"/>
      <c r="BR583" s="4"/>
      <c r="BS583" s="3"/>
      <c r="BT583" s="4"/>
      <c r="BU583" s="3"/>
      <c r="BV583" s="4"/>
      <c r="BW583" s="3"/>
      <c r="BX583" s="4"/>
      <c r="BY583" s="3"/>
      <c r="BZ583" s="4"/>
      <c r="CA583" s="3"/>
      <c r="CB583" s="4"/>
      <c r="CC583" s="3"/>
      <c r="CD583" s="4"/>
    </row>
    <row r="584">
      <c r="A584" s="3"/>
      <c r="B584" s="4"/>
      <c r="C584" s="3"/>
      <c r="D584" s="4"/>
      <c r="E584" s="3"/>
      <c r="F584" s="4"/>
      <c r="G584" s="3"/>
      <c r="H584" s="4"/>
      <c r="I584" s="3"/>
      <c r="J584" s="4"/>
      <c r="K584" s="3"/>
      <c r="L584" s="4"/>
      <c r="M584" s="3"/>
      <c r="N584" s="4"/>
      <c r="O584" s="3"/>
      <c r="P584" s="4"/>
      <c r="Q584" s="3"/>
      <c r="R584" s="4"/>
      <c r="S584" s="3"/>
      <c r="T584" s="4"/>
      <c r="U584" s="3"/>
      <c r="V584" s="4"/>
      <c r="W584" s="3"/>
      <c r="X584" s="4"/>
      <c r="Y584" s="3"/>
      <c r="Z584" s="4"/>
      <c r="AA584" s="3"/>
      <c r="AB584" s="4"/>
      <c r="AC584" s="3"/>
      <c r="AD584" s="4"/>
      <c r="AE584" s="3"/>
      <c r="AF584" s="4"/>
      <c r="AG584" s="3"/>
      <c r="AH584" s="4"/>
      <c r="AI584" s="3"/>
      <c r="AJ584" s="4"/>
      <c r="AK584" s="3"/>
      <c r="AL584" s="4"/>
      <c r="AM584" s="3"/>
      <c r="AN584" s="4"/>
      <c r="AO584" s="3"/>
      <c r="AP584" s="4"/>
      <c r="AQ584" s="3"/>
      <c r="AR584" s="4"/>
      <c r="AS584" s="3"/>
      <c r="AT584" s="4"/>
      <c r="AU584" s="3"/>
      <c r="AV584" s="4"/>
      <c r="AW584" s="3"/>
      <c r="AX584" s="4"/>
      <c r="AY584" s="3"/>
      <c r="AZ584" s="4"/>
      <c r="BA584" s="3"/>
      <c r="BB584" s="4"/>
      <c r="BC584" s="3"/>
      <c r="BD584" s="4"/>
      <c r="BE584" s="3"/>
      <c r="BF584" s="4"/>
      <c r="BG584" s="3"/>
      <c r="BH584" s="4"/>
      <c r="BI584" s="3"/>
      <c r="BJ584" s="4"/>
      <c r="BK584" s="3"/>
      <c r="BL584" s="4"/>
      <c r="BM584" s="3"/>
      <c r="BN584" s="4"/>
      <c r="BO584" s="3"/>
      <c r="BP584" s="4"/>
      <c r="BQ584" s="3"/>
      <c r="BR584" s="4"/>
      <c r="BS584" s="3"/>
      <c r="BT584" s="4"/>
      <c r="BU584" s="3"/>
      <c r="BV584" s="4"/>
      <c r="BW584" s="3"/>
      <c r="BX584" s="4"/>
      <c r="BY584" s="3"/>
      <c r="BZ584" s="4"/>
      <c r="CA584" s="3"/>
      <c r="CB584" s="4"/>
      <c r="CC584" s="3"/>
      <c r="CD584" s="4"/>
    </row>
    <row r="585">
      <c r="A585" s="3"/>
      <c r="B585" s="4"/>
      <c r="C585" s="3"/>
      <c r="D585" s="4"/>
      <c r="E585" s="3"/>
      <c r="F585" s="4"/>
      <c r="G585" s="3"/>
      <c r="H585" s="4"/>
      <c r="I585" s="3"/>
      <c r="J585" s="4"/>
      <c r="K585" s="3"/>
      <c r="L585" s="4"/>
      <c r="M585" s="3"/>
      <c r="N585" s="4"/>
      <c r="O585" s="3"/>
      <c r="P585" s="4"/>
      <c r="Q585" s="3"/>
      <c r="R585" s="4"/>
      <c r="S585" s="3"/>
      <c r="T585" s="4"/>
      <c r="U585" s="3"/>
      <c r="V585" s="4"/>
      <c r="W585" s="3"/>
      <c r="X585" s="4"/>
      <c r="Y585" s="3"/>
      <c r="Z585" s="4"/>
      <c r="AA585" s="3"/>
      <c r="AB585" s="4"/>
      <c r="AC585" s="3"/>
      <c r="AD585" s="4"/>
      <c r="AE585" s="3"/>
      <c r="AF585" s="4"/>
      <c r="AG585" s="3"/>
      <c r="AH585" s="4"/>
      <c r="AI585" s="3"/>
      <c r="AJ585" s="4"/>
      <c r="AK585" s="3"/>
      <c r="AL585" s="4"/>
      <c r="AM585" s="3"/>
      <c r="AN585" s="4"/>
      <c r="AO585" s="3"/>
      <c r="AP585" s="4"/>
      <c r="AQ585" s="3"/>
      <c r="AR585" s="4"/>
      <c r="AS585" s="3"/>
      <c r="AT585" s="4"/>
      <c r="AU585" s="3"/>
      <c r="AV585" s="4"/>
      <c r="AW585" s="3"/>
      <c r="AX585" s="4"/>
      <c r="AY585" s="3"/>
      <c r="AZ585" s="4"/>
      <c r="BA585" s="3"/>
      <c r="BB585" s="4"/>
      <c r="BC585" s="3"/>
      <c r="BD585" s="4"/>
      <c r="BE585" s="3"/>
      <c r="BF585" s="4"/>
      <c r="BG585" s="3"/>
      <c r="BH585" s="4"/>
      <c r="BI585" s="3"/>
      <c r="BJ585" s="4"/>
      <c r="BK585" s="3"/>
      <c r="BL585" s="4"/>
      <c r="BM585" s="3"/>
      <c r="BN585" s="4"/>
      <c r="BO585" s="3"/>
      <c r="BP585" s="4"/>
      <c r="BQ585" s="3"/>
      <c r="BR585" s="4"/>
      <c r="BS585" s="3"/>
      <c r="BT585" s="4"/>
      <c r="BU585" s="3"/>
      <c r="BV585" s="4"/>
      <c r="BW585" s="3"/>
      <c r="BX585" s="4"/>
      <c r="BY585" s="3"/>
      <c r="BZ585" s="4"/>
      <c r="CA585" s="3"/>
      <c r="CB585" s="4"/>
      <c r="CC585" s="3"/>
      <c r="CD585" s="4"/>
    </row>
    <row r="586">
      <c r="A586" s="3"/>
      <c r="B586" s="4"/>
      <c r="C586" s="3"/>
      <c r="D586" s="4"/>
      <c r="E586" s="3"/>
      <c r="F586" s="4"/>
      <c r="G586" s="3"/>
      <c r="H586" s="4"/>
      <c r="I586" s="3"/>
      <c r="J586" s="4"/>
      <c r="K586" s="3"/>
      <c r="L586" s="4"/>
      <c r="M586" s="3"/>
      <c r="N586" s="4"/>
      <c r="O586" s="3"/>
      <c r="P586" s="4"/>
      <c r="Q586" s="3"/>
      <c r="R586" s="4"/>
      <c r="S586" s="3"/>
      <c r="T586" s="4"/>
      <c r="U586" s="3"/>
      <c r="V586" s="4"/>
      <c r="W586" s="3"/>
      <c r="X586" s="4"/>
      <c r="Y586" s="3"/>
      <c r="Z586" s="4"/>
      <c r="AA586" s="3"/>
      <c r="AB586" s="4"/>
      <c r="AC586" s="3"/>
      <c r="AD586" s="4"/>
      <c r="AE586" s="3"/>
      <c r="AF586" s="4"/>
      <c r="AG586" s="3"/>
      <c r="AH586" s="4"/>
      <c r="AI586" s="3"/>
      <c r="AJ586" s="4"/>
      <c r="AK586" s="3"/>
      <c r="AL586" s="4"/>
      <c r="AM586" s="3"/>
      <c r="AN586" s="4"/>
      <c r="AO586" s="3"/>
      <c r="AP586" s="4"/>
      <c r="AQ586" s="3"/>
      <c r="AR586" s="4"/>
      <c r="AS586" s="3"/>
      <c r="AT586" s="4"/>
      <c r="AU586" s="3"/>
      <c r="AV586" s="4"/>
      <c r="AW586" s="3"/>
      <c r="AX586" s="4"/>
      <c r="AY586" s="3"/>
      <c r="AZ586" s="4"/>
      <c r="BA586" s="3"/>
      <c r="BB586" s="4"/>
      <c r="BC586" s="3"/>
      <c r="BD586" s="4"/>
      <c r="BE586" s="3"/>
      <c r="BF586" s="4"/>
      <c r="BG586" s="3"/>
      <c r="BH586" s="4"/>
      <c r="BI586" s="3"/>
      <c r="BJ586" s="4"/>
      <c r="BK586" s="3"/>
      <c r="BL586" s="4"/>
      <c r="BM586" s="3"/>
      <c r="BN586" s="4"/>
      <c r="BO586" s="3"/>
      <c r="BP586" s="4"/>
      <c r="BQ586" s="3"/>
      <c r="BR586" s="4"/>
      <c r="BS586" s="3"/>
      <c r="BT586" s="4"/>
      <c r="BU586" s="3"/>
      <c r="BV586" s="4"/>
      <c r="BW586" s="3"/>
      <c r="BX586" s="4"/>
      <c r="BY586" s="3"/>
      <c r="BZ586" s="4"/>
      <c r="CA586" s="3"/>
      <c r="CB586" s="4"/>
      <c r="CC586" s="3"/>
      <c r="CD586" s="4"/>
    </row>
    <row r="587">
      <c r="A587" s="3"/>
      <c r="B587" s="4"/>
      <c r="C587" s="3"/>
      <c r="D587" s="4"/>
      <c r="E587" s="3"/>
      <c r="F587" s="4"/>
      <c r="G587" s="3"/>
      <c r="H587" s="4"/>
      <c r="I587" s="3"/>
      <c r="J587" s="4"/>
      <c r="K587" s="3"/>
      <c r="L587" s="4"/>
      <c r="M587" s="3"/>
      <c r="N587" s="4"/>
      <c r="O587" s="3"/>
      <c r="P587" s="4"/>
      <c r="Q587" s="3"/>
      <c r="R587" s="4"/>
      <c r="S587" s="3"/>
      <c r="T587" s="4"/>
      <c r="U587" s="3"/>
      <c r="V587" s="4"/>
      <c r="W587" s="3"/>
      <c r="X587" s="4"/>
      <c r="Y587" s="3"/>
      <c r="Z587" s="4"/>
      <c r="AA587" s="3"/>
      <c r="AB587" s="4"/>
      <c r="AC587" s="3"/>
      <c r="AD587" s="4"/>
      <c r="AE587" s="3"/>
      <c r="AF587" s="4"/>
      <c r="AG587" s="3"/>
      <c r="AH587" s="4"/>
      <c r="AI587" s="3"/>
      <c r="AJ587" s="4"/>
      <c r="AK587" s="3"/>
      <c r="AL587" s="4"/>
      <c r="AM587" s="3"/>
      <c r="AN587" s="4"/>
      <c r="AO587" s="3"/>
      <c r="AP587" s="4"/>
      <c r="AQ587" s="3"/>
      <c r="AR587" s="4"/>
      <c r="AS587" s="3"/>
      <c r="AT587" s="4"/>
      <c r="AU587" s="3"/>
      <c r="AV587" s="4"/>
      <c r="AW587" s="3"/>
      <c r="AX587" s="4"/>
      <c r="AY587" s="3"/>
      <c r="AZ587" s="4"/>
      <c r="BA587" s="3"/>
      <c r="BB587" s="4"/>
      <c r="BC587" s="3"/>
      <c r="BD587" s="4"/>
      <c r="BE587" s="3"/>
      <c r="BF587" s="4"/>
      <c r="BG587" s="3"/>
      <c r="BH587" s="4"/>
      <c r="BI587" s="3"/>
      <c r="BJ587" s="4"/>
      <c r="BK587" s="3"/>
      <c r="BL587" s="4"/>
      <c r="BM587" s="3"/>
      <c r="BN587" s="4"/>
      <c r="BO587" s="3"/>
      <c r="BP587" s="4"/>
      <c r="BQ587" s="3"/>
      <c r="BR587" s="4"/>
      <c r="BS587" s="3"/>
      <c r="BT587" s="4"/>
      <c r="BU587" s="3"/>
      <c r="BV587" s="4"/>
      <c r="BW587" s="3"/>
      <c r="BX587" s="4"/>
      <c r="BY587" s="3"/>
      <c r="BZ587" s="4"/>
      <c r="CA587" s="3"/>
      <c r="CB587" s="4"/>
      <c r="CC587" s="3"/>
      <c r="CD587" s="4"/>
    </row>
    <row r="588">
      <c r="A588" s="3"/>
      <c r="B588" s="4"/>
      <c r="C588" s="3"/>
      <c r="D588" s="4"/>
      <c r="E588" s="3"/>
      <c r="F588" s="4"/>
      <c r="G588" s="3"/>
      <c r="H588" s="4"/>
      <c r="I588" s="3"/>
      <c r="J588" s="4"/>
      <c r="K588" s="3"/>
      <c r="L588" s="4"/>
      <c r="M588" s="3"/>
      <c r="N588" s="4"/>
      <c r="O588" s="3"/>
      <c r="P588" s="4"/>
      <c r="Q588" s="3"/>
      <c r="R588" s="4"/>
      <c r="S588" s="3"/>
      <c r="T588" s="4"/>
      <c r="U588" s="3"/>
      <c r="V588" s="4"/>
      <c r="W588" s="3"/>
      <c r="X588" s="4"/>
      <c r="Y588" s="3"/>
      <c r="Z588" s="4"/>
      <c r="AA588" s="3"/>
      <c r="AB588" s="4"/>
      <c r="AC588" s="3"/>
      <c r="AD588" s="4"/>
      <c r="AE588" s="3"/>
      <c r="AF588" s="4"/>
      <c r="AG588" s="3"/>
      <c r="AH588" s="4"/>
      <c r="AI588" s="3"/>
      <c r="AJ588" s="4"/>
      <c r="AK588" s="3"/>
      <c r="AL588" s="4"/>
      <c r="AM588" s="3"/>
      <c r="AN588" s="4"/>
      <c r="AO588" s="3"/>
      <c r="AP588" s="4"/>
      <c r="AQ588" s="3"/>
      <c r="AR588" s="4"/>
      <c r="AS588" s="3"/>
      <c r="AT588" s="4"/>
      <c r="AU588" s="3"/>
      <c r="AV588" s="4"/>
      <c r="AW588" s="3"/>
      <c r="AX588" s="4"/>
      <c r="AY588" s="3"/>
      <c r="AZ588" s="4"/>
      <c r="BA588" s="3"/>
      <c r="BB588" s="4"/>
      <c r="BC588" s="3"/>
      <c r="BD588" s="4"/>
      <c r="BE588" s="3"/>
      <c r="BF588" s="4"/>
      <c r="BG588" s="3"/>
      <c r="BH588" s="4"/>
      <c r="BI588" s="3"/>
      <c r="BJ588" s="4"/>
      <c r="BK588" s="3"/>
      <c r="BL588" s="4"/>
      <c r="BM588" s="3"/>
      <c r="BN588" s="4"/>
      <c r="BO588" s="3"/>
      <c r="BP588" s="4"/>
      <c r="BQ588" s="3"/>
      <c r="BR588" s="4"/>
      <c r="BS588" s="3"/>
      <c r="BT588" s="4"/>
      <c r="BU588" s="3"/>
      <c r="BV588" s="4"/>
      <c r="BW588" s="3"/>
      <c r="BX588" s="4"/>
      <c r="BY588" s="3"/>
      <c r="BZ588" s="4"/>
      <c r="CA588" s="3"/>
      <c r="CB588" s="4"/>
      <c r="CC588" s="3"/>
      <c r="CD588" s="4"/>
    </row>
    <row r="589">
      <c r="A589" s="3"/>
      <c r="B589" s="4"/>
      <c r="C589" s="3"/>
      <c r="D589" s="4"/>
      <c r="E589" s="3"/>
      <c r="F589" s="4"/>
      <c r="G589" s="3"/>
      <c r="H589" s="4"/>
      <c r="I589" s="3"/>
      <c r="J589" s="4"/>
      <c r="K589" s="3"/>
      <c r="L589" s="4"/>
      <c r="M589" s="3"/>
      <c r="N589" s="4"/>
      <c r="O589" s="3"/>
      <c r="P589" s="4"/>
      <c r="Q589" s="3"/>
      <c r="R589" s="4"/>
      <c r="S589" s="3"/>
      <c r="T589" s="4"/>
      <c r="U589" s="3"/>
      <c r="V589" s="4"/>
      <c r="W589" s="3"/>
      <c r="X589" s="4"/>
      <c r="Y589" s="3"/>
      <c r="Z589" s="4"/>
      <c r="AA589" s="3"/>
      <c r="AB589" s="4"/>
      <c r="AC589" s="3"/>
      <c r="AD589" s="4"/>
      <c r="AE589" s="3"/>
      <c r="AF589" s="4"/>
      <c r="AG589" s="3"/>
      <c r="AH589" s="4"/>
      <c r="AI589" s="3"/>
      <c r="AJ589" s="4"/>
      <c r="AK589" s="3"/>
      <c r="AL589" s="4"/>
      <c r="AM589" s="3"/>
      <c r="AN589" s="4"/>
      <c r="AO589" s="3"/>
      <c r="AP589" s="4"/>
      <c r="AQ589" s="3"/>
      <c r="AR589" s="4"/>
      <c r="AS589" s="3"/>
      <c r="AT589" s="4"/>
      <c r="AU589" s="3"/>
      <c r="AV589" s="4"/>
      <c r="AW589" s="3"/>
      <c r="AX589" s="4"/>
      <c r="AY589" s="3"/>
      <c r="AZ589" s="4"/>
      <c r="BA589" s="3"/>
      <c r="BB589" s="4"/>
      <c r="BC589" s="3"/>
      <c r="BD589" s="4"/>
      <c r="BE589" s="3"/>
      <c r="BF589" s="4"/>
      <c r="BG589" s="3"/>
      <c r="BH589" s="4"/>
      <c r="BI589" s="3"/>
      <c r="BJ589" s="4"/>
      <c r="BK589" s="3"/>
      <c r="BL589" s="4"/>
      <c r="BM589" s="3"/>
      <c r="BN589" s="4"/>
      <c r="BO589" s="3"/>
      <c r="BP589" s="4"/>
      <c r="BQ589" s="3"/>
      <c r="BR589" s="4"/>
      <c r="BS589" s="3"/>
      <c r="BT589" s="4"/>
      <c r="BU589" s="3"/>
      <c r="BV589" s="4"/>
      <c r="BW589" s="3"/>
      <c r="BX589" s="4"/>
      <c r="BY589" s="3"/>
      <c r="BZ589" s="4"/>
      <c r="CA589" s="3"/>
      <c r="CB589" s="4"/>
      <c r="CC589" s="3"/>
      <c r="CD589" s="4"/>
    </row>
    <row r="590">
      <c r="A590" s="3"/>
      <c r="B590" s="4"/>
      <c r="C590" s="3"/>
      <c r="D590" s="4"/>
      <c r="E590" s="3"/>
      <c r="F590" s="4"/>
      <c r="G590" s="3"/>
      <c r="H590" s="4"/>
      <c r="I590" s="3"/>
      <c r="J590" s="4"/>
      <c r="K590" s="3"/>
      <c r="L590" s="4"/>
      <c r="M590" s="3"/>
      <c r="N590" s="4"/>
      <c r="O590" s="3"/>
      <c r="P590" s="4"/>
      <c r="Q590" s="3"/>
      <c r="R590" s="4"/>
      <c r="S590" s="3"/>
      <c r="T590" s="4"/>
      <c r="U590" s="3"/>
      <c r="V590" s="4"/>
      <c r="W590" s="3"/>
      <c r="X590" s="4"/>
      <c r="Y590" s="3"/>
      <c r="Z590" s="4"/>
      <c r="AA590" s="3"/>
      <c r="AB590" s="4"/>
      <c r="AC590" s="3"/>
      <c r="AD590" s="4"/>
      <c r="AE590" s="3"/>
      <c r="AF590" s="4"/>
      <c r="AG590" s="3"/>
      <c r="AH590" s="4"/>
      <c r="AI590" s="3"/>
      <c r="AJ590" s="4"/>
      <c r="AK590" s="3"/>
      <c r="AL590" s="4"/>
      <c r="AM590" s="3"/>
      <c r="AN590" s="4"/>
      <c r="AO590" s="3"/>
      <c r="AP590" s="4"/>
      <c r="AQ590" s="3"/>
      <c r="AR590" s="4"/>
      <c r="AS590" s="3"/>
      <c r="AT590" s="4"/>
      <c r="AU590" s="3"/>
      <c r="AV590" s="4"/>
      <c r="AW590" s="3"/>
      <c r="AX590" s="4"/>
      <c r="AY590" s="3"/>
      <c r="AZ590" s="4"/>
      <c r="BA590" s="3"/>
      <c r="BB590" s="4"/>
      <c r="BC590" s="3"/>
      <c r="BD590" s="4"/>
      <c r="BE590" s="3"/>
      <c r="BF590" s="4"/>
      <c r="BG590" s="3"/>
      <c r="BH590" s="4"/>
      <c r="BI590" s="3"/>
      <c r="BJ590" s="4"/>
      <c r="BK590" s="3"/>
      <c r="BL590" s="4"/>
      <c r="BM590" s="3"/>
      <c r="BN590" s="4"/>
      <c r="BO590" s="3"/>
      <c r="BP590" s="4"/>
      <c r="BQ590" s="3"/>
      <c r="BR590" s="4"/>
      <c r="BS590" s="3"/>
      <c r="BT590" s="4"/>
      <c r="BU590" s="3"/>
      <c r="BV590" s="4"/>
      <c r="BW590" s="3"/>
      <c r="BX590" s="4"/>
      <c r="BY590" s="3"/>
      <c r="BZ590" s="4"/>
      <c r="CA590" s="3"/>
      <c r="CB590" s="4"/>
      <c r="CC590" s="3"/>
      <c r="CD590" s="4"/>
    </row>
    <row r="591">
      <c r="A591" s="3"/>
      <c r="B591" s="4"/>
      <c r="C591" s="3"/>
      <c r="D591" s="4"/>
      <c r="E591" s="3"/>
      <c r="F591" s="4"/>
      <c r="G591" s="3"/>
      <c r="H591" s="4"/>
      <c r="I591" s="3"/>
      <c r="J591" s="4"/>
      <c r="K591" s="3"/>
      <c r="L591" s="4"/>
      <c r="M591" s="3"/>
      <c r="N591" s="4"/>
      <c r="O591" s="3"/>
      <c r="P591" s="4"/>
      <c r="Q591" s="3"/>
      <c r="R591" s="4"/>
      <c r="S591" s="3"/>
      <c r="T591" s="4"/>
      <c r="U591" s="3"/>
      <c r="V591" s="4"/>
      <c r="W591" s="3"/>
      <c r="X591" s="4"/>
      <c r="Y591" s="3"/>
      <c r="Z591" s="4"/>
      <c r="AA591" s="3"/>
      <c r="AB591" s="4"/>
      <c r="AC591" s="3"/>
      <c r="AD591" s="4"/>
      <c r="AE591" s="3"/>
      <c r="AF591" s="4"/>
      <c r="AG591" s="3"/>
      <c r="AH591" s="4"/>
      <c r="AI591" s="3"/>
      <c r="AJ591" s="4"/>
      <c r="AK591" s="3"/>
      <c r="AL591" s="4"/>
      <c r="AM591" s="3"/>
      <c r="AN591" s="4"/>
      <c r="AO591" s="3"/>
      <c r="AP591" s="4"/>
      <c r="AQ591" s="3"/>
      <c r="AR591" s="4"/>
      <c r="AS591" s="3"/>
      <c r="AT591" s="4"/>
      <c r="AU591" s="3"/>
      <c r="AV591" s="4"/>
      <c r="AW591" s="3"/>
      <c r="AX591" s="4"/>
      <c r="AY591" s="3"/>
      <c r="AZ591" s="4"/>
      <c r="BA591" s="3"/>
      <c r="BB591" s="4"/>
      <c r="BC591" s="3"/>
      <c r="BD591" s="4"/>
      <c r="BE591" s="3"/>
      <c r="BF591" s="4"/>
      <c r="BG591" s="3"/>
      <c r="BH591" s="4"/>
      <c r="BI591" s="3"/>
      <c r="BJ591" s="4"/>
      <c r="BK591" s="3"/>
      <c r="BL591" s="4"/>
      <c r="BM591" s="3"/>
      <c r="BN591" s="4"/>
      <c r="BO591" s="3"/>
      <c r="BP591" s="4"/>
      <c r="BQ591" s="3"/>
      <c r="BR591" s="4"/>
      <c r="BS591" s="3"/>
      <c r="BT591" s="4"/>
      <c r="BU591" s="3"/>
      <c r="BV591" s="4"/>
      <c r="BW591" s="3"/>
      <c r="BX591" s="4"/>
      <c r="BY591" s="3"/>
      <c r="BZ591" s="4"/>
      <c r="CA591" s="3"/>
      <c r="CB591" s="4"/>
      <c r="CC591" s="3"/>
      <c r="CD591" s="4"/>
    </row>
    <row r="592">
      <c r="A592" s="3"/>
      <c r="B592" s="4"/>
      <c r="C592" s="3"/>
      <c r="D592" s="4"/>
      <c r="E592" s="3"/>
      <c r="F592" s="4"/>
      <c r="G592" s="3"/>
      <c r="H592" s="4"/>
      <c r="I592" s="3"/>
      <c r="J592" s="4"/>
      <c r="K592" s="3"/>
      <c r="L592" s="4"/>
      <c r="M592" s="3"/>
      <c r="N592" s="4"/>
      <c r="O592" s="3"/>
      <c r="P592" s="4"/>
      <c r="Q592" s="3"/>
      <c r="R592" s="4"/>
      <c r="S592" s="3"/>
      <c r="T592" s="4"/>
      <c r="U592" s="3"/>
      <c r="V592" s="4"/>
      <c r="W592" s="3"/>
      <c r="X592" s="4"/>
      <c r="Y592" s="3"/>
      <c r="Z592" s="4"/>
      <c r="AA592" s="3"/>
      <c r="AB592" s="4"/>
      <c r="AC592" s="3"/>
      <c r="AD592" s="4"/>
      <c r="AE592" s="3"/>
      <c r="AF592" s="4"/>
      <c r="AG592" s="3"/>
      <c r="AH592" s="4"/>
      <c r="AI592" s="3"/>
      <c r="AJ592" s="4"/>
      <c r="AK592" s="3"/>
      <c r="AL592" s="4"/>
      <c r="AM592" s="3"/>
      <c r="AN592" s="4"/>
      <c r="AO592" s="3"/>
      <c r="AP592" s="4"/>
      <c r="AQ592" s="3"/>
      <c r="AR592" s="4"/>
      <c r="AS592" s="3"/>
      <c r="AT592" s="4"/>
      <c r="AU592" s="3"/>
      <c r="AV592" s="4"/>
      <c r="AW592" s="3"/>
      <c r="AX592" s="4"/>
      <c r="AY592" s="3"/>
      <c r="AZ592" s="4"/>
      <c r="BA592" s="3"/>
      <c r="BB592" s="4"/>
      <c r="BC592" s="3"/>
      <c r="BD592" s="4"/>
      <c r="BE592" s="3"/>
      <c r="BF592" s="4"/>
      <c r="BG592" s="3"/>
      <c r="BH592" s="4"/>
      <c r="BI592" s="3"/>
      <c r="BJ592" s="4"/>
      <c r="BK592" s="3"/>
      <c r="BL592" s="4"/>
      <c r="BM592" s="3"/>
      <c r="BN592" s="4"/>
      <c r="BO592" s="3"/>
      <c r="BP592" s="4"/>
      <c r="BQ592" s="3"/>
      <c r="BR592" s="4"/>
      <c r="BS592" s="3"/>
      <c r="BT592" s="4"/>
      <c r="BU592" s="3"/>
      <c r="BV592" s="4"/>
      <c r="BW592" s="3"/>
      <c r="BX592" s="4"/>
      <c r="BY592" s="3"/>
      <c r="BZ592" s="4"/>
      <c r="CA592" s="3"/>
      <c r="CB592" s="4"/>
      <c r="CC592" s="3"/>
      <c r="CD592" s="4"/>
    </row>
    <row r="593">
      <c r="A593" s="3"/>
      <c r="B593" s="4"/>
      <c r="C593" s="3"/>
      <c r="D593" s="4"/>
      <c r="E593" s="3"/>
      <c r="F593" s="4"/>
      <c r="G593" s="3"/>
      <c r="H593" s="4"/>
      <c r="I593" s="3"/>
      <c r="J593" s="4"/>
      <c r="K593" s="3"/>
      <c r="L593" s="4"/>
      <c r="M593" s="3"/>
      <c r="N593" s="4"/>
      <c r="O593" s="3"/>
      <c r="P593" s="4"/>
      <c r="Q593" s="3"/>
      <c r="R593" s="4"/>
      <c r="S593" s="3"/>
      <c r="T593" s="4"/>
      <c r="U593" s="3"/>
      <c r="V593" s="4"/>
      <c r="W593" s="3"/>
      <c r="X593" s="4"/>
      <c r="Y593" s="3"/>
      <c r="Z593" s="4"/>
      <c r="AA593" s="3"/>
      <c r="AB593" s="4"/>
      <c r="AC593" s="3"/>
      <c r="AD593" s="4"/>
      <c r="AE593" s="3"/>
      <c r="AF593" s="4"/>
      <c r="AG593" s="3"/>
      <c r="AH593" s="4"/>
      <c r="AI593" s="3"/>
      <c r="AJ593" s="4"/>
      <c r="AK593" s="3"/>
      <c r="AL593" s="4"/>
      <c r="AM593" s="3"/>
      <c r="AN593" s="4"/>
      <c r="AO593" s="3"/>
      <c r="AP593" s="4"/>
      <c r="AQ593" s="3"/>
      <c r="AR593" s="4"/>
      <c r="AS593" s="3"/>
      <c r="AT593" s="4"/>
      <c r="AU593" s="3"/>
      <c r="AV593" s="4"/>
      <c r="AW593" s="3"/>
      <c r="AX593" s="4"/>
      <c r="AY593" s="3"/>
      <c r="AZ593" s="4"/>
      <c r="BA593" s="3"/>
      <c r="BB593" s="4"/>
      <c r="BC593" s="3"/>
      <c r="BD593" s="4"/>
      <c r="BE593" s="3"/>
      <c r="BF593" s="4"/>
      <c r="BG593" s="3"/>
      <c r="BH593" s="4"/>
      <c r="BI593" s="3"/>
      <c r="BJ593" s="4"/>
      <c r="BK593" s="3"/>
      <c r="BL593" s="4"/>
      <c r="BM593" s="3"/>
      <c r="BN593" s="4"/>
      <c r="BO593" s="3"/>
      <c r="BP593" s="4"/>
      <c r="BQ593" s="3"/>
      <c r="BR593" s="4"/>
      <c r="BS593" s="3"/>
      <c r="BT593" s="4"/>
      <c r="BU593" s="3"/>
      <c r="BV593" s="4"/>
      <c r="BW593" s="3"/>
      <c r="BX593" s="4"/>
      <c r="BY593" s="3"/>
      <c r="BZ593" s="4"/>
      <c r="CA593" s="3"/>
      <c r="CB593" s="4"/>
      <c r="CC593" s="3"/>
      <c r="CD593" s="4"/>
    </row>
    <row r="594">
      <c r="A594" s="3"/>
      <c r="B594" s="4"/>
      <c r="C594" s="3"/>
      <c r="D594" s="4"/>
      <c r="E594" s="3"/>
      <c r="F594" s="4"/>
      <c r="G594" s="3"/>
      <c r="H594" s="4"/>
      <c r="I594" s="3"/>
      <c r="J594" s="4"/>
      <c r="K594" s="3"/>
      <c r="L594" s="4"/>
      <c r="M594" s="3"/>
      <c r="N594" s="4"/>
      <c r="O594" s="3"/>
      <c r="P594" s="4"/>
      <c r="Q594" s="3"/>
      <c r="R594" s="4"/>
      <c r="S594" s="3"/>
      <c r="T594" s="4"/>
      <c r="U594" s="3"/>
      <c r="V594" s="4"/>
      <c r="W594" s="3"/>
      <c r="X594" s="4"/>
      <c r="Y594" s="3"/>
      <c r="Z594" s="4"/>
      <c r="AA594" s="3"/>
      <c r="AB594" s="4"/>
      <c r="AC594" s="3"/>
      <c r="AD594" s="4"/>
      <c r="AE594" s="3"/>
      <c r="AF594" s="4"/>
      <c r="AG594" s="3"/>
      <c r="AH594" s="4"/>
      <c r="AI594" s="3"/>
      <c r="AJ594" s="4"/>
      <c r="AK594" s="3"/>
      <c r="AL594" s="4"/>
      <c r="AM594" s="3"/>
      <c r="AN594" s="4"/>
      <c r="AO594" s="3"/>
      <c r="AP594" s="4"/>
      <c r="AQ594" s="3"/>
      <c r="AR594" s="4"/>
      <c r="AS594" s="3"/>
      <c r="AT594" s="4"/>
      <c r="AU594" s="3"/>
      <c r="AV594" s="4"/>
      <c r="AW594" s="3"/>
      <c r="AX594" s="4"/>
      <c r="AY594" s="3"/>
      <c r="AZ594" s="4"/>
      <c r="BA594" s="3"/>
      <c r="BB594" s="4"/>
      <c r="BC594" s="3"/>
      <c r="BD594" s="4"/>
      <c r="BE594" s="3"/>
      <c r="BF594" s="4"/>
      <c r="BG594" s="3"/>
      <c r="BH594" s="4"/>
      <c r="BI594" s="3"/>
      <c r="BJ594" s="4"/>
      <c r="BK594" s="3"/>
      <c r="BL594" s="4"/>
      <c r="BM594" s="3"/>
      <c r="BN594" s="4"/>
      <c r="BO594" s="3"/>
      <c r="BP594" s="4"/>
      <c r="BQ594" s="3"/>
      <c r="BR594" s="4"/>
      <c r="BS594" s="3"/>
      <c r="BT594" s="4"/>
      <c r="BU594" s="3"/>
      <c r="BV594" s="4"/>
      <c r="BW594" s="3"/>
      <c r="BX594" s="4"/>
      <c r="BY594" s="3"/>
      <c r="BZ594" s="4"/>
      <c r="CA594" s="3"/>
      <c r="CB594" s="4"/>
      <c r="CC594" s="3"/>
      <c r="CD594" s="4"/>
    </row>
    <row r="595">
      <c r="A595" s="3"/>
      <c r="B595" s="4"/>
      <c r="C595" s="3"/>
      <c r="D595" s="4"/>
      <c r="E595" s="3"/>
      <c r="F595" s="4"/>
      <c r="G595" s="3"/>
      <c r="H595" s="4"/>
      <c r="I595" s="3"/>
      <c r="J595" s="4"/>
      <c r="K595" s="3"/>
      <c r="L595" s="4"/>
      <c r="M595" s="3"/>
      <c r="N595" s="4"/>
      <c r="O595" s="3"/>
      <c r="P595" s="4"/>
      <c r="Q595" s="3"/>
      <c r="R595" s="4"/>
      <c r="S595" s="3"/>
      <c r="T595" s="4"/>
      <c r="U595" s="3"/>
      <c r="V595" s="4"/>
      <c r="W595" s="3"/>
      <c r="X595" s="4"/>
      <c r="Y595" s="3"/>
      <c r="Z595" s="4"/>
      <c r="AA595" s="3"/>
      <c r="AB595" s="4"/>
      <c r="AC595" s="3"/>
      <c r="AD595" s="4"/>
      <c r="AE595" s="3"/>
      <c r="AF595" s="4"/>
      <c r="AG595" s="3"/>
      <c r="AH595" s="4"/>
      <c r="AI595" s="3"/>
      <c r="AJ595" s="4"/>
      <c r="AK595" s="3"/>
      <c r="AL595" s="4"/>
      <c r="AM595" s="3"/>
      <c r="AN595" s="4"/>
      <c r="AO595" s="3"/>
      <c r="AP595" s="4"/>
      <c r="AQ595" s="3"/>
      <c r="AR595" s="4"/>
      <c r="AS595" s="3"/>
      <c r="AT595" s="4"/>
      <c r="AU595" s="3"/>
      <c r="AV595" s="4"/>
      <c r="AW595" s="3"/>
      <c r="AX595" s="4"/>
      <c r="AY595" s="3"/>
      <c r="AZ595" s="4"/>
      <c r="BA595" s="3"/>
      <c r="BB595" s="4"/>
      <c r="BC595" s="3"/>
      <c r="BD595" s="4"/>
      <c r="BE595" s="3"/>
      <c r="BF595" s="4"/>
      <c r="BG595" s="3"/>
      <c r="BH595" s="4"/>
      <c r="BI595" s="3"/>
      <c r="BJ595" s="4"/>
      <c r="BK595" s="3"/>
      <c r="BL595" s="4"/>
      <c r="BM595" s="3"/>
      <c r="BN595" s="4"/>
      <c r="BO595" s="3"/>
      <c r="BP595" s="4"/>
      <c r="BQ595" s="3"/>
      <c r="BR595" s="4"/>
      <c r="BS595" s="3"/>
      <c r="BT595" s="4"/>
      <c r="BU595" s="3"/>
      <c r="BV595" s="4"/>
      <c r="BW595" s="3"/>
      <c r="BX595" s="4"/>
      <c r="BY595" s="3"/>
      <c r="BZ595" s="4"/>
      <c r="CA595" s="3"/>
      <c r="CB595" s="4"/>
      <c r="CC595" s="3"/>
      <c r="CD595" s="4"/>
    </row>
    <row r="596">
      <c r="A596" s="3"/>
      <c r="B596" s="4"/>
      <c r="C596" s="3"/>
      <c r="D596" s="4"/>
      <c r="E596" s="3"/>
      <c r="F596" s="4"/>
      <c r="G596" s="3"/>
      <c r="H596" s="4"/>
      <c r="I596" s="3"/>
      <c r="J596" s="4"/>
      <c r="K596" s="3"/>
      <c r="L596" s="4"/>
      <c r="M596" s="3"/>
      <c r="N596" s="4"/>
      <c r="O596" s="3"/>
      <c r="P596" s="4"/>
      <c r="Q596" s="3"/>
      <c r="R596" s="4"/>
      <c r="S596" s="3"/>
      <c r="T596" s="4"/>
      <c r="U596" s="3"/>
      <c r="V596" s="4"/>
      <c r="W596" s="3"/>
      <c r="X596" s="4"/>
      <c r="Y596" s="3"/>
      <c r="Z596" s="4"/>
      <c r="AA596" s="3"/>
      <c r="AB596" s="4"/>
      <c r="AC596" s="3"/>
      <c r="AD596" s="4"/>
      <c r="AE596" s="3"/>
      <c r="AF596" s="4"/>
      <c r="AG596" s="3"/>
      <c r="AH596" s="4"/>
      <c r="AI596" s="3"/>
      <c r="AJ596" s="4"/>
      <c r="AK596" s="3"/>
      <c r="AL596" s="4"/>
      <c r="AM596" s="3"/>
      <c r="AN596" s="4"/>
      <c r="AO596" s="3"/>
      <c r="AP596" s="4"/>
      <c r="AQ596" s="3"/>
      <c r="AR596" s="4"/>
      <c r="AS596" s="3"/>
      <c r="AT596" s="4"/>
      <c r="AU596" s="3"/>
      <c r="AV596" s="4"/>
      <c r="AW596" s="3"/>
      <c r="AX596" s="4"/>
      <c r="AY596" s="3"/>
      <c r="AZ596" s="4"/>
      <c r="BA596" s="3"/>
      <c r="BB596" s="4"/>
      <c r="BC596" s="3"/>
      <c r="BD596" s="4"/>
      <c r="BE596" s="3"/>
      <c r="BF596" s="4"/>
      <c r="BG596" s="3"/>
      <c r="BH596" s="4"/>
      <c r="BI596" s="3"/>
      <c r="BJ596" s="4"/>
      <c r="BK596" s="3"/>
      <c r="BL596" s="4"/>
      <c r="BM596" s="3"/>
      <c r="BN596" s="4"/>
      <c r="BO596" s="3"/>
      <c r="BP596" s="4"/>
      <c r="BQ596" s="3"/>
      <c r="BR596" s="4"/>
      <c r="BS596" s="3"/>
      <c r="BT596" s="4"/>
      <c r="BU596" s="3"/>
      <c r="BV596" s="4"/>
      <c r="BW596" s="3"/>
      <c r="BX596" s="4"/>
      <c r="BY596" s="3"/>
      <c r="BZ596" s="4"/>
      <c r="CA596" s="3"/>
      <c r="CB596" s="4"/>
      <c r="CC596" s="3"/>
      <c r="CD596" s="4"/>
    </row>
    <row r="597">
      <c r="A597" s="3"/>
      <c r="B597" s="4"/>
      <c r="C597" s="3"/>
      <c r="D597" s="4"/>
      <c r="E597" s="3"/>
      <c r="F597" s="4"/>
      <c r="G597" s="3"/>
      <c r="H597" s="4"/>
      <c r="I597" s="3"/>
      <c r="J597" s="4"/>
      <c r="K597" s="3"/>
      <c r="L597" s="4"/>
      <c r="M597" s="3"/>
      <c r="N597" s="4"/>
      <c r="O597" s="3"/>
      <c r="P597" s="4"/>
      <c r="Q597" s="3"/>
      <c r="R597" s="4"/>
      <c r="S597" s="3"/>
      <c r="T597" s="4"/>
      <c r="U597" s="3"/>
      <c r="V597" s="4"/>
      <c r="W597" s="3"/>
      <c r="X597" s="4"/>
      <c r="Y597" s="3"/>
      <c r="Z597" s="4"/>
      <c r="AA597" s="3"/>
      <c r="AB597" s="4"/>
      <c r="AC597" s="3"/>
      <c r="AD597" s="4"/>
      <c r="AE597" s="3"/>
      <c r="AF597" s="4"/>
      <c r="AG597" s="3"/>
      <c r="AH597" s="4"/>
      <c r="AI597" s="3"/>
      <c r="AJ597" s="4"/>
      <c r="AK597" s="3"/>
      <c r="AL597" s="4"/>
      <c r="AM597" s="3"/>
      <c r="AN597" s="4"/>
      <c r="AO597" s="3"/>
      <c r="AP597" s="4"/>
      <c r="AQ597" s="3"/>
      <c r="AR597" s="4"/>
      <c r="AS597" s="3"/>
      <c r="AT597" s="4"/>
      <c r="AU597" s="3"/>
      <c r="AV597" s="4"/>
      <c r="AW597" s="3"/>
      <c r="AX597" s="4"/>
      <c r="AY597" s="3"/>
      <c r="AZ597" s="4"/>
      <c r="BA597" s="3"/>
      <c r="BB597" s="4"/>
      <c r="BC597" s="3"/>
      <c r="BD597" s="4"/>
      <c r="BE597" s="3"/>
      <c r="BF597" s="4"/>
      <c r="BG597" s="3"/>
      <c r="BH597" s="4"/>
      <c r="BI597" s="3"/>
      <c r="BJ597" s="4"/>
      <c r="BK597" s="3"/>
      <c r="BL597" s="4"/>
      <c r="BM597" s="3"/>
      <c r="BN597" s="4"/>
      <c r="BO597" s="3"/>
      <c r="BP597" s="4"/>
      <c r="BQ597" s="3"/>
      <c r="BR597" s="4"/>
      <c r="BS597" s="3"/>
      <c r="BT597" s="4"/>
      <c r="BU597" s="3"/>
      <c r="BV597" s="4"/>
      <c r="BW597" s="3"/>
      <c r="BX597" s="4"/>
      <c r="BY597" s="3"/>
      <c r="BZ597" s="4"/>
      <c r="CA597" s="3"/>
      <c r="CB597" s="4"/>
      <c r="CC597" s="3"/>
      <c r="CD597" s="4"/>
    </row>
    <row r="598">
      <c r="A598" s="3"/>
      <c r="B598" s="4"/>
      <c r="C598" s="3"/>
      <c r="D598" s="4"/>
      <c r="E598" s="3"/>
      <c r="F598" s="4"/>
      <c r="G598" s="3"/>
      <c r="H598" s="4"/>
      <c r="I598" s="3"/>
      <c r="J598" s="4"/>
      <c r="K598" s="3"/>
      <c r="L598" s="4"/>
      <c r="M598" s="3"/>
      <c r="N598" s="4"/>
      <c r="O598" s="3"/>
      <c r="P598" s="4"/>
      <c r="Q598" s="3"/>
      <c r="R598" s="4"/>
      <c r="S598" s="3"/>
      <c r="T598" s="4"/>
      <c r="U598" s="3"/>
      <c r="V598" s="4"/>
      <c r="W598" s="3"/>
      <c r="X598" s="4"/>
      <c r="Y598" s="3"/>
      <c r="Z598" s="4"/>
      <c r="AA598" s="3"/>
      <c r="AB598" s="4"/>
      <c r="AC598" s="3"/>
      <c r="AD598" s="4"/>
      <c r="AE598" s="3"/>
      <c r="AF598" s="4"/>
      <c r="AG598" s="3"/>
      <c r="AH598" s="4"/>
      <c r="AI598" s="3"/>
      <c r="AJ598" s="4"/>
      <c r="AK598" s="3"/>
      <c r="AL598" s="4"/>
      <c r="AM598" s="3"/>
      <c r="AN598" s="4"/>
      <c r="AO598" s="3"/>
      <c r="AP598" s="4"/>
      <c r="AQ598" s="3"/>
      <c r="AR598" s="4"/>
      <c r="AS598" s="3"/>
      <c r="AT598" s="4"/>
      <c r="AU598" s="3"/>
      <c r="AV598" s="4"/>
      <c r="AW598" s="3"/>
      <c r="AX598" s="4"/>
      <c r="AY598" s="3"/>
      <c r="AZ598" s="4"/>
      <c r="BA598" s="3"/>
      <c r="BB598" s="4"/>
      <c r="BC598" s="3"/>
      <c r="BD598" s="4"/>
      <c r="BE598" s="3"/>
      <c r="BF598" s="4"/>
      <c r="BG598" s="3"/>
      <c r="BH598" s="4"/>
      <c r="BI598" s="3"/>
      <c r="BJ598" s="4"/>
      <c r="BK598" s="3"/>
      <c r="BL598" s="4"/>
      <c r="BM598" s="3"/>
      <c r="BN598" s="4"/>
      <c r="BO598" s="3"/>
      <c r="BP598" s="4"/>
      <c r="BQ598" s="3"/>
      <c r="BR598" s="4"/>
      <c r="BS598" s="3"/>
      <c r="BT598" s="4"/>
      <c r="BU598" s="3"/>
      <c r="BV598" s="4"/>
      <c r="BW598" s="3"/>
      <c r="BX598" s="4"/>
      <c r="BY598" s="3"/>
      <c r="BZ598" s="4"/>
      <c r="CA598" s="3"/>
      <c r="CB598" s="4"/>
      <c r="CC598" s="3"/>
      <c r="CD598" s="4"/>
    </row>
    <row r="599">
      <c r="A599" s="3"/>
      <c r="B599" s="4"/>
      <c r="C599" s="3"/>
      <c r="D599" s="4"/>
      <c r="E599" s="3"/>
      <c r="F599" s="4"/>
      <c r="G599" s="3"/>
      <c r="H599" s="4"/>
      <c r="I599" s="3"/>
      <c r="J599" s="4"/>
      <c r="K599" s="3"/>
      <c r="L599" s="4"/>
      <c r="M599" s="3"/>
      <c r="N599" s="4"/>
      <c r="O599" s="3"/>
      <c r="P599" s="4"/>
      <c r="Q599" s="3"/>
      <c r="R599" s="4"/>
      <c r="S599" s="3"/>
      <c r="T599" s="4"/>
      <c r="U599" s="3"/>
      <c r="V599" s="4"/>
      <c r="W599" s="3"/>
      <c r="X599" s="4"/>
      <c r="Y599" s="3"/>
      <c r="Z599" s="4"/>
      <c r="AA599" s="3"/>
      <c r="AB599" s="4"/>
      <c r="AC599" s="3"/>
      <c r="AD599" s="4"/>
      <c r="AE599" s="3"/>
      <c r="AF599" s="4"/>
      <c r="AG599" s="3"/>
      <c r="AH599" s="4"/>
      <c r="AI599" s="3"/>
      <c r="AJ599" s="4"/>
      <c r="AK599" s="3"/>
      <c r="AL599" s="4"/>
      <c r="AM599" s="3"/>
      <c r="AN599" s="4"/>
      <c r="AO599" s="3"/>
      <c r="AP599" s="4"/>
      <c r="AQ599" s="3"/>
      <c r="AR599" s="4"/>
      <c r="AS599" s="3"/>
      <c r="AT599" s="4"/>
      <c r="AU599" s="3"/>
      <c r="AV599" s="4"/>
      <c r="AW599" s="3"/>
      <c r="AX599" s="4"/>
      <c r="AY599" s="3"/>
      <c r="AZ599" s="4"/>
      <c r="BA599" s="3"/>
      <c r="BB599" s="4"/>
      <c r="BC599" s="3"/>
      <c r="BD599" s="4"/>
      <c r="BE599" s="3"/>
      <c r="BF599" s="4"/>
      <c r="BG599" s="3"/>
      <c r="BH599" s="4"/>
      <c r="BI599" s="3"/>
      <c r="BJ599" s="4"/>
      <c r="BK599" s="3"/>
      <c r="BL599" s="4"/>
      <c r="BM599" s="3"/>
      <c r="BN599" s="4"/>
      <c r="BO599" s="3"/>
      <c r="BP599" s="4"/>
      <c r="BQ599" s="3"/>
      <c r="BR599" s="4"/>
      <c r="BS599" s="3"/>
      <c r="BT599" s="4"/>
      <c r="BU599" s="3"/>
      <c r="BV599" s="4"/>
      <c r="BW599" s="3"/>
      <c r="BX599" s="4"/>
      <c r="BY599" s="3"/>
      <c r="BZ599" s="4"/>
      <c r="CA599" s="3"/>
      <c r="CB599" s="4"/>
      <c r="CC599" s="3"/>
      <c r="CD599" s="4"/>
    </row>
    <row r="600">
      <c r="A600" s="3"/>
      <c r="B600" s="4"/>
      <c r="C600" s="3"/>
      <c r="D600" s="4"/>
      <c r="E600" s="3"/>
      <c r="F600" s="4"/>
      <c r="G600" s="3"/>
      <c r="H600" s="4"/>
      <c r="I600" s="3"/>
      <c r="J600" s="4"/>
      <c r="K600" s="3"/>
      <c r="L600" s="4"/>
      <c r="M600" s="3"/>
      <c r="N600" s="4"/>
      <c r="O600" s="3"/>
      <c r="P600" s="4"/>
      <c r="Q600" s="3"/>
      <c r="R600" s="4"/>
      <c r="S600" s="3"/>
      <c r="T600" s="4"/>
      <c r="U600" s="3"/>
      <c r="V600" s="4"/>
      <c r="W600" s="3"/>
      <c r="X600" s="4"/>
      <c r="Y600" s="3"/>
      <c r="Z600" s="4"/>
      <c r="AA600" s="3"/>
      <c r="AB600" s="4"/>
      <c r="AC600" s="3"/>
      <c r="AD600" s="4"/>
      <c r="AE600" s="3"/>
      <c r="AF600" s="4"/>
      <c r="AG600" s="3"/>
      <c r="AH600" s="4"/>
      <c r="AI600" s="3"/>
      <c r="AJ600" s="4"/>
      <c r="AK600" s="3"/>
      <c r="AL600" s="4"/>
      <c r="AM600" s="3"/>
      <c r="AN600" s="4"/>
      <c r="AO600" s="3"/>
      <c r="AP600" s="4"/>
      <c r="AQ600" s="3"/>
      <c r="AR600" s="4"/>
      <c r="AS600" s="3"/>
      <c r="AT600" s="4"/>
      <c r="AU600" s="3"/>
      <c r="AV600" s="4"/>
      <c r="AW600" s="3"/>
      <c r="AX600" s="4"/>
      <c r="AY600" s="3"/>
      <c r="AZ600" s="4"/>
      <c r="BA600" s="3"/>
      <c r="BB600" s="4"/>
      <c r="BC600" s="3"/>
      <c r="BD600" s="4"/>
      <c r="BE600" s="3"/>
      <c r="BF600" s="4"/>
      <c r="BG600" s="3"/>
      <c r="BH600" s="4"/>
      <c r="BI600" s="3"/>
      <c r="BJ600" s="4"/>
      <c r="BK600" s="3"/>
      <c r="BL600" s="4"/>
      <c r="BM600" s="3"/>
      <c r="BN600" s="4"/>
      <c r="BO600" s="3"/>
      <c r="BP600" s="4"/>
      <c r="BQ600" s="3"/>
      <c r="BR600" s="4"/>
      <c r="BS600" s="3"/>
      <c r="BT600" s="4"/>
      <c r="BU600" s="3"/>
      <c r="BV600" s="4"/>
      <c r="BW600" s="3"/>
      <c r="BX600" s="4"/>
      <c r="BY600" s="3"/>
      <c r="BZ600" s="4"/>
      <c r="CA600" s="3"/>
      <c r="CB600" s="4"/>
      <c r="CC600" s="3"/>
      <c r="CD600" s="4"/>
    </row>
    <row r="601">
      <c r="A601" s="3"/>
      <c r="B601" s="4"/>
      <c r="C601" s="3"/>
      <c r="D601" s="4"/>
      <c r="E601" s="3"/>
      <c r="F601" s="4"/>
      <c r="G601" s="3"/>
      <c r="H601" s="4"/>
      <c r="I601" s="3"/>
      <c r="J601" s="4"/>
      <c r="K601" s="3"/>
      <c r="L601" s="4"/>
      <c r="M601" s="3"/>
      <c r="N601" s="4"/>
      <c r="O601" s="3"/>
      <c r="P601" s="4"/>
      <c r="Q601" s="3"/>
      <c r="R601" s="4"/>
      <c r="S601" s="3"/>
      <c r="T601" s="4"/>
      <c r="U601" s="3"/>
      <c r="V601" s="4"/>
      <c r="W601" s="3"/>
      <c r="X601" s="4"/>
      <c r="Y601" s="3"/>
      <c r="Z601" s="4"/>
      <c r="AA601" s="3"/>
      <c r="AB601" s="4"/>
      <c r="AC601" s="3"/>
      <c r="AD601" s="4"/>
      <c r="AE601" s="3"/>
      <c r="AF601" s="4"/>
      <c r="AG601" s="3"/>
      <c r="AH601" s="4"/>
      <c r="AI601" s="3"/>
      <c r="AJ601" s="4"/>
      <c r="AK601" s="3"/>
      <c r="AL601" s="4"/>
      <c r="AM601" s="3"/>
      <c r="AN601" s="4"/>
      <c r="AO601" s="3"/>
      <c r="AP601" s="4"/>
      <c r="AQ601" s="3"/>
      <c r="AR601" s="4"/>
      <c r="AS601" s="3"/>
      <c r="AT601" s="4"/>
      <c r="AU601" s="3"/>
      <c r="AV601" s="4"/>
      <c r="AW601" s="3"/>
      <c r="AX601" s="4"/>
      <c r="AY601" s="3"/>
      <c r="AZ601" s="4"/>
      <c r="BA601" s="3"/>
      <c r="BB601" s="4"/>
      <c r="BC601" s="3"/>
      <c r="BD601" s="4"/>
      <c r="BE601" s="3"/>
      <c r="BF601" s="4"/>
      <c r="BG601" s="3"/>
      <c r="BH601" s="4"/>
      <c r="BI601" s="3"/>
      <c r="BJ601" s="4"/>
      <c r="BK601" s="3"/>
      <c r="BL601" s="4"/>
      <c r="BM601" s="3"/>
      <c r="BN601" s="4"/>
      <c r="BO601" s="3"/>
      <c r="BP601" s="4"/>
      <c r="BQ601" s="3"/>
      <c r="BR601" s="4"/>
      <c r="BS601" s="3"/>
      <c r="BT601" s="4"/>
      <c r="BU601" s="3"/>
      <c r="BV601" s="4"/>
      <c r="BW601" s="3"/>
      <c r="BX601" s="4"/>
      <c r="BY601" s="3"/>
      <c r="BZ601" s="4"/>
      <c r="CA601" s="3"/>
      <c r="CB601" s="4"/>
      <c r="CC601" s="3"/>
      <c r="CD601" s="4"/>
    </row>
    <row r="602">
      <c r="A602" s="3"/>
      <c r="B602" s="4"/>
      <c r="C602" s="3"/>
      <c r="D602" s="4"/>
      <c r="E602" s="3"/>
      <c r="F602" s="4"/>
      <c r="G602" s="3"/>
      <c r="H602" s="4"/>
      <c r="I602" s="3"/>
      <c r="J602" s="4"/>
      <c r="K602" s="3"/>
      <c r="L602" s="4"/>
      <c r="M602" s="3"/>
      <c r="N602" s="4"/>
      <c r="O602" s="3"/>
      <c r="P602" s="4"/>
      <c r="Q602" s="3"/>
      <c r="R602" s="4"/>
      <c r="S602" s="3"/>
      <c r="T602" s="4"/>
      <c r="U602" s="3"/>
      <c r="V602" s="4"/>
      <c r="W602" s="3"/>
      <c r="X602" s="4"/>
      <c r="Y602" s="3"/>
      <c r="Z602" s="4"/>
      <c r="AA602" s="3"/>
      <c r="AB602" s="4"/>
      <c r="AC602" s="3"/>
      <c r="AD602" s="4"/>
      <c r="AE602" s="3"/>
      <c r="AF602" s="4"/>
      <c r="AG602" s="3"/>
      <c r="AH602" s="4"/>
      <c r="AI602" s="3"/>
      <c r="AJ602" s="4"/>
      <c r="AK602" s="3"/>
      <c r="AL602" s="4"/>
      <c r="AM602" s="3"/>
      <c r="AN602" s="4"/>
      <c r="AO602" s="3"/>
      <c r="AP602" s="4"/>
      <c r="AQ602" s="3"/>
      <c r="AR602" s="4"/>
      <c r="AS602" s="3"/>
      <c r="AT602" s="4"/>
      <c r="AU602" s="3"/>
      <c r="AV602" s="4"/>
      <c r="AW602" s="3"/>
      <c r="AX602" s="4"/>
      <c r="AY602" s="3"/>
      <c r="AZ602" s="4"/>
      <c r="BA602" s="3"/>
      <c r="BB602" s="4"/>
      <c r="BC602" s="3"/>
      <c r="BD602" s="4"/>
      <c r="BE602" s="3"/>
      <c r="BF602" s="4"/>
      <c r="BG602" s="3"/>
      <c r="BH602" s="4"/>
      <c r="BI602" s="3"/>
      <c r="BJ602" s="4"/>
      <c r="BK602" s="3"/>
      <c r="BL602" s="4"/>
      <c r="BM602" s="3"/>
      <c r="BN602" s="4"/>
      <c r="BO602" s="3"/>
      <c r="BP602" s="4"/>
      <c r="BQ602" s="3"/>
      <c r="BR602" s="4"/>
      <c r="BS602" s="3"/>
      <c r="BT602" s="4"/>
      <c r="BU602" s="3"/>
      <c r="BV602" s="4"/>
      <c r="BW602" s="3"/>
      <c r="BX602" s="4"/>
      <c r="BY602" s="3"/>
      <c r="BZ602" s="4"/>
      <c r="CA602" s="3"/>
      <c r="CB602" s="4"/>
      <c r="CC602" s="3"/>
      <c r="CD602" s="4"/>
    </row>
    <row r="603">
      <c r="A603" s="3"/>
      <c r="B603" s="4"/>
      <c r="C603" s="3"/>
      <c r="D603" s="4"/>
      <c r="E603" s="3"/>
      <c r="F603" s="4"/>
      <c r="G603" s="3"/>
      <c r="H603" s="4"/>
      <c r="I603" s="3"/>
      <c r="J603" s="4"/>
      <c r="K603" s="3"/>
      <c r="L603" s="4"/>
      <c r="M603" s="3"/>
      <c r="N603" s="4"/>
      <c r="O603" s="3"/>
      <c r="P603" s="4"/>
      <c r="Q603" s="3"/>
      <c r="R603" s="4"/>
      <c r="S603" s="3"/>
      <c r="T603" s="4"/>
      <c r="U603" s="3"/>
      <c r="V603" s="4"/>
      <c r="W603" s="3"/>
      <c r="X603" s="4"/>
      <c r="Y603" s="3"/>
      <c r="Z603" s="4"/>
      <c r="AA603" s="3"/>
      <c r="AB603" s="4"/>
      <c r="AC603" s="3"/>
      <c r="AD603" s="4"/>
      <c r="AE603" s="3"/>
      <c r="AF603" s="4"/>
      <c r="AG603" s="3"/>
      <c r="AH603" s="4"/>
      <c r="AI603" s="3"/>
      <c r="AJ603" s="4"/>
      <c r="AK603" s="3"/>
      <c r="AL603" s="4"/>
      <c r="AM603" s="3"/>
      <c r="AN603" s="4"/>
      <c r="AO603" s="3"/>
      <c r="AP603" s="4"/>
      <c r="AQ603" s="3"/>
      <c r="AR603" s="4"/>
      <c r="AS603" s="3"/>
      <c r="AT603" s="4"/>
      <c r="AU603" s="3"/>
      <c r="AV603" s="4"/>
      <c r="AW603" s="3"/>
      <c r="AX603" s="4"/>
      <c r="AY603" s="3"/>
      <c r="AZ603" s="4"/>
      <c r="BA603" s="3"/>
      <c r="BB603" s="4"/>
      <c r="BC603" s="3"/>
      <c r="BD603" s="4"/>
      <c r="BE603" s="3"/>
      <c r="BF603" s="4"/>
      <c r="BG603" s="3"/>
      <c r="BH603" s="4"/>
      <c r="BI603" s="3"/>
      <c r="BJ603" s="4"/>
      <c r="BK603" s="3"/>
      <c r="BL603" s="4"/>
      <c r="BM603" s="3"/>
      <c r="BN603" s="4"/>
      <c r="BO603" s="3"/>
      <c r="BP603" s="4"/>
      <c r="BQ603" s="3"/>
      <c r="BR603" s="4"/>
      <c r="BS603" s="3"/>
      <c r="BT603" s="4"/>
      <c r="BU603" s="3"/>
      <c r="BV603" s="4"/>
      <c r="BW603" s="3"/>
      <c r="BX603" s="4"/>
      <c r="BY603" s="3"/>
      <c r="BZ603" s="4"/>
      <c r="CA603" s="3"/>
      <c r="CB603" s="4"/>
      <c r="CC603" s="3"/>
      <c r="CD603" s="4"/>
    </row>
    <row r="604">
      <c r="A604" s="3"/>
      <c r="B604" s="4"/>
      <c r="C604" s="3"/>
      <c r="D604" s="4"/>
      <c r="E604" s="3"/>
      <c r="F604" s="4"/>
      <c r="G604" s="3"/>
      <c r="H604" s="4"/>
      <c r="I604" s="3"/>
      <c r="J604" s="4"/>
      <c r="K604" s="3"/>
      <c r="L604" s="4"/>
      <c r="M604" s="3"/>
      <c r="N604" s="4"/>
      <c r="O604" s="3"/>
      <c r="P604" s="4"/>
      <c r="Q604" s="3"/>
      <c r="R604" s="4"/>
      <c r="S604" s="3"/>
      <c r="T604" s="4"/>
      <c r="U604" s="3"/>
      <c r="V604" s="4"/>
      <c r="W604" s="3"/>
      <c r="X604" s="4"/>
      <c r="Y604" s="3"/>
      <c r="Z604" s="4"/>
      <c r="AA604" s="3"/>
      <c r="AB604" s="4"/>
      <c r="AC604" s="3"/>
      <c r="AD604" s="4"/>
      <c r="AE604" s="3"/>
      <c r="AF604" s="4"/>
      <c r="AG604" s="3"/>
      <c r="AH604" s="4"/>
      <c r="AI604" s="3"/>
      <c r="AJ604" s="4"/>
      <c r="AK604" s="3"/>
      <c r="AL604" s="4"/>
      <c r="AM604" s="3"/>
      <c r="AN604" s="4"/>
      <c r="AO604" s="3"/>
      <c r="AP604" s="4"/>
      <c r="AQ604" s="3"/>
      <c r="AR604" s="4"/>
      <c r="AS604" s="3"/>
      <c r="AT604" s="4"/>
      <c r="AU604" s="3"/>
      <c r="AV604" s="4"/>
      <c r="AW604" s="3"/>
      <c r="AX604" s="4"/>
      <c r="AY604" s="3"/>
      <c r="AZ604" s="4"/>
      <c r="BA604" s="3"/>
      <c r="BB604" s="4"/>
      <c r="BC604" s="3"/>
      <c r="BD604" s="4"/>
      <c r="BE604" s="3"/>
      <c r="BF604" s="4"/>
      <c r="BG604" s="3"/>
      <c r="BH604" s="4"/>
      <c r="BI604" s="3"/>
      <c r="BJ604" s="4"/>
      <c r="BK604" s="3"/>
      <c r="BL604" s="4"/>
      <c r="BM604" s="3"/>
      <c r="BN604" s="4"/>
      <c r="BO604" s="3"/>
      <c r="BP604" s="4"/>
      <c r="BQ604" s="3"/>
      <c r="BR604" s="4"/>
      <c r="BS604" s="3"/>
      <c r="BT604" s="4"/>
      <c r="BU604" s="3"/>
      <c r="BV604" s="4"/>
      <c r="BW604" s="3"/>
      <c r="BX604" s="4"/>
      <c r="BY604" s="3"/>
      <c r="BZ604" s="4"/>
      <c r="CA604" s="3"/>
      <c r="CB604" s="4"/>
      <c r="CC604" s="3"/>
      <c r="CD604" s="4"/>
    </row>
    <row r="605">
      <c r="A605" s="3"/>
      <c r="B605" s="4"/>
      <c r="C605" s="3"/>
      <c r="D605" s="4"/>
      <c r="E605" s="3"/>
      <c r="F605" s="4"/>
      <c r="G605" s="3"/>
      <c r="H605" s="4"/>
      <c r="I605" s="3"/>
      <c r="J605" s="4"/>
      <c r="K605" s="3"/>
      <c r="L605" s="4"/>
      <c r="M605" s="3"/>
      <c r="N605" s="4"/>
      <c r="O605" s="3"/>
      <c r="P605" s="4"/>
      <c r="Q605" s="3"/>
      <c r="R605" s="4"/>
      <c r="S605" s="3"/>
      <c r="T605" s="4"/>
      <c r="U605" s="3"/>
      <c r="V605" s="4"/>
      <c r="W605" s="3"/>
      <c r="X605" s="4"/>
      <c r="Y605" s="3"/>
      <c r="Z605" s="4"/>
      <c r="AA605" s="3"/>
      <c r="AB605" s="4"/>
      <c r="AC605" s="3"/>
      <c r="AD605" s="4"/>
      <c r="AE605" s="3"/>
      <c r="AF605" s="4"/>
      <c r="AG605" s="3"/>
      <c r="AH605" s="4"/>
      <c r="AI605" s="3"/>
      <c r="AJ605" s="4"/>
      <c r="AK605" s="3"/>
      <c r="AL605" s="4"/>
      <c r="AM605" s="3"/>
      <c r="AN605" s="4"/>
      <c r="AO605" s="3"/>
      <c r="AP605" s="4"/>
      <c r="AQ605" s="3"/>
      <c r="AR605" s="4"/>
      <c r="AS605" s="3"/>
      <c r="AT605" s="4"/>
      <c r="AU605" s="3"/>
      <c r="AV605" s="4"/>
      <c r="AW605" s="3"/>
      <c r="AX605" s="4"/>
      <c r="AY605" s="3"/>
      <c r="AZ605" s="4"/>
      <c r="BA605" s="3"/>
      <c r="BB605" s="4"/>
      <c r="BC605" s="3"/>
      <c r="BD605" s="4"/>
      <c r="BE605" s="3"/>
      <c r="BF605" s="4"/>
      <c r="BG605" s="3"/>
      <c r="BH605" s="4"/>
      <c r="BI605" s="3"/>
      <c r="BJ605" s="4"/>
      <c r="BK605" s="3"/>
      <c r="BL605" s="4"/>
      <c r="BM605" s="3"/>
      <c r="BN605" s="4"/>
      <c r="BO605" s="3"/>
      <c r="BP605" s="4"/>
      <c r="BQ605" s="3"/>
      <c r="BR605" s="4"/>
      <c r="BS605" s="3"/>
      <c r="BT605" s="4"/>
      <c r="BU605" s="3"/>
      <c r="BV605" s="4"/>
      <c r="BW605" s="3"/>
      <c r="BX605" s="4"/>
      <c r="BY605" s="3"/>
      <c r="BZ605" s="4"/>
      <c r="CA605" s="3"/>
      <c r="CB605" s="4"/>
      <c r="CC605" s="3"/>
      <c r="CD605" s="4"/>
    </row>
    <row r="606">
      <c r="A606" s="3"/>
      <c r="B606" s="4"/>
      <c r="C606" s="3"/>
      <c r="D606" s="4"/>
      <c r="E606" s="3"/>
      <c r="F606" s="4"/>
      <c r="G606" s="3"/>
      <c r="H606" s="4"/>
      <c r="I606" s="3"/>
      <c r="J606" s="4"/>
      <c r="K606" s="3"/>
      <c r="L606" s="4"/>
      <c r="M606" s="3"/>
      <c r="N606" s="4"/>
      <c r="O606" s="3"/>
      <c r="P606" s="4"/>
      <c r="Q606" s="3"/>
      <c r="R606" s="4"/>
      <c r="S606" s="3"/>
      <c r="T606" s="4"/>
      <c r="U606" s="3"/>
      <c r="V606" s="4"/>
      <c r="W606" s="3"/>
      <c r="X606" s="4"/>
      <c r="Y606" s="3"/>
      <c r="Z606" s="4"/>
      <c r="AA606" s="3"/>
      <c r="AB606" s="4"/>
      <c r="AC606" s="3"/>
      <c r="AD606" s="4"/>
      <c r="AE606" s="3"/>
      <c r="AF606" s="4"/>
      <c r="AG606" s="3"/>
      <c r="AH606" s="4"/>
      <c r="AI606" s="3"/>
      <c r="AJ606" s="4"/>
      <c r="AK606" s="3"/>
      <c r="AL606" s="4"/>
      <c r="AM606" s="3"/>
      <c r="AN606" s="4"/>
      <c r="AO606" s="3"/>
      <c r="AP606" s="4"/>
      <c r="AQ606" s="3"/>
      <c r="AR606" s="4"/>
      <c r="AS606" s="3"/>
      <c r="AT606" s="4"/>
      <c r="AU606" s="3"/>
      <c r="AV606" s="4"/>
      <c r="AW606" s="3"/>
      <c r="AX606" s="4"/>
      <c r="AY606" s="3"/>
      <c r="AZ606" s="4"/>
      <c r="BA606" s="3"/>
      <c r="BB606" s="4"/>
      <c r="BC606" s="3"/>
      <c r="BD606" s="4"/>
      <c r="BE606" s="3"/>
      <c r="BF606" s="4"/>
      <c r="BG606" s="3"/>
      <c r="BH606" s="4"/>
      <c r="BI606" s="3"/>
      <c r="BJ606" s="4"/>
      <c r="BK606" s="3"/>
      <c r="BL606" s="4"/>
      <c r="BM606" s="3"/>
      <c r="BN606" s="4"/>
      <c r="BO606" s="3"/>
      <c r="BP606" s="4"/>
      <c r="BQ606" s="3"/>
      <c r="BR606" s="4"/>
      <c r="BS606" s="3"/>
      <c r="BT606" s="4"/>
      <c r="BU606" s="3"/>
      <c r="BV606" s="4"/>
      <c r="BW606" s="3"/>
      <c r="BX606" s="4"/>
      <c r="BY606" s="3"/>
      <c r="BZ606" s="4"/>
      <c r="CA606" s="3"/>
      <c r="CB606" s="4"/>
      <c r="CC606" s="3"/>
      <c r="CD606" s="4"/>
    </row>
    <row r="607">
      <c r="A607" s="3"/>
      <c r="B607" s="4"/>
      <c r="C607" s="3"/>
      <c r="D607" s="4"/>
      <c r="E607" s="3"/>
      <c r="F607" s="4"/>
      <c r="G607" s="3"/>
      <c r="H607" s="4"/>
      <c r="I607" s="3"/>
      <c r="J607" s="4"/>
      <c r="K607" s="3"/>
      <c r="L607" s="4"/>
      <c r="M607" s="3"/>
      <c r="N607" s="4"/>
      <c r="O607" s="3"/>
      <c r="P607" s="4"/>
      <c r="Q607" s="3"/>
      <c r="R607" s="4"/>
      <c r="S607" s="3"/>
      <c r="T607" s="4"/>
      <c r="U607" s="3"/>
      <c r="V607" s="4"/>
      <c r="W607" s="3"/>
      <c r="X607" s="4"/>
      <c r="Y607" s="3"/>
      <c r="Z607" s="4"/>
      <c r="AA607" s="3"/>
      <c r="AB607" s="4"/>
      <c r="AC607" s="3"/>
      <c r="AD607" s="4"/>
      <c r="AE607" s="3"/>
      <c r="AF607" s="4"/>
      <c r="AG607" s="3"/>
      <c r="AH607" s="4"/>
      <c r="AI607" s="3"/>
      <c r="AJ607" s="4"/>
      <c r="AK607" s="3"/>
      <c r="AL607" s="4"/>
      <c r="AM607" s="3"/>
      <c r="AN607" s="4"/>
      <c r="AO607" s="3"/>
      <c r="AP607" s="4"/>
      <c r="AQ607" s="3"/>
      <c r="AR607" s="4"/>
      <c r="AS607" s="3"/>
      <c r="AT607" s="4"/>
      <c r="AU607" s="3"/>
      <c r="AV607" s="4"/>
      <c r="AW607" s="3"/>
      <c r="AX607" s="4"/>
      <c r="AY607" s="3"/>
      <c r="AZ607" s="4"/>
      <c r="BA607" s="3"/>
      <c r="BB607" s="4"/>
      <c r="BC607" s="3"/>
      <c r="BD607" s="4"/>
      <c r="BE607" s="3"/>
      <c r="BF607" s="4"/>
      <c r="BG607" s="3"/>
      <c r="BH607" s="4"/>
      <c r="BI607" s="3"/>
      <c r="BJ607" s="4"/>
      <c r="BK607" s="3"/>
      <c r="BL607" s="4"/>
      <c r="BM607" s="3"/>
      <c r="BN607" s="4"/>
      <c r="BO607" s="3"/>
      <c r="BP607" s="4"/>
      <c r="BQ607" s="3"/>
      <c r="BR607" s="4"/>
      <c r="BS607" s="3"/>
      <c r="BT607" s="4"/>
      <c r="BU607" s="3"/>
      <c r="BV607" s="4"/>
      <c r="BW607" s="3"/>
      <c r="BX607" s="4"/>
      <c r="BY607" s="3"/>
      <c r="BZ607" s="4"/>
      <c r="CA607" s="3"/>
      <c r="CB607" s="4"/>
      <c r="CC607" s="3"/>
      <c r="CD607" s="4"/>
    </row>
    <row r="608">
      <c r="A608" s="3"/>
      <c r="B608" s="4"/>
      <c r="C608" s="3"/>
      <c r="D608" s="4"/>
      <c r="E608" s="3"/>
      <c r="F608" s="4"/>
      <c r="G608" s="3"/>
      <c r="H608" s="4"/>
      <c r="I608" s="3"/>
      <c r="J608" s="4"/>
      <c r="K608" s="3"/>
      <c r="L608" s="4"/>
      <c r="M608" s="3"/>
      <c r="N608" s="4"/>
      <c r="O608" s="3"/>
      <c r="P608" s="4"/>
      <c r="Q608" s="3"/>
      <c r="R608" s="4"/>
      <c r="S608" s="3"/>
      <c r="T608" s="4"/>
      <c r="U608" s="3"/>
      <c r="V608" s="4"/>
      <c r="W608" s="3"/>
      <c r="X608" s="4"/>
      <c r="Y608" s="3"/>
      <c r="Z608" s="4"/>
      <c r="AA608" s="3"/>
      <c r="AB608" s="4"/>
      <c r="AC608" s="3"/>
      <c r="AD608" s="4"/>
      <c r="AE608" s="3"/>
      <c r="AF608" s="4"/>
      <c r="AG608" s="3"/>
      <c r="AH608" s="4"/>
      <c r="AI608" s="3"/>
      <c r="AJ608" s="4"/>
      <c r="AK608" s="3"/>
      <c r="AL608" s="4"/>
      <c r="AM608" s="3"/>
      <c r="AN608" s="4"/>
      <c r="AO608" s="3"/>
      <c r="AP608" s="4"/>
      <c r="AQ608" s="3"/>
      <c r="AR608" s="4"/>
      <c r="AS608" s="3"/>
      <c r="AT608" s="4"/>
      <c r="AU608" s="3"/>
      <c r="AV608" s="4"/>
      <c r="AW608" s="3"/>
      <c r="AX608" s="4"/>
      <c r="AY608" s="3"/>
      <c r="AZ608" s="4"/>
      <c r="BA608" s="3"/>
      <c r="BB608" s="4"/>
      <c r="BC608" s="3"/>
      <c r="BD608" s="4"/>
      <c r="BE608" s="3"/>
      <c r="BF608" s="4"/>
      <c r="BG608" s="3"/>
      <c r="BH608" s="4"/>
      <c r="BI608" s="3"/>
      <c r="BJ608" s="4"/>
      <c r="BK608" s="3"/>
      <c r="BL608" s="4"/>
      <c r="BM608" s="3"/>
      <c r="BN608" s="4"/>
      <c r="BO608" s="3"/>
      <c r="BP608" s="4"/>
      <c r="BQ608" s="3"/>
      <c r="BR608" s="4"/>
      <c r="BS608" s="3"/>
      <c r="BT608" s="4"/>
      <c r="BU608" s="3"/>
      <c r="BV608" s="4"/>
      <c r="BW608" s="3"/>
      <c r="BX608" s="4"/>
      <c r="BY608" s="3"/>
      <c r="BZ608" s="4"/>
      <c r="CA608" s="3"/>
      <c r="CB608" s="4"/>
      <c r="CC608" s="3"/>
      <c r="CD608" s="4"/>
    </row>
    <row r="609">
      <c r="A609" s="3"/>
      <c r="B609" s="4"/>
      <c r="C609" s="3"/>
      <c r="D609" s="4"/>
      <c r="E609" s="3"/>
      <c r="F609" s="4"/>
      <c r="G609" s="3"/>
      <c r="H609" s="4"/>
      <c r="I609" s="3"/>
      <c r="J609" s="4"/>
      <c r="K609" s="3"/>
      <c r="L609" s="4"/>
      <c r="M609" s="3"/>
      <c r="N609" s="4"/>
      <c r="O609" s="3"/>
      <c r="P609" s="4"/>
      <c r="Q609" s="3"/>
      <c r="R609" s="4"/>
      <c r="S609" s="3"/>
      <c r="T609" s="4"/>
      <c r="U609" s="3"/>
      <c r="V609" s="4"/>
      <c r="W609" s="3"/>
      <c r="X609" s="4"/>
      <c r="Y609" s="3"/>
      <c r="Z609" s="4"/>
      <c r="AA609" s="3"/>
      <c r="AB609" s="4"/>
      <c r="AC609" s="3"/>
      <c r="AD609" s="4"/>
      <c r="AE609" s="3"/>
      <c r="AF609" s="4"/>
      <c r="AG609" s="3"/>
      <c r="AH609" s="4"/>
      <c r="AI609" s="3"/>
      <c r="AJ609" s="4"/>
      <c r="AK609" s="3"/>
      <c r="AL609" s="4"/>
      <c r="AM609" s="3"/>
      <c r="AN609" s="4"/>
      <c r="AO609" s="3"/>
      <c r="AP609" s="4"/>
      <c r="AQ609" s="3"/>
      <c r="AR609" s="4"/>
      <c r="AS609" s="3"/>
      <c r="AT609" s="4"/>
      <c r="AU609" s="3"/>
      <c r="AV609" s="4"/>
      <c r="AW609" s="3"/>
      <c r="AX609" s="4"/>
      <c r="AY609" s="3"/>
      <c r="AZ609" s="4"/>
      <c r="BA609" s="3"/>
      <c r="BB609" s="4"/>
      <c r="BC609" s="3"/>
      <c r="BD609" s="4"/>
      <c r="BE609" s="3"/>
      <c r="BF609" s="4"/>
      <c r="BG609" s="3"/>
      <c r="BH609" s="4"/>
      <c r="BI609" s="3"/>
      <c r="BJ609" s="4"/>
      <c r="BK609" s="3"/>
      <c r="BL609" s="4"/>
      <c r="BM609" s="3"/>
      <c r="BN609" s="4"/>
      <c r="BO609" s="3"/>
      <c r="BP609" s="4"/>
      <c r="BQ609" s="3"/>
      <c r="BR609" s="4"/>
      <c r="BS609" s="3"/>
      <c r="BT609" s="4"/>
      <c r="BU609" s="3"/>
      <c r="BV609" s="4"/>
      <c r="BW609" s="3"/>
      <c r="BX609" s="4"/>
      <c r="BY609" s="3"/>
      <c r="BZ609" s="4"/>
      <c r="CA609" s="3"/>
      <c r="CB609" s="4"/>
      <c r="CC609" s="3"/>
      <c r="CD609" s="4"/>
    </row>
    <row r="610">
      <c r="A610" s="3"/>
      <c r="B610" s="4"/>
      <c r="C610" s="3"/>
      <c r="D610" s="4"/>
      <c r="E610" s="3"/>
      <c r="F610" s="4"/>
      <c r="G610" s="3"/>
      <c r="H610" s="4"/>
      <c r="I610" s="3"/>
      <c r="J610" s="4"/>
      <c r="K610" s="3"/>
      <c r="L610" s="4"/>
      <c r="M610" s="3"/>
      <c r="N610" s="4"/>
      <c r="O610" s="3"/>
      <c r="P610" s="4"/>
      <c r="Q610" s="3"/>
      <c r="R610" s="4"/>
      <c r="S610" s="3"/>
      <c r="T610" s="4"/>
      <c r="U610" s="3"/>
      <c r="V610" s="4"/>
      <c r="W610" s="3"/>
      <c r="X610" s="4"/>
      <c r="Y610" s="3"/>
      <c r="Z610" s="4"/>
      <c r="AA610" s="3"/>
      <c r="AB610" s="4"/>
      <c r="AC610" s="3"/>
      <c r="AD610" s="4"/>
      <c r="AE610" s="3"/>
      <c r="AF610" s="4"/>
      <c r="AG610" s="3"/>
      <c r="AH610" s="4"/>
      <c r="AI610" s="3"/>
      <c r="AJ610" s="4"/>
      <c r="AK610" s="3"/>
      <c r="AL610" s="4"/>
      <c r="AM610" s="3"/>
      <c r="AN610" s="4"/>
      <c r="AO610" s="3"/>
      <c r="AP610" s="4"/>
      <c r="AQ610" s="3"/>
      <c r="AR610" s="4"/>
      <c r="AS610" s="3"/>
      <c r="AT610" s="4"/>
      <c r="AU610" s="3"/>
      <c r="AV610" s="4"/>
      <c r="AW610" s="3"/>
      <c r="AX610" s="4"/>
      <c r="AY610" s="3"/>
      <c r="AZ610" s="4"/>
      <c r="BA610" s="3"/>
      <c r="BB610" s="4"/>
      <c r="BC610" s="3"/>
      <c r="BD610" s="4"/>
      <c r="BE610" s="3"/>
      <c r="BF610" s="4"/>
      <c r="BG610" s="3"/>
      <c r="BH610" s="4"/>
      <c r="BI610" s="3"/>
      <c r="BJ610" s="4"/>
      <c r="BK610" s="3"/>
      <c r="BL610" s="4"/>
      <c r="BM610" s="3"/>
      <c r="BN610" s="4"/>
      <c r="BO610" s="3"/>
      <c r="BP610" s="4"/>
      <c r="BQ610" s="3"/>
      <c r="BR610" s="4"/>
      <c r="BS610" s="3"/>
      <c r="BT610" s="4"/>
      <c r="BU610" s="3"/>
      <c r="BV610" s="4"/>
      <c r="BW610" s="3"/>
      <c r="BX610" s="4"/>
      <c r="BY610" s="3"/>
      <c r="BZ610" s="4"/>
      <c r="CA610" s="3"/>
      <c r="CB610" s="4"/>
      <c r="CC610" s="3"/>
      <c r="CD610" s="4"/>
    </row>
    <row r="611">
      <c r="A611" s="3"/>
      <c r="B611" s="4"/>
      <c r="C611" s="3"/>
      <c r="D611" s="4"/>
      <c r="E611" s="3"/>
      <c r="F611" s="4"/>
      <c r="G611" s="3"/>
      <c r="H611" s="4"/>
      <c r="I611" s="3"/>
      <c r="J611" s="4"/>
      <c r="K611" s="3"/>
      <c r="L611" s="4"/>
      <c r="M611" s="3"/>
      <c r="N611" s="4"/>
      <c r="O611" s="3"/>
      <c r="P611" s="4"/>
      <c r="Q611" s="3"/>
      <c r="R611" s="4"/>
      <c r="S611" s="3"/>
      <c r="T611" s="4"/>
      <c r="U611" s="3"/>
      <c r="V611" s="4"/>
      <c r="W611" s="3"/>
      <c r="X611" s="4"/>
      <c r="Y611" s="3"/>
      <c r="Z611" s="4"/>
      <c r="AA611" s="3"/>
      <c r="AB611" s="4"/>
      <c r="AC611" s="3"/>
      <c r="AD611" s="4"/>
      <c r="AE611" s="3"/>
      <c r="AF611" s="4"/>
      <c r="AG611" s="3"/>
      <c r="AH611" s="4"/>
      <c r="AI611" s="3"/>
      <c r="AJ611" s="4"/>
      <c r="AK611" s="3"/>
      <c r="AL611" s="4"/>
      <c r="AM611" s="3"/>
      <c r="AN611" s="4"/>
      <c r="AO611" s="3"/>
      <c r="AP611" s="4"/>
      <c r="AQ611" s="3"/>
      <c r="AR611" s="4"/>
      <c r="AS611" s="3"/>
      <c r="AT611" s="4"/>
      <c r="AU611" s="3"/>
      <c r="AV611" s="4"/>
      <c r="AW611" s="3"/>
      <c r="AX611" s="4"/>
      <c r="AY611" s="3"/>
      <c r="AZ611" s="4"/>
      <c r="BA611" s="3"/>
      <c r="BB611" s="4"/>
      <c r="BC611" s="3"/>
      <c r="BD611" s="4"/>
      <c r="BE611" s="3"/>
      <c r="BF611" s="4"/>
      <c r="BG611" s="3"/>
      <c r="BH611" s="4"/>
      <c r="BI611" s="3"/>
      <c r="BJ611" s="4"/>
      <c r="BK611" s="3"/>
      <c r="BL611" s="4"/>
      <c r="BM611" s="3"/>
      <c r="BN611" s="4"/>
      <c r="BO611" s="3"/>
      <c r="BP611" s="4"/>
      <c r="BQ611" s="3"/>
      <c r="BR611" s="4"/>
      <c r="BS611" s="3"/>
      <c r="BT611" s="4"/>
      <c r="BU611" s="3"/>
      <c r="BV611" s="4"/>
      <c r="BW611" s="3"/>
      <c r="BX611" s="4"/>
      <c r="BY611" s="3"/>
      <c r="BZ611" s="4"/>
      <c r="CA611" s="3"/>
      <c r="CB611" s="4"/>
      <c r="CC611" s="3"/>
      <c r="CD611" s="4"/>
    </row>
    <row r="612">
      <c r="A612" s="3"/>
      <c r="B612" s="4"/>
      <c r="C612" s="3"/>
      <c r="D612" s="4"/>
      <c r="E612" s="3"/>
      <c r="F612" s="4"/>
      <c r="G612" s="3"/>
      <c r="H612" s="4"/>
      <c r="I612" s="3"/>
      <c r="J612" s="4"/>
      <c r="K612" s="3"/>
      <c r="L612" s="4"/>
      <c r="M612" s="3"/>
      <c r="N612" s="4"/>
      <c r="O612" s="3"/>
      <c r="P612" s="4"/>
      <c r="Q612" s="3"/>
      <c r="R612" s="4"/>
      <c r="S612" s="3"/>
      <c r="T612" s="4"/>
      <c r="U612" s="3"/>
      <c r="V612" s="4"/>
      <c r="W612" s="3"/>
      <c r="X612" s="4"/>
      <c r="Y612" s="3"/>
      <c r="Z612" s="4"/>
      <c r="AA612" s="3"/>
      <c r="AB612" s="4"/>
      <c r="AC612" s="3"/>
      <c r="AD612" s="4"/>
      <c r="AE612" s="3"/>
      <c r="AF612" s="4"/>
      <c r="AG612" s="3"/>
      <c r="AH612" s="4"/>
      <c r="AI612" s="3"/>
      <c r="AJ612" s="4"/>
      <c r="AK612" s="3"/>
      <c r="AL612" s="4"/>
      <c r="AM612" s="3"/>
      <c r="AN612" s="4"/>
      <c r="AO612" s="3"/>
      <c r="AP612" s="4"/>
      <c r="AQ612" s="3"/>
      <c r="AR612" s="4"/>
      <c r="AS612" s="3"/>
      <c r="AT612" s="4"/>
      <c r="AU612" s="3"/>
      <c r="AV612" s="4"/>
      <c r="AW612" s="3"/>
      <c r="AX612" s="4"/>
      <c r="AY612" s="3"/>
      <c r="AZ612" s="4"/>
      <c r="BA612" s="3"/>
      <c r="BB612" s="4"/>
      <c r="BC612" s="3"/>
      <c r="BD612" s="4"/>
      <c r="BE612" s="3"/>
      <c r="BF612" s="4"/>
      <c r="BG612" s="3"/>
      <c r="BH612" s="4"/>
      <c r="BI612" s="3"/>
      <c r="BJ612" s="4"/>
      <c r="BK612" s="3"/>
      <c r="BL612" s="4"/>
      <c r="BM612" s="3"/>
      <c r="BN612" s="4"/>
      <c r="BO612" s="3"/>
      <c r="BP612" s="4"/>
      <c r="BQ612" s="3"/>
      <c r="BR612" s="4"/>
      <c r="BS612" s="3"/>
      <c r="BT612" s="4"/>
      <c r="BU612" s="3"/>
      <c r="BV612" s="4"/>
      <c r="BW612" s="3"/>
      <c r="BX612" s="4"/>
      <c r="BY612" s="3"/>
      <c r="BZ612" s="4"/>
      <c r="CA612" s="3"/>
      <c r="CB612" s="4"/>
      <c r="CC612" s="3"/>
      <c r="CD612" s="4"/>
    </row>
    <row r="613">
      <c r="A613" s="3"/>
      <c r="B613" s="4"/>
      <c r="C613" s="3"/>
      <c r="D613" s="4"/>
      <c r="E613" s="3"/>
      <c r="F613" s="4"/>
      <c r="G613" s="3"/>
      <c r="H613" s="4"/>
      <c r="I613" s="3"/>
      <c r="J613" s="4"/>
      <c r="K613" s="3"/>
      <c r="L613" s="4"/>
      <c r="M613" s="3"/>
      <c r="N613" s="4"/>
      <c r="O613" s="3"/>
      <c r="P613" s="4"/>
      <c r="Q613" s="3"/>
      <c r="R613" s="4"/>
      <c r="S613" s="3"/>
      <c r="T613" s="4"/>
      <c r="U613" s="3"/>
      <c r="V613" s="4"/>
      <c r="W613" s="3"/>
      <c r="X613" s="4"/>
      <c r="Y613" s="3"/>
      <c r="Z613" s="4"/>
      <c r="AA613" s="3"/>
      <c r="AB613" s="4"/>
      <c r="AC613" s="3"/>
      <c r="AD613" s="4"/>
      <c r="AE613" s="3"/>
      <c r="AF613" s="4"/>
      <c r="AG613" s="3"/>
      <c r="AH613" s="4"/>
      <c r="AI613" s="3"/>
      <c r="AJ613" s="4"/>
      <c r="AK613" s="3"/>
      <c r="AL613" s="4"/>
      <c r="AM613" s="3"/>
      <c r="AN613" s="4"/>
      <c r="AO613" s="3"/>
      <c r="AP613" s="4"/>
      <c r="AQ613" s="3"/>
      <c r="AR613" s="4"/>
      <c r="AS613" s="3"/>
      <c r="AT613" s="4"/>
      <c r="AU613" s="3"/>
      <c r="AV613" s="4"/>
      <c r="AW613" s="3"/>
      <c r="AX613" s="4"/>
      <c r="AY613" s="3"/>
      <c r="AZ613" s="4"/>
      <c r="BA613" s="3"/>
      <c r="BB613" s="4"/>
      <c r="BC613" s="3"/>
      <c r="BD613" s="4"/>
      <c r="BE613" s="3"/>
      <c r="BF613" s="4"/>
      <c r="BG613" s="3"/>
      <c r="BH613" s="4"/>
      <c r="BI613" s="3"/>
      <c r="BJ613" s="4"/>
      <c r="BK613" s="3"/>
      <c r="BL613" s="4"/>
      <c r="BM613" s="3"/>
      <c r="BN613" s="4"/>
      <c r="BO613" s="3"/>
      <c r="BP613" s="4"/>
      <c r="BQ613" s="3"/>
      <c r="BR613" s="4"/>
      <c r="BS613" s="3"/>
      <c r="BT613" s="4"/>
      <c r="BU613" s="3"/>
      <c r="BV613" s="4"/>
      <c r="BW613" s="3"/>
      <c r="BX613" s="4"/>
      <c r="BY613" s="3"/>
      <c r="BZ613" s="4"/>
      <c r="CA613" s="3"/>
      <c r="CB613" s="4"/>
      <c r="CC613" s="3"/>
      <c r="CD613" s="4"/>
    </row>
    <row r="614">
      <c r="A614" s="3"/>
      <c r="B614" s="4"/>
      <c r="C614" s="3"/>
      <c r="D614" s="4"/>
      <c r="E614" s="3"/>
      <c r="F614" s="4"/>
      <c r="G614" s="3"/>
      <c r="H614" s="4"/>
      <c r="I614" s="3"/>
      <c r="J614" s="4"/>
      <c r="K614" s="3"/>
      <c r="L614" s="4"/>
      <c r="M614" s="3"/>
      <c r="N614" s="4"/>
      <c r="O614" s="3"/>
      <c r="P614" s="4"/>
      <c r="Q614" s="3"/>
      <c r="R614" s="4"/>
      <c r="S614" s="3"/>
      <c r="T614" s="4"/>
      <c r="U614" s="3"/>
      <c r="V614" s="4"/>
      <c r="W614" s="3"/>
      <c r="X614" s="4"/>
      <c r="Y614" s="3"/>
      <c r="Z614" s="4"/>
      <c r="AA614" s="3"/>
      <c r="AB614" s="4"/>
      <c r="AC614" s="3"/>
      <c r="AD614" s="4"/>
      <c r="AE614" s="3"/>
      <c r="AF614" s="4"/>
      <c r="AG614" s="3"/>
      <c r="AH614" s="4"/>
      <c r="AI614" s="3"/>
      <c r="AJ614" s="4"/>
      <c r="AK614" s="3"/>
      <c r="AL614" s="4"/>
      <c r="AM614" s="3"/>
      <c r="AN614" s="4"/>
      <c r="AO614" s="3"/>
      <c r="AP614" s="4"/>
      <c r="AQ614" s="3"/>
      <c r="AR614" s="4"/>
      <c r="AS614" s="3"/>
      <c r="AT614" s="4"/>
      <c r="AU614" s="3"/>
      <c r="AV614" s="4"/>
      <c r="AW614" s="3"/>
      <c r="AX614" s="4"/>
      <c r="AY614" s="3"/>
      <c r="AZ614" s="4"/>
      <c r="BA614" s="3"/>
      <c r="BB614" s="4"/>
      <c r="BC614" s="3"/>
      <c r="BD614" s="4"/>
      <c r="BE614" s="3"/>
      <c r="BF614" s="4"/>
      <c r="BG614" s="3"/>
      <c r="BH614" s="4"/>
      <c r="BI614" s="3"/>
      <c r="BJ614" s="4"/>
      <c r="BK614" s="3"/>
      <c r="BL614" s="4"/>
      <c r="BM614" s="3"/>
      <c r="BN614" s="4"/>
      <c r="BO614" s="3"/>
      <c r="BP614" s="4"/>
      <c r="BQ614" s="3"/>
      <c r="BR614" s="4"/>
      <c r="BS614" s="3"/>
      <c r="BT614" s="4"/>
      <c r="BU614" s="3"/>
      <c r="BV614" s="4"/>
      <c r="BW614" s="3"/>
      <c r="BX614" s="4"/>
      <c r="BY614" s="3"/>
      <c r="BZ614" s="4"/>
      <c r="CA614" s="3"/>
      <c r="CB614" s="4"/>
      <c r="CC614" s="3"/>
      <c r="CD614" s="4"/>
    </row>
    <row r="615">
      <c r="A615" s="3"/>
      <c r="B615" s="4"/>
      <c r="C615" s="3"/>
      <c r="D615" s="4"/>
      <c r="E615" s="3"/>
      <c r="F615" s="4"/>
      <c r="G615" s="3"/>
      <c r="H615" s="4"/>
      <c r="I615" s="3"/>
      <c r="J615" s="4"/>
      <c r="K615" s="3"/>
      <c r="L615" s="4"/>
      <c r="M615" s="3"/>
      <c r="N615" s="4"/>
      <c r="O615" s="3"/>
      <c r="P615" s="4"/>
      <c r="Q615" s="3"/>
      <c r="R615" s="4"/>
      <c r="S615" s="3"/>
      <c r="T615" s="4"/>
      <c r="U615" s="3"/>
      <c r="V615" s="4"/>
      <c r="W615" s="3"/>
      <c r="X615" s="4"/>
      <c r="Y615" s="3"/>
      <c r="Z615" s="4"/>
      <c r="AA615" s="3"/>
      <c r="AB615" s="4"/>
      <c r="AC615" s="3"/>
      <c r="AD615" s="4"/>
      <c r="AE615" s="3"/>
      <c r="AF615" s="4"/>
      <c r="AG615" s="3"/>
      <c r="AH615" s="4"/>
      <c r="AI615" s="3"/>
      <c r="AJ615" s="4"/>
      <c r="AK615" s="3"/>
      <c r="AL615" s="4"/>
      <c r="AM615" s="3"/>
      <c r="AN615" s="4"/>
      <c r="AO615" s="3"/>
      <c r="AP615" s="4"/>
      <c r="AQ615" s="3"/>
      <c r="AR615" s="4"/>
      <c r="AS615" s="3"/>
      <c r="AT615" s="4"/>
      <c r="AU615" s="3"/>
      <c r="AV615" s="4"/>
      <c r="AW615" s="3"/>
      <c r="AX615" s="4"/>
      <c r="AY615" s="3"/>
      <c r="AZ615" s="4"/>
      <c r="BA615" s="3"/>
      <c r="BB615" s="4"/>
      <c r="BC615" s="3"/>
      <c r="BD615" s="4"/>
      <c r="BE615" s="3"/>
      <c r="BF615" s="4"/>
      <c r="BG615" s="3"/>
      <c r="BH615" s="4"/>
      <c r="BI615" s="3"/>
      <c r="BJ615" s="4"/>
      <c r="BK615" s="3"/>
      <c r="BL615" s="4"/>
      <c r="BM615" s="3"/>
      <c r="BN615" s="4"/>
      <c r="BO615" s="3"/>
      <c r="BP615" s="4"/>
      <c r="BQ615" s="3"/>
      <c r="BR615" s="4"/>
      <c r="BS615" s="3"/>
      <c r="BT615" s="4"/>
      <c r="BU615" s="3"/>
      <c r="BV615" s="4"/>
      <c r="BW615" s="3"/>
      <c r="BX615" s="4"/>
      <c r="BY615" s="3"/>
      <c r="BZ615" s="4"/>
      <c r="CA615" s="3"/>
      <c r="CB615" s="4"/>
      <c r="CC615" s="3"/>
      <c r="CD615" s="4"/>
    </row>
    <row r="616">
      <c r="A616" s="3"/>
      <c r="B616" s="4"/>
      <c r="C616" s="3"/>
      <c r="D616" s="4"/>
      <c r="E616" s="3"/>
      <c r="F616" s="4"/>
      <c r="G616" s="3"/>
      <c r="H616" s="4"/>
      <c r="I616" s="3"/>
      <c r="J616" s="4"/>
      <c r="K616" s="3"/>
      <c r="L616" s="4"/>
      <c r="M616" s="3"/>
      <c r="N616" s="4"/>
      <c r="O616" s="3"/>
      <c r="P616" s="4"/>
      <c r="Q616" s="3"/>
      <c r="R616" s="4"/>
      <c r="S616" s="3"/>
      <c r="T616" s="4"/>
      <c r="U616" s="3"/>
      <c r="V616" s="4"/>
      <c r="W616" s="3"/>
      <c r="X616" s="4"/>
      <c r="Y616" s="3"/>
      <c r="Z616" s="4"/>
      <c r="AA616" s="3"/>
      <c r="AB616" s="4"/>
      <c r="AC616" s="3"/>
      <c r="AD616" s="4"/>
      <c r="AE616" s="3"/>
      <c r="AF616" s="4"/>
      <c r="AG616" s="3"/>
      <c r="AH616" s="4"/>
      <c r="AI616" s="3"/>
      <c r="AJ616" s="4"/>
      <c r="AK616" s="3"/>
      <c r="AL616" s="4"/>
      <c r="AM616" s="3"/>
      <c r="AN616" s="4"/>
      <c r="AO616" s="3"/>
      <c r="AP616" s="4"/>
      <c r="AQ616" s="3"/>
      <c r="AR616" s="4"/>
      <c r="AS616" s="3"/>
      <c r="AT616" s="4"/>
      <c r="AU616" s="3"/>
      <c r="AV616" s="4"/>
      <c r="AW616" s="3"/>
      <c r="AX616" s="4"/>
      <c r="AY616" s="3"/>
      <c r="AZ616" s="4"/>
      <c r="BA616" s="3"/>
      <c r="BB616" s="4"/>
      <c r="BC616" s="3"/>
      <c r="BD616" s="4"/>
      <c r="BE616" s="3"/>
      <c r="BF616" s="4"/>
      <c r="BG616" s="3"/>
      <c r="BH616" s="4"/>
      <c r="BI616" s="3"/>
      <c r="BJ616" s="4"/>
      <c r="BK616" s="3"/>
      <c r="BL616" s="4"/>
      <c r="BM616" s="3"/>
      <c r="BN616" s="4"/>
      <c r="BO616" s="3"/>
      <c r="BP616" s="4"/>
      <c r="BQ616" s="3"/>
      <c r="BR616" s="4"/>
      <c r="BS616" s="3"/>
      <c r="BT616" s="4"/>
      <c r="BU616" s="3"/>
      <c r="BV616" s="4"/>
      <c r="BW616" s="3"/>
      <c r="BX616" s="4"/>
      <c r="BY616" s="3"/>
      <c r="BZ616" s="4"/>
      <c r="CA616" s="3"/>
      <c r="CB616" s="4"/>
      <c r="CC616" s="3"/>
      <c r="CD616" s="4"/>
    </row>
    <row r="617">
      <c r="A617" s="3"/>
      <c r="B617" s="4"/>
      <c r="C617" s="3"/>
      <c r="D617" s="4"/>
      <c r="E617" s="3"/>
      <c r="F617" s="4"/>
      <c r="G617" s="3"/>
      <c r="H617" s="4"/>
      <c r="I617" s="3"/>
      <c r="J617" s="4"/>
      <c r="K617" s="3"/>
      <c r="L617" s="4"/>
      <c r="M617" s="3"/>
      <c r="N617" s="4"/>
      <c r="O617" s="3"/>
      <c r="P617" s="4"/>
      <c r="Q617" s="3"/>
      <c r="R617" s="4"/>
      <c r="S617" s="3"/>
      <c r="T617" s="4"/>
      <c r="U617" s="3"/>
      <c r="V617" s="4"/>
      <c r="W617" s="3"/>
      <c r="X617" s="4"/>
      <c r="Y617" s="3"/>
      <c r="Z617" s="4"/>
      <c r="AA617" s="3"/>
      <c r="AB617" s="4"/>
      <c r="AC617" s="3"/>
      <c r="AD617" s="4"/>
      <c r="AE617" s="3"/>
      <c r="AF617" s="4"/>
      <c r="AG617" s="3"/>
      <c r="AH617" s="4"/>
      <c r="AI617" s="3"/>
      <c r="AJ617" s="4"/>
      <c r="AK617" s="3"/>
      <c r="AL617" s="4"/>
      <c r="AM617" s="3"/>
      <c r="AN617" s="4"/>
      <c r="AO617" s="3"/>
      <c r="AP617" s="4"/>
      <c r="AQ617" s="3"/>
      <c r="AR617" s="4"/>
      <c r="AS617" s="3"/>
      <c r="AT617" s="4"/>
      <c r="AU617" s="3"/>
      <c r="AV617" s="4"/>
      <c r="AW617" s="3"/>
      <c r="AX617" s="4"/>
      <c r="AY617" s="3"/>
      <c r="AZ617" s="4"/>
      <c r="BA617" s="3"/>
      <c r="BB617" s="4"/>
      <c r="BC617" s="3"/>
      <c r="BD617" s="4"/>
      <c r="BE617" s="3"/>
      <c r="BF617" s="4"/>
      <c r="BG617" s="3"/>
      <c r="BH617" s="4"/>
      <c r="BI617" s="3"/>
      <c r="BJ617" s="4"/>
      <c r="BK617" s="3"/>
      <c r="BL617" s="4"/>
      <c r="BM617" s="3"/>
      <c r="BN617" s="4"/>
      <c r="BO617" s="3"/>
      <c r="BP617" s="4"/>
      <c r="BQ617" s="3"/>
      <c r="BR617" s="4"/>
      <c r="BS617" s="3"/>
      <c r="BT617" s="4"/>
      <c r="BU617" s="3"/>
      <c r="BV617" s="4"/>
      <c r="BW617" s="3"/>
      <c r="BX617" s="4"/>
      <c r="BY617" s="3"/>
      <c r="BZ617" s="4"/>
      <c r="CA617" s="3"/>
      <c r="CB617" s="4"/>
      <c r="CC617" s="3"/>
      <c r="CD617" s="4"/>
    </row>
    <row r="618">
      <c r="A618" s="3"/>
      <c r="B618" s="4"/>
      <c r="C618" s="3"/>
      <c r="D618" s="4"/>
      <c r="E618" s="3"/>
      <c r="F618" s="4"/>
      <c r="G618" s="3"/>
      <c r="H618" s="4"/>
      <c r="I618" s="3"/>
      <c r="J618" s="4"/>
      <c r="K618" s="3"/>
      <c r="L618" s="4"/>
      <c r="M618" s="3"/>
      <c r="N618" s="4"/>
      <c r="O618" s="3"/>
      <c r="P618" s="4"/>
      <c r="Q618" s="3"/>
      <c r="R618" s="4"/>
      <c r="S618" s="3"/>
      <c r="T618" s="4"/>
      <c r="U618" s="3"/>
      <c r="V618" s="4"/>
      <c r="W618" s="3"/>
      <c r="X618" s="4"/>
      <c r="Y618" s="3"/>
      <c r="Z618" s="4"/>
      <c r="AA618" s="3"/>
      <c r="AB618" s="4"/>
      <c r="AC618" s="3"/>
      <c r="AD618" s="4"/>
      <c r="AE618" s="3"/>
      <c r="AF618" s="4"/>
      <c r="AG618" s="3"/>
      <c r="AH618" s="4"/>
      <c r="AI618" s="3"/>
      <c r="AJ618" s="4"/>
      <c r="AK618" s="3"/>
      <c r="AL618" s="4"/>
      <c r="AM618" s="3"/>
      <c r="AN618" s="4"/>
      <c r="AO618" s="3"/>
      <c r="AP618" s="4"/>
      <c r="AQ618" s="3"/>
      <c r="AR618" s="4"/>
      <c r="AS618" s="3"/>
      <c r="AT618" s="4"/>
      <c r="AU618" s="3"/>
      <c r="AV618" s="4"/>
      <c r="AW618" s="3"/>
      <c r="AX618" s="4"/>
      <c r="AY618" s="3"/>
      <c r="AZ618" s="4"/>
      <c r="BA618" s="3"/>
      <c r="BB618" s="4"/>
      <c r="BC618" s="3"/>
      <c r="BD618" s="4"/>
      <c r="BE618" s="3"/>
      <c r="BF618" s="4"/>
      <c r="BG618" s="3"/>
      <c r="BH618" s="4"/>
      <c r="BI618" s="3"/>
      <c r="BJ618" s="4"/>
      <c r="BK618" s="3"/>
      <c r="BL618" s="4"/>
      <c r="BM618" s="3"/>
      <c r="BN618" s="4"/>
      <c r="BO618" s="3"/>
      <c r="BP618" s="4"/>
      <c r="BQ618" s="3"/>
      <c r="BR618" s="4"/>
      <c r="BS618" s="3"/>
      <c r="BT618" s="4"/>
      <c r="BU618" s="3"/>
      <c r="BV618" s="4"/>
      <c r="BW618" s="3"/>
      <c r="BX618" s="4"/>
      <c r="BY618" s="3"/>
      <c r="BZ618" s="4"/>
      <c r="CA618" s="3"/>
      <c r="CB618" s="4"/>
      <c r="CC618" s="3"/>
      <c r="CD618" s="4"/>
    </row>
    <row r="619">
      <c r="A619" s="3"/>
      <c r="B619" s="4"/>
      <c r="C619" s="3"/>
      <c r="D619" s="4"/>
      <c r="E619" s="3"/>
      <c r="F619" s="4"/>
      <c r="G619" s="3"/>
      <c r="H619" s="4"/>
      <c r="I619" s="3"/>
      <c r="J619" s="4"/>
      <c r="K619" s="3"/>
      <c r="L619" s="4"/>
      <c r="M619" s="3"/>
      <c r="N619" s="4"/>
      <c r="O619" s="3"/>
      <c r="P619" s="4"/>
      <c r="Q619" s="3"/>
      <c r="R619" s="4"/>
      <c r="S619" s="3"/>
      <c r="T619" s="4"/>
      <c r="U619" s="3"/>
      <c r="V619" s="4"/>
      <c r="W619" s="3"/>
      <c r="X619" s="4"/>
      <c r="Y619" s="3"/>
      <c r="Z619" s="4"/>
      <c r="AA619" s="3"/>
      <c r="AB619" s="4"/>
      <c r="AC619" s="3"/>
      <c r="AD619" s="4"/>
      <c r="AE619" s="3"/>
      <c r="AF619" s="4"/>
      <c r="AG619" s="3"/>
      <c r="AH619" s="4"/>
      <c r="AI619" s="3"/>
      <c r="AJ619" s="4"/>
      <c r="AK619" s="3"/>
      <c r="AL619" s="4"/>
      <c r="AM619" s="3"/>
      <c r="AN619" s="4"/>
      <c r="AO619" s="3"/>
      <c r="AP619" s="4"/>
      <c r="AQ619" s="3"/>
      <c r="AR619" s="4"/>
      <c r="AS619" s="3"/>
      <c r="AT619" s="4"/>
      <c r="AU619" s="3"/>
      <c r="AV619" s="4"/>
      <c r="AW619" s="3"/>
      <c r="AX619" s="4"/>
      <c r="AY619" s="3"/>
      <c r="AZ619" s="4"/>
      <c r="BA619" s="3"/>
      <c r="BB619" s="4"/>
      <c r="BC619" s="3"/>
      <c r="BD619" s="4"/>
      <c r="BE619" s="3"/>
      <c r="BF619" s="4"/>
      <c r="BG619" s="3"/>
      <c r="BH619" s="4"/>
      <c r="BI619" s="3"/>
      <c r="BJ619" s="4"/>
      <c r="BK619" s="3"/>
      <c r="BL619" s="4"/>
      <c r="BM619" s="3"/>
      <c r="BN619" s="4"/>
      <c r="BO619" s="3"/>
      <c r="BP619" s="4"/>
      <c r="BQ619" s="3"/>
      <c r="BR619" s="4"/>
      <c r="BS619" s="3"/>
      <c r="BT619" s="4"/>
      <c r="BU619" s="3"/>
      <c r="BV619" s="4"/>
      <c r="BW619" s="3"/>
      <c r="BX619" s="4"/>
      <c r="BY619" s="3"/>
      <c r="BZ619" s="4"/>
      <c r="CA619" s="3"/>
      <c r="CB619" s="4"/>
      <c r="CC619" s="3"/>
      <c r="CD619" s="4"/>
    </row>
    <row r="620">
      <c r="A620" s="3"/>
      <c r="B620" s="4"/>
      <c r="C620" s="3"/>
      <c r="D620" s="4"/>
      <c r="E620" s="3"/>
      <c r="F620" s="4"/>
      <c r="G620" s="3"/>
      <c r="H620" s="4"/>
      <c r="I620" s="3"/>
      <c r="J620" s="4"/>
      <c r="K620" s="3"/>
      <c r="L620" s="4"/>
      <c r="M620" s="3"/>
      <c r="N620" s="4"/>
      <c r="O620" s="3"/>
      <c r="P620" s="4"/>
      <c r="Q620" s="3"/>
      <c r="R620" s="4"/>
      <c r="S620" s="3"/>
      <c r="T620" s="4"/>
      <c r="U620" s="3"/>
      <c r="V620" s="4"/>
      <c r="W620" s="3"/>
      <c r="X620" s="4"/>
      <c r="Y620" s="3"/>
      <c r="Z620" s="4"/>
      <c r="AA620" s="3"/>
      <c r="AB620" s="4"/>
      <c r="AC620" s="3"/>
      <c r="AD620" s="4"/>
      <c r="AE620" s="3"/>
      <c r="AF620" s="4"/>
      <c r="AG620" s="3"/>
      <c r="AH620" s="4"/>
      <c r="AI620" s="3"/>
      <c r="AJ620" s="4"/>
      <c r="AK620" s="3"/>
      <c r="AL620" s="4"/>
      <c r="AM620" s="3"/>
      <c r="AN620" s="4"/>
      <c r="AO620" s="3"/>
      <c r="AP620" s="4"/>
      <c r="AQ620" s="3"/>
      <c r="AR620" s="4"/>
      <c r="AS620" s="3"/>
      <c r="AT620" s="4"/>
      <c r="AU620" s="3"/>
      <c r="AV620" s="4"/>
      <c r="AW620" s="3"/>
      <c r="AX620" s="4"/>
      <c r="AY620" s="3"/>
      <c r="AZ620" s="4"/>
      <c r="BA620" s="3"/>
      <c r="BB620" s="4"/>
      <c r="BC620" s="3"/>
      <c r="BD620" s="4"/>
      <c r="BE620" s="3"/>
      <c r="BF620" s="4"/>
      <c r="BG620" s="3"/>
      <c r="BH620" s="4"/>
      <c r="BI620" s="3"/>
      <c r="BJ620" s="4"/>
      <c r="BK620" s="3"/>
      <c r="BL620" s="4"/>
      <c r="BM620" s="3"/>
      <c r="BN620" s="4"/>
      <c r="BO620" s="3"/>
      <c r="BP620" s="4"/>
      <c r="BQ620" s="3"/>
      <c r="BR620" s="4"/>
      <c r="BS620" s="3"/>
      <c r="BT620" s="4"/>
      <c r="BU620" s="3"/>
      <c r="BV620" s="4"/>
      <c r="BW620" s="3"/>
      <c r="BX620" s="4"/>
      <c r="BY620" s="3"/>
      <c r="BZ620" s="4"/>
      <c r="CA620" s="3"/>
      <c r="CB620" s="4"/>
      <c r="CC620" s="3"/>
      <c r="CD620" s="4"/>
    </row>
    <row r="621">
      <c r="A621" s="3"/>
      <c r="B621" s="4"/>
      <c r="C621" s="3"/>
      <c r="D621" s="4"/>
      <c r="E621" s="3"/>
      <c r="F621" s="4"/>
      <c r="G621" s="3"/>
      <c r="H621" s="4"/>
      <c r="I621" s="3"/>
      <c r="J621" s="4"/>
      <c r="K621" s="3"/>
      <c r="L621" s="4"/>
      <c r="M621" s="3"/>
      <c r="N621" s="4"/>
      <c r="O621" s="3"/>
      <c r="P621" s="4"/>
      <c r="Q621" s="3"/>
      <c r="R621" s="4"/>
      <c r="S621" s="3"/>
      <c r="T621" s="4"/>
      <c r="U621" s="3"/>
      <c r="V621" s="4"/>
      <c r="W621" s="3"/>
      <c r="X621" s="4"/>
      <c r="Y621" s="3"/>
      <c r="Z621" s="4"/>
      <c r="AA621" s="3"/>
      <c r="AB621" s="4"/>
      <c r="AC621" s="3"/>
      <c r="AD621" s="4"/>
      <c r="AE621" s="3"/>
      <c r="AF621" s="4"/>
      <c r="AG621" s="3"/>
      <c r="AH621" s="4"/>
      <c r="AI621" s="3"/>
      <c r="AJ621" s="4"/>
      <c r="AK621" s="3"/>
      <c r="AL621" s="4"/>
      <c r="AM621" s="3"/>
      <c r="AN621" s="4"/>
      <c r="AO621" s="3"/>
      <c r="AP621" s="4"/>
      <c r="AQ621" s="3"/>
      <c r="AR621" s="4"/>
      <c r="AS621" s="3"/>
      <c r="AT621" s="4"/>
      <c r="AU621" s="3"/>
      <c r="AV621" s="4"/>
      <c r="AW621" s="3"/>
      <c r="AX621" s="4"/>
      <c r="AY621" s="3"/>
      <c r="AZ621" s="4"/>
      <c r="BA621" s="3"/>
      <c r="BB621" s="4"/>
      <c r="BC621" s="3"/>
      <c r="BD621" s="4"/>
      <c r="BE621" s="3"/>
      <c r="BF621" s="4"/>
      <c r="BG621" s="3"/>
      <c r="BH621" s="4"/>
      <c r="BI621" s="3"/>
      <c r="BJ621" s="4"/>
      <c r="BK621" s="3"/>
      <c r="BL621" s="4"/>
      <c r="BM621" s="3"/>
      <c r="BN621" s="4"/>
      <c r="BO621" s="3"/>
      <c r="BP621" s="4"/>
      <c r="BQ621" s="3"/>
      <c r="BR621" s="4"/>
      <c r="BS621" s="3"/>
      <c r="BT621" s="4"/>
      <c r="BU621" s="3"/>
      <c r="BV621" s="4"/>
      <c r="BW621" s="3"/>
      <c r="BX621" s="4"/>
      <c r="BY621" s="3"/>
      <c r="BZ621" s="4"/>
      <c r="CA621" s="3"/>
      <c r="CB621" s="4"/>
      <c r="CC621" s="3"/>
      <c r="CD621" s="4"/>
    </row>
    <row r="622">
      <c r="A622" s="3"/>
      <c r="B622" s="4"/>
      <c r="C622" s="3"/>
      <c r="D622" s="4"/>
      <c r="E622" s="3"/>
      <c r="F622" s="4"/>
      <c r="G622" s="3"/>
      <c r="H622" s="4"/>
      <c r="I622" s="3"/>
      <c r="J622" s="4"/>
      <c r="K622" s="3"/>
      <c r="L622" s="4"/>
      <c r="M622" s="3"/>
      <c r="N622" s="4"/>
      <c r="O622" s="3"/>
      <c r="P622" s="4"/>
      <c r="Q622" s="3"/>
      <c r="R622" s="4"/>
      <c r="S622" s="3"/>
      <c r="T622" s="4"/>
      <c r="U622" s="3"/>
      <c r="V622" s="4"/>
      <c r="W622" s="3"/>
      <c r="X622" s="4"/>
      <c r="Y622" s="3"/>
      <c r="Z622" s="4"/>
      <c r="AA622" s="3"/>
      <c r="AB622" s="4"/>
      <c r="AC622" s="3"/>
      <c r="AD622" s="4"/>
      <c r="AE622" s="3"/>
      <c r="AF622" s="4"/>
      <c r="AG622" s="3"/>
      <c r="AH622" s="4"/>
      <c r="AI622" s="3"/>
      <c r="AJ622" s="4"/>
      <c r="AK622" s="3"/>
      <c r="AL622" s="4"/>
      <c r="AM622" s="3"/>
      <c r="AN622" s="4"/>
      <c r="AO622" s="3"/>
      <c r="AP622" s="4"/>
      <c r="AQ622" s="3"/>
      <c r="AR622" s="4"/>
      <c r="AS622" s="3"/>
      <c r="AT622" s="4"/>
      <c r="AU622" s="3"/>
      <c r="AV622" s="4"/>
      <c r="AW622" s="3"/>
      <c r="AX622" s="4"/>
      <c r="AY622" s="3"/>
      <c r="AZ622" s="4"/>
      <c r="BA622" s="3"/>
      <c r="BB622" s="4"/>
      <c r="BC622" s="3"/>
      <c r="BD622" s="4"/>
      <c r="BE622" s="3"/>
      <c r="BF622" s="4"/>
      <c r="BG622" s="3"/>
      <c r="BH622" s="4"/>
      <c r="BI622" s="3"/>
      <c r="BJ622" s="4"/>
      <c r="BK622" s="3"/>
      <c r="BL622" s="4"/>
      <c r="BM622" s="3"/>
      <c r="BN622" s="4"/>
      <c r="BO622" s="3"/>
      <c r="BP622" s="4"/>
      <c r="BQ622" s="3"/>
      <c r="BR622" s="4"/>
      <c r="BS622" s="3"/>
      <c r="BT622" s="4"/>
      <c r="BU622" s="3"/>
      <c r="BV622" s="4"/>
      <c r="BW622" s="3"/>
      <c r="BX622" s="4"/>
      <c r="BY622" s="3"/>
      <c r="BZ622" s="4"/>
      <c r="CA622" s="3"/>
      <c r="CB622" s="4"/>
      <c r="CC622" s="3"/>
      <c r="CD622" s="4"/>
    </row>
    <row r="623">
      <c r="A623" s="3"/>
      <c r="B623" s="4"/>
      <c r="C623" s="3"/>
      <c r="D623" s="4"/>
      <c r="E623" s="3"/>
      <c r="F623" s="4"/>
      <c r="G623" s="3"/>
      <c r="H623" s="4"/>
      <c r="I623" s="3"/>
      <c r="J623" s="4"/>
      <c r="K623" s="3"/>
      <c r="L623" s="4"/>
      <c r="M623" s="3"/>
      <c r="N623" s="4"/>
      <c r="O623" s="3"/>
      <c r="P623" s="4"/>
      <c r="Q623" s="3"/>
      <c r="R623" s="4"/>
      <c r="S623" s="3"/>
      <c r="T623" s="4"/>
      <c r="U623" s="3"/>
      <c r="V623" s="4"/>
      <c r="W623" s="3"/>
      <c r="X623" s="4"/>
      <c r="Y623" s="3"/>
      <c r="Z623" s="4"/>
      <c r="AA623" s="3"/>
      <c r="AB623" s="4"/>
      <c r="AC623" s="3"/>
      <c r="AD623" s="4"/>
      <c r="AE623" s="3"/>
      <c r="AF623" s="4"/>
      <c r="AG623" s="3"/>
      <c r="AH623" s="4"/>
      <c r="AI623" s="3"/>
      <c r="AJ623" s="4"/>
      <c r="AK623" s="3"/>
      <c r="AL623" s="4"/>
      <c r="AM623" s="3"/>
      <c r="AN623" s="4"/>
      <c r="AO623" s="3"/>
      <c r="AP623" s="4"/>
      <c r="AQ623" s="3"/>
      <c r="AR623" s="4"/>
      <c r="AS623" s="3"/>
      <c r="AT623" s="4"/>
      <c r="AU623" s="3"/>
      <c r="AV623" s="4"/>
      <c r="AW623" s="3"/>
      <c r="AX623" s="4"/>
      <c r="AY623" s="3"/>
      <c r="AZ623" s="4"/>
      <c r="BA623" s="3"/>
      <c r="BB623" s="4"/>
      <c r="BC623" s="3"/>
      <c r="BD623" s="4"/>
      <c r="BE623" s="3"/>
      <c r="BF623" s="4"/>
      <c r="BG623" s="3"/>
      <c r="BH623" s="4"/>
      <c r="BI623" s="3"/>
      <c r="BJ623" s="4"/>
      <c r="BK623" s="3"/>
      <c r="BL623" s="4"/>
      <c r="BM623" s="3"/>
      <c r="BN623" s="4"/>
      <c r="BO623" s="3"/>
      <c r="BP623" s="4"/>
      <c r="BQ623" s="3"/>
      <c r="BR623" s="4"/>
      <c r="BS623" s="3"/>
      <c r="BT623" s="4"/>
      <c r="BU623" s="3"/>
      <c r="BV623" s="4"/>
      <c r="BW623" s="3"/>
      <c r="BX623" s="4"/>
      <c r="BY623" s="3"/>
      <c r="BZ623" s="4"/>
      <c r="CA623" s="3"/>
      <c r="CB623" s="4"/>
      <c r="CC623" s="3"/>
      <c r="CD623" s="4"/>
    </row>
    <row r="624">
      <c r="A624" s="3"/>
      <c r="B624" s="4"/>
      <c r="C624" s="3"/>
      <c r="D624" s="4"/>
      <c r="E624" s="3"/>
      <c r="F624" s="4"/>
      <c r="G624" s="3"/>
      <c r="H624" s="4"/>
      <c r="I624" s="3"/>
      <c r="J624" s="4"/>
      <c r="K624" s="3"/>
      <c r="L624" s="4"/>
      <c r="M624" s="3"/>
      <c r="N624" s="4"/>
      <c r="O624" s="3"/>
      <c r="P624" s="4"/>
      <c r="Q624" s="3"/>
      <c r="R624" s="4"/>
      <c r="S624" s="3"/>
      <c r="T624" s="4"/>
      <c r="U624" s="3"/>
      <c r="V624" s="4"/>
      <c r="W624" s="3"/>
      <c r="X624" s="4"/>
      <c r="Y624" s="3"/>
      <c r="Z624" s="4"/>
      <c r="AA624" s="3"/>
      <c r="AB624" s="4"/>
      <c r="AC624" s="3"/>
      <c r="AD624" s="4"/>
      <c r="AE624" s="3"/>
      <c r="AF624" s="4"/>
      <c r="AG624" s="3"/>
      <c r="AH624" s="4"/>
      <c r="AI624" s="3"/>
      <c r="AJ624" s="4"/>
      <c r="AK624" s="3"/>
      <c r="AL624" s="4"/>
      <c r="AM624" s="3"/>
      <c r="AN624" s="4"/>
      <c r="AO624" s="3"/>
      <c r="AP624" s="4"/>
      <c r="AQ624" s="3"/>
      <c r="AR624" s="4"/>
      <c r="AS624" s="3"/>
      <c r="AT624" s="4"/>
      <c r="AU624" s="3"/>
      <c r="AV624" s="4"/>
      <c r="AW624" s="3"/>
      <c r="AX624" s="4"/>
      <c r="AY624" s="3"/>
      <c r="AZ624" s="4"/>
      <c r="BA624" s="3"/>
      <c r="BB624" s="4"/>
      <c r="BC624" s="3"/>
      <c r="BD624" s="4"/>
      <c r="BE624" s="3"/>
      <c r="BF624" s="4"/>
      <c r="BG624" s="3"/>
      <c r="BH624" s="4"/>
      <c r="BI624" s="3"/>
      <c r="BJ624" s="4"/>
      <c r="BK624" s="3"/>
      <c r="BL624" s="4"/>
      <c r="BM624" s="3"/>
      <c r="BN624" s="4"/>
      <c r="BO624" s="3"/>
      <c r="BP624" s="4"/>
      <c r="BQ624" s="3"/>
      <c r="BR624" s="4"/>
      <c r="BS624" s="3"/>
      <c r="BT624" s="4"/>
      <c r="BU624" s="3"/>
      <c r="BV624" s="4"/>
      <c r="BW624" s="3"/>
      <c r="BX624" s="4"/>
      <c r="BY624" s="3"/>
      <c r="BZ624" s="4"/>
      <c r="CA624" s="3"/>
      <c r="CB624" s="4"/>
      <c r="CC624" s="3"/>
      <c r="CD624" s="4"/>
    </row>
    <row r="625">
      <c r="A625" s="3"/>
      <c r="B625" s="4"/>
      <c r="C625" s="3"/>
      <c r="D625" s="4"/>
      <c r="E625" s="3"/>
      <c r="F625" s="4"/>
      <c r="G625" s="3"/>
      <c r="H625" s="4"/>
      <c r="I625" s="3"/>
      <c r="J625" s="4"/>
      <c r="K625" s="3"/>
      <c r="L625" s="4"/>
      <c r="M625" s="3"/>
      <c r="N625" s="4"/>
      <c r="O625" s="3"/>
      <c r="P625" s="4"/>
      <c r="Q625" s="3"/>
      <c r="R625" s="4"/>
      <c r="S625" s="3"/>
      <c r="T625" s="4"/>
      <c r="U625" s="3"/>
      <c r="V625" s="4"/>
      <c r="W625" s="3"/>
      <c r="X625" s="4"/>
      <c r="Y625" s="3"/>
      <c r="Z625" s="4"/>
      <c r="AA625" s="3"/>
      <c r="AB625" s="4"/>
      <c r="AC625" s="3"/>
      <c r="AD625" s="4"/>
      <c r="AE625" s="3"/>
      <c r="AF625" s="4"/>
      <c r="AG625" s="3"/>
      <c r="AH625" s="4"/>
      <c r="AI625" s="3"/>
      <c r="AJ625" s="4"/>
      <c r="AK625" s="3"/>
      <c r="AL625" s="4"/>
      <c r="AM625" s="3"/>
      <c r="AN625" s="4"/>
      <c r="AO625" s="3"/>
      <c r="AP625" s="4"/>
      <c r="AQ625" s="3"/>
      <c r="AR625" s="4"/>
      <c r="AS625" s="3"/>
      <c r="AT625" s="4"/>
      <c r="AU625" s="3"/>
      <c r="AV625" s="4"/>
      <c r="AW625" s="3"/>
      <c r="AX625" s="4"/>
      <c r="AY625" s="3"/>
      <c r="AZ625" s="4"/>
      <c r="BA625" s="3"/>
      <c r="BB625" s="4"/>
      <c r="BC625" s="3"/>
      <c r="BD625" s="4"/>
      <c r="BE625" s="3"/>
      <c r="BF625" s="4"/>
      <c r="BG625" s="3"/>
      <c r="BH625" s="4"/>
      <c r="BI625" s="3"/>
      <c r="BJ625" s="4"/>
      <c r="BK625" s="3"/>
      <c r="BL625" s="4"/>
      <c r="BM625" s="3"/>
      <c r="BN625" s="4"/>
      <c r="BO625" s="3"/>
      <c r="BP625" s="4"/>
      <c r="BQ625" s="3"/>
      <c r="BR625" s="4"/>
      <c r="BS625" s="3"/>
      <c r="BT625" s="4"/>
      <c r="BU625" s="3"/>
      <c r="BV625" s="4"/>
      <c r="BW625" s="3"/>
      <c r="BX625" s="4"/>
      <c r="BY625" s="3"/>
      <c r="BZ625" s="4"/>
      <c r="CA625" s="3"/>
      <c r="CB625" s="4"/>
      <c r="CC625" s="3"/>
      <c r="CD625" s="4"/>
    </row>
    <row r="626">
      <c r="A626" s="3"/>
      <c r="B626" s="4"/>
      <c r="C626" s="3"/>
      <c r="D626" s="4"/>
      <c r="E626" s="3"/>
      <c r="F626" s="4"/>
      <c r="G626" s="3"/>
      <c r="H626" s="4"/>
      <c r="I626" s="3"/>
      <c r="J626" s="4"/>
      <c r="K626" s="3"/>
      <c r="L626" s="4"/>
      <c r="M626" s="3"/>
      <c r="N626" s="4"/>
      <c r="O626" s="3"/>
      <c r="P626" s="4"/>
      <c r="Q626" s="3"/>
      <c r="R626" s="4"/>
      <c r="S626" s="3"/>
      <c r="T626" s="4"/>
      <c r="U626" s="3"/>
      <c r="V626" s="4"/>
      <c r="W626" s="3"/>
      <c r="X626" s="4"/>
      <c r="Y626" s="3"/>
      <c r="Z626" s="4"/>
      <c r="AA626" s="3"/>
      <c r="AB626" s="4"/>
      <c r="AC626" s="3"/>
      <c r="AD626" s="4"/>
      <c r="AE626" s="3"/>
      <c r="AF626" s="4"/>
      <c r="AG626" s="3"/>
      <c r="AH626" s="4"/>
      <c r="AI626" s="3"/>
      <c r="AJ626" s="4"/>
      <c r="AK626" s="3"/>
      <c r="AL626" s="4"/>
      <c r="AM626" s="3"/>
      <c r="AN626" s="4"/>
      <c r="AO626" s="3"/>
      <c r="AP626" s="4"/>
      <c r="AQ626" s="3"/>
      <c r="AR626" s="4"/>
      <c r="AS626" s="3"/>
      <c r="AT626" s="4"/>
      <c r="AU626" s="3"/>
      <c r="AV626" s="4"/>
      <c r="AW626" s="3"/>
      <c r="AX626" s="4"/>
      <c r="AY626" s="3"/>
      <c r="AZ626" s="4"/>
      <c r="BA626" s="3"/>
      <c r="BB626" s="4"/>
      <c r="BC626" s="3"/>
      <c r="BD626" s="4"/>
      <c r="BE626" s="3"/>
      <c r="BF626" s="4"/>
      <c r="BG626" s="3"/>
      <c r="BH626" s="4"/>
      <c r="BI626" s="3"/>
      <c r="BJ626" s="4"/>
      <c r="BK626" s="3"/>
      <c r="BL626" s="4"/>
      <c r="BM626" s="3"/>
      <c r="BN626" s="4"/>
      <c r="BO626" s="3"/>
      <c r="BP626" s="4"/>
      <c r="BQ626" s="3"/>
      <c r="BR626" s="4"/>
      <c r="BS626" s="3"/>
      <c r="BT626" s="4"/>
      <c r="BU626" s="3"/>
      <c r="BV626" s="4"/>
      <c r="BW626" s="3"/>
      <c r="BX626" s="4"/>
      <c r="BY626" s="3"/>
      <c r="BZ626" s="4"/>
      <c r="CA626" s="3"/>
      <c r="CB626" s="4"/>
      <c r="CC626" s="3"/>
      <c r="CD626" s="4"/>
    </row>
    <row r="627">
      <c r="A627" s="3"/>
      <c r="B627" s="4"/>
      <c r="C627" s="3"/>
      <c r="D627" s="4"/>
      <c r="E627" s="3"/>
      <c r="F627" s="4"/>
      <c r="G627" s="3"/>
      <c r="H627" s="4"/>
      <c r="I627" s="3"/>
      <c r="J627" s="4"/>
      <c r="K627" s="3"/>
      <c r="L627" s="4"/>
      <c r="M627" s="3"/>
      <c r="N627" s="4"/>
      <c r="O627" s="3"/>
      <c r="P627" s="4"/>
      <c r="Q627" s="3"/>
      <c r="R627" s="4"/>
      <c r="S627" s="3"/>
      <c r="T627" s="4"/>
      <c r="U627" s="3"/>
      <c r="V627" s="4"/>
      <c r="W627" s="3"/>
      <c r="X627" s="4"/>
      <c r="Y627" s="3"/>
      <c r="Z627" s="4"/>
      <c r="AA627" s="3"/>
      <c r="AB627" s="4"/>
      <c r="AC627" s="3"/>
      <c r="AD627" s="4"/>
      <c r="AE627" s="3"/>
      <c r="AF627" s="4"/>
      <c r="AG627" s="3"/>
      <c r="AH627" s="4"/>
      <c r="AI627" s="3"/>
      <c r="AJ627" s="4"/>
      <c r="AK627" s="3"/>
      <c r="AL627" s="4"/>
      <c r="AM627" s="3"/>
      <c r="AN627" s="4"/>
      <c r="AO627" s="3"/>
      <c r="AP627" s="4"/>
      <c r="AQ627" s="3"/>
      <c r="AR627" s="4"/>
      <c r="AS627" s="3"/>
      <c r="AT627" s="4"/>
      <c r="AU627" s="3"/>
      <c r="AV627" s="4"/>
      <c r="AW627" s="3"/>
      <c r="AX627" s="4"/>
      <c r="AY627" s="3"/>
      <c r="AZ627" s="4"/>
      <c r="BA627" s="3"/>
      <c r="BB627" s="4"/>
      <c r="BC627" s="3"/>
      <c r="BD627" s="4"/>
      <c r="BE627" s="3"/>
      <c r="BF627" s="4"/>
      <c r="BG627" s="3"/>
      <c r="BH627" s="4"/>
      <c r="BI627" s="3"/>
      <c r="BJ627" s="4"/>
      <c r="BK627" s="3"/>
      <c r="BL627" s="4"/>
      <c r="BM627" s="3"/>
      <c r="BN627" s="4"/>
      <c r="BO627" s="3"/>
      <c r="BP627" s="4"/>
      <c r="BQ627" s="3"/>
      <c r="BR627" s="4"/>
      <c r="BS627" s="3"/>
      <c r="BT627" s="4"/>
      <c r="BU627" s="3"/>
      <c r="BV627" s="4"/>
      <c r="BW627" s="3"/>
      <c r="BX627" s="4"/>
      <c r="BY627" s="3"/>
      <c r="BZ627" s="4"/>
      <c r="CA627" s="3"/>
      <c r="CB627" s="4"/>
      <c r="CC627" s="3"/>
      <c r="CD627" s="4"/>
    </row>
    <row r="628">
      <c r="A628" s="3"/>
      <c r="B628" s="4"/>
      <c r="C628" s="3"/>
      <c r="D628" s="4"/>
      <c r="E628" s="3"/>
      <c r="F628" s="4"/>
      <c r="G628" s="3"/>
      <c r="H628" s="4"/>
      <c r="I628" s="3"/>
      <c r="J628" s="4"/>
      <c r="K628" s="3"/>
      <c r="L628" s="4"/>
      <c r="M628" s="3"/>
      <c r="N628" s="4"/>
      <c r="O628" s="3"/>
      <c r="P628" s="4"/>
      <c r="Q628" s="3"/>
      <c r="R628" s="4"/>
      <c r="S628" s="3"/>
      <c r="T628" s="4"/>
      <c r="U628" s="3"/>
      <c r="V628" s="4"/>
      <c r="W628" s="3"/>
      <c r="X628" s="4"/>
      <c r="Y628" s="3"/>
      <c r="Z628" s="4"/>
      <c r="AA628" s="3"/>
      <c r="AB628" s="4"/>
      <c r="AC628" s="3"/>
      <c r="AD628" s="4"/>
      <c r="AE628" s="3"/>
      <c r="AF628" s="4"/>
      <c r="AG628" s="3"/>
      <c r="AH628" s="4"/>
      <c r="AI628" s="3"/>
      <c r="AJ628" s="4"/>
      <c r="AK628" s="3"/>
      <c r="AL628" s="4"/>
      <c r="AM628" s="3"/>
      <c r="AN628" s="4"/>
      <c r="AO628" s="3"/>
      <c r="AP628" s="4"/>
      <c r="AQ628" s="3"/>
      <c r="AR628" s="4"/>
      <c r="AS628" s="3"/>
      <c r="AT628" s="4"/>
      <c r="AU628" s="3"/>
      <c r="AV628" s="4"/>
      <c r="AW628" s="3"/>
      <c r="AX628" s="4"/>
      <c r="AY628" s="3"/>
      <c r="AZ628" s="4"/>
      <c r="BA628" s="3"/>
      <c r="BB628" s="4"/>
      <c r="BC628" s="3"/>
      <c r="BD628" s="4"/>
      <c r="BE628" s="3"/>
      <c r="BF628" s="4"/>
      <c r="BG628" s="3"/>
      <c r="BH628" s="4"/>
      <c r="BI628" s="3"/>
      <c r="BJ628" s="4"/>
      <c r="BK628" s="3"/>
      <c r="BL628" s="4"/>
      <c r="BM628" s="3"/>
      <c r="BN628" s="4"/>
      <c r="BO628" s="3"/>
      <c r="BP628" s="4"/>
      <c r="BQ628" s="3"/>
      <c r="BR628" s="4"/>
      <c r="BS628" s="3"/>
      <c r="BT628" s="4"/>
      <c r="BU628" s="3"/>
      <c r="BV628" s="4"/>
      <c r="BW628" s="3"/>
      <c r="BX628" s="4"/>
      <c r="BY628" s="3"/>
      <c r="BZ628" s="4"/>
      <c r="CA628" s="3"/>
      <c r="CB628" s="4"/>
      <c r="CC628" s="3"/>
      <c r="CD628" s="4"/>
    </row>
    <row r="629">
      <c r="A629" s="3"/>
      <c r="B629" s="4"/>
      <c r="C629" s="3"/>
      <c r="D629" s="4"/>
      <c r="E629" s="3"/>
      <c r="F629" s="4"/>
      <c r="G629" s="3"/>
      <c r="H629" s="4"/>
      <c r="I629" s="3"/>
      <c r="J629" s="4"/>
      <c r="K629" s="3"/>
      <c r="L629" s="4"/>
      <c r="M629" s="3"/>
      <c r="N629" s="4"/>
      <c r="O629" s="3"/>
      <c r="P629" s="4"/>
      <c r="Q629" s="3"/>
      <c r="R629" s="4"/>
      <c r="S629" s="3"/>
      <c r="T629" s="4"/>
      <c r="U629" s="3"/>
      <c r="V629" s="4"/>
      <c r="W629" s="3"/>
      <c r="X629" s="4"/>
      <c r="Y629" s="3"/>
      <c r="Z629" s="4"/>
      <c r="AA629" s="3"/>
      <c r="AB629" s="4"/>
      <c r="AC629" s="3"/>
      <c r="AD629" s="4"/>
      <c r="AE629" s="3"/>
      <c r="AF629" s="4"/>
      <c r="AG629" s="3"/>
      <c r="AH629" s="4"/>
      <c r="AI629" s="3"/>
      <c r="AJ629" s="4"/>
      <c r="AK629" s="3"/>
      <c r="AL629" s="4"/>
      <c r="AM629" s="3"/>
      <c r="AN629" s="4"/>
      <c r="AO629" s="3"/>
      <c r="AP629" s="4"/>
      <c r="AQ629" s="3"/>
      <c r="AR629" s="4"/>
      <c r="AS629" s="3"/>
      <c r="AT629" s="4"/>
      <c r="AU629" s="3"/>
      <c r="AV629" s="4"/>
      <c r="AW629" s="3"/>
      <c r="AX629" s="4"/>
      <c r="AY629" s="3"/>
      <c r="AZ629" s="4"/>
      <c r="BA629" s="3"/>
      <c r="BB629" s="4"/>
      <c r="BC629" s="3"/>
      <c r="BD629" s="4"/>
      <c r="BE629" s="3"/>
      <c r="BF629" s="4"/>
      <c r="BG629" s="3"/>
      <c r="BH629" s="4"/>
      <c r="BI629" s="3"/>
      <c r="BJ629" s="4"/>
      <c r="BK629" s="3"/>
      <c r="BL629" s="4"/>
      <c r="BM629" s="3"/>
      <c r="BN629" s="4"/>
      <c r="BO629" s="3"/>
      <c r="BP629" s="4"/>
      <c r="BQ629" s="3"/>
      <c r="BR629" s="4"/>
      <c r="BS629" s="3"/>
      <c r="BT629" s="4"/>
      <c r="BU629" s="3"/>
      <c r="BV629" s="4"/>
      <c r="BW629" s="3"/>
      <c r="BX629" s="4"/>
      <c r="BY629" s="3"/>
      <c r="BZ629" s="4"/>
      <c r="CA629" s="3"/>
      <c r="CB629" s="4"/>
      <c r="CC629" s="3"/>
      <c r="CD629" s="4"/>
    </row>
    <row r="630">
      <c r="A630" s="3"/>
      <c r="B630" s="4"/>
      <c r="C630" s="3"/>
      <c r="D630" s="4"/>
      <c r="E630" s="3"/>
      <c r="F630" s="4"/>
      <c r="G630" s="3"/>
      <c r="H630" s="4"/>
      <c r="I630" s="3"/>
      <c r="J630" s="4"/>
      <c r="K630" s="3"/>
      <c r="L630" s="4"/>
      <c r="M630" s="3"/>
      <c r="N630" s="4"/>
      <c r="O630" s="3"/>
      <c r="P630" s="4"/>
      <c r="Q630" s="3"/>
      <c r="R630" s="4"/>
      <c r="S630" s="3"/>
      <c r="T630" s="4"/>
      <c r="U630" s="3"/>
      <c r="V630" s="4"/>
      <c r="W630" s="3"/>
      <c r="X630" s="4"/>
      <c r="Y630" s="3"/>
      <c r="Z630" s="4"/>
      <c r="AA630" s="3"/>
      <c r="AB630" s="4"/>
      <c r="AC630" s="3"/>
      <c r="AD630" s="4"/>
      <c r="AE630" s="3"/>
      <c r="AF630" s="4"/>
      <c r="AG630" s="3"/>
      <c r="AH630" s="4"/>
      <c r="AI630" s="3"/>
      <c r="AJ630" s="4"/>
      <c r="AK630" s="3"/>
      <c r="AL630" s="4"/>
      <c r="AM630" s="3"/>
      <c r="AN630" s="4"/>
      <c r="AO630" s="3"/>
      <c r="AP630" s="4"/>
      <c r="AQ630" s="3"/>
      <c r="AR630" s="4"/>
      <c r="AS630" s="3"/>
      <c r="AT630" s="4"/>
      <c r="AU630" s="3"/>
      <c r="AV630" s="4"/>
      <c r="AW630" s="3"/>
      <c r="AX630" s="4"/>
      <c r="AY630" s="3"/>
      <c r="AZ630" s="4"/>
      <c r="BA630" s="3"/>
      <c r="BB630" s="4"/>
      <c r="BC630" s="3"/>
      <c r="BD630" s="4"/>
      <c r="BE630" s="3"/>
      <c r="BF630" s="4"/>
      <c r="BG630" s="3"/>
      <c r="BH630" s="4"/>
      <c r="BI630" s="3"/>
      <c r="BJ630" s="4"/>
      <c r="BK630" s="3"/>
      <c r="BL630" s="4"/>
      <c r="BM630" s="3"/>
      <c r="BN630" s="4"/>
      <c r="BO630" s="3"/>
      <c r="BP630" s="4"/>
      <c r="BQ630" s="3"/>
      <c r="BR630" s="4"/>
      <c r="BS630" s="3"/>
      <c r="BT630" s="4"/>
      <c r="BU630" s="3"/>
      <c r="BV630" s="4"/>
      <c r="BW630" s="3"/>
      <c r="BX630" s="4"/>
      <c r="BY630" s="3"/>
      <c r="BZ630" s="4"/>
      <c r="CA630" s="3"/>
      <c r="CB630" s="4"/>
      <c r="CC630" s="3"/>
      <c r="CD630" s="4"/>
    </row>
    <row r="631">
      <c r="A631" s="3"/>
      <c r="B631" s="4"/>
      <c r="C631" s="3"/>
      <c r="D631" s="4"/>
      <c r="E631" s="3"/>
      <c r="F631" s="4"/>
      <c r="G631" s="3"/>
      <c r="H631" s="4"/>
      <c r="I631" s="3"/>
      <c r="J631" s="4"/>
      <c r="K631" s="3"/>
      <c r="L631" s="4"/>
      <c r="M631" s="3"/>
      <c r="N631" s="4"/>
      <c r="O631" s="3"/>
      <c r="P631" s="4"/>
      <c r="Q631" s="3"/>
      <c r="R631" s="4"/>
      <c r="S631" s="3"/>
      <c r="T631" s="4"/>
      <c r="U631" s="3"/>
      <c r="V631" s="4"/>
      <c r="W631" s="3"/>
      <c r="X631" s="4"/>
      <c r="Y631" s="3"/>
      <c r="Z631" s="4"/>
      <c r="AA631" s="3"/>
      <c r="AB631" s="4"/>
      <c r="AC631" s="3"/>
      <c r="AD631" s="4"/>
      <c r="AE631" s="3"/>
      <c r="AF631" s="4"/>
      <c r="AG631" s="3"/>
      <c r="AH631" s="4"/>
      <c r="AI631" s="3"/>
      <c r="AJ631" s="4"/>
      <c r="AK631" s="3"/>
      <c r="AL631" s="4"/>
      <c r="AM631" s="3"/>
      <c r="AN631" s="4"/>
      <c r="AO631" s="3"/>
      <c r="AP631" s="4"/>
      <c r="AQ631" s="3"/>
      <c r="AR631" s="4"/>
      <c r="AS631" s="3"/>
      <c r="AT631" s="4"/>
      <c r="AU631" s="3"/>
      <c r="AV631" s="4"/>
      <c r="AW631" s="3"/>
      <c r="AX631" s="4"/>
      <c r="AY631" s="3"/>
      <c r="AZ631" s="4"/>
      <c r="BA631" s="3"/>
      <c r="BB631" s="4"/>
      <c r="BC631" s="3"/>
      <c r="BD631" s="4"/>
      <c r="BE631" s="3"/>
      <c r="BF631" s="4"/>
      <c r="BG631" s="3"/>
      <c r="BH631" s="4"/>
      <c r="BI631" s="3"/>
      <c r="BJ631" s="4"/>
      <c r="BK631" s="3"/>
      <c r="BL631" s="4"/>
      <c r="BM631" s="3"/>
      <c r="BN631" s="4"/>
      <c r="BO631" s="3"/>
      <c r="BP631" s="4"/>
      <c r="BQ631" s="3"/>
      <c r="BR631" s="4"/>
      <c r="BS631" s="3"/>
      <c r="BT631" s="4"/>
      <c r="BU631" s="3"/>
      <c r="BV631" s="4"/>
      <c r="BW631" s="3"/>
      <c r="BX631" s="4"/>
      <c r="BY631" s="3"/>
      <c r="BZ631" s="4"/>
      <c r="CA631" s="3"/>
      <c r="CB631" s="4"/>
      <c r="CC631" s="3"/>
      <c r="CD631" s="4"/>
    </row>
    <row r="632">
      <c r="A632" s="3"/>
      <c r="B632" s="4"/>
      <c r="C632" s="3"/>
      <c r="D632" s="4"/>
      <c r="E632" s="3"/>
      <c r="F632" s="4"/>
      <c r="G632" s="3"/>
      <c r="H632" s="4"/>
      <c r="I632" s="3"/>
      <c r="J632" s="4"/>
      <c r="K632" s="3"/>
      <c r="L632" s="4"/>
      <c r="M632" s="3"/>
      <c r="N632" s="4"/>
      <c r="O632" s="3"/>
      <c r="P632" s="4"/>
      <c r="Q632" s="3"/>
      <c r="R632" s="4"/>
      <c r="S632" s="3"/>
      <c r="T632" s="4"/>
      <c r="U632" s="3"/>
      <c r="V632" s="4"/>
      <c r="W632" s="3"/>
      <c r="X632" s="4"/>
      <c r="Y632" s="3"/>
      <c r="Z632" s="4"/>
      <c r="AA632" s="3"/>
      <c r="AB632" s="4"/>
      <c r="AC632" s="3"/>
      <c r="AD632" s="4"/>
      <c r="AE632" s="3"/>
      <c r="AF632" s="4"/>
      <c r="AG632" s="3"/>
      <c r="AH632" s="4"/>
      <c r="AI632" s="3"/>
      <c r="AJ632" s="4"/>
      <c r="AK632" s="3"/>
      <c r="AL632" s="4"/>
      <c r="AM632" s="3"/>
      <c r="AN632" s="4"/>
      <c r="AO632" s="3"/>
      <c r="AP632" s="4"/>
      <c r="AQ632" s="3"/>
      <c r="AR632" s="4"/>
      <c r="AS632" s="3"/>
      <c r="AT632" s="4"/>
      <c r="AU632" s="3"/>
      <c r="AV632" s="4"/>
      <c r="AW632" s="3"/>
      <c r="AX632" s="4"/>
      <c r="AY632" s="3"/>
      <c r="AZ632" s="4"/>
      <c r="BA632" s="3"/>
      <c r="BB632" s="4"/>
      <c r="BC632" s="3"/>
      <c r="BD632" s="4"/>
      <c r="BE632" s="3"/>
      <c r="BF632" s="4"/>
      <c r="BG632" s="3"/>
      <c r="BH632" s="4"/>
      <c r="BI632" s="3"/>
      <c r="BJ632" s="4"/>
      <c r="BK632" s="3"/>
      <c r="BL632" s="4"/>
      <c r="BM632" s="3"/>
      <c r="BN632" s="4"/>
      <c r="BO632" s="3"/>
      <c r="BP632" s="4"/>
      <c r="BQ632" s="3"/>
      <c r="BR632" s="4"/>
      <c r="BS632" s="3"/>
      <c r="BT632" s="4"/>
      <c r="BU632" s="3"/>
      <c r="BV632" s="4"/>
      <c r="BW632" s="3"/>
      <c r="BX632" s="4"/>
      <c r="BY632" s="3"/>
      <c r="BZ632" s="4"/>
      <c r="CA632" s="3"/>
      <c r="CB632" s="4"/>
      <c r="CC632" s="3"/>
      <c r="CD632" s="4"/>
    </row>
    <row r="633">
      <c r="A633" s="3"/>
      <c r="B633" s="4"/>
      <c r="C633" s="3"/>
      <c r="D633" s="4"/>
      <c r="E633" s="3"/>
      <c r="F633" s="4"/>
      <c r="G633" s="3"/>
      <c r="H633" s="4"/>
      <c r="I633" s="3"/>
      <c r="J633" s="4"/>
      <c r="K633" s="3"/>
      <c r="L633" s="4"/>
      <c r="M633" s="3"/>
      <c r="N633" s="4"/>
      <c r="O633" s="3"/>
      <c r="P633" s="4"/>
      <c r="Q633" s="3"/>
      <c r="R633" s="4"/>
      <c r="S633" s="3"/>
      <c r="T633" s="4"/>
      <c r="U633" s="3"/>
      <c r="V633" s="4"/>
      <c r="W633" s="3"/>
      <c r="X633" s="4"/>
      <c r="Y633" s="3"/>
      <c r="Z633" s="4"/>
      <c r="AA633" s="3"/>
      <c r="AB633" s="4"/>
      <c r="AC633" s="3"/>
      <c r="AD633" s="4"/>
      <c r="AE633" s="3"/>
      <c r="AF633" s="4"/>
      <c r="AG633" s="3"/>
      <c r="AH633" s="4"/>
      <c r="AI633" s="3"/>
      <c r="AJ633" s="4"/>
      <c r="AK633" s="3"/>
      <c r="AL633" s="4"/>
      <c r="AM633" s="3"/>
      <c r="AN633" s="4"/>
      <c r="AO633" s="3"/>
      <c r="AP633" s="4"/>
      <c r="AQ633" s="3"/>
      <c r="AR633" s="4"/>
      <c r="AS633" s="3"/>
      <c r="AT633" s="4"/>
      <c r="AU633" s="3"/>
      <c r="AV633" s="4"/>
      <c r="AW633" s="3"/>
      <c r="AX633" s="4"/>
      <c r="AY633" s="3"/>
      <c r="AZ633" s="4"/>
      <c r="BA633" s="3"/>
      <c r="BB633" s="4"/>
      <c r="BC633" s="3"/>
      <c r="BD633" s="4"/>
      <c r="BE633" s="3"/>
      <c r="BF633" s="4"/>
      <c r="BG633" s="3"/>
      <c r="BH633" s="4"/>
      <c r="BI633" s="3"/>
      <c r="BJ633" s="4"/>
      <c r="BK633" s="3"/>
      <c r="BL633" s="4"/>
      <c r="BM633" s="3"/>
      <c r="BN633" s="4"/>
      <c r="BO633" s="3"/>
      <c r="BP633" s="4"/>
      <c r="BQ633" s="3"/>
      <c r="BR633" s="4"/>
      <c r="BS633" s="3"/>
      <c r="BT633" s="4"/>
      <c r="BU633" s="3"/>
      <c r="BV633" s="4"/>
      <c r="BW633" s="3"/>
      <c r="BX633" s="4"/>
      <c r="BY633" s="3"/>
      <c r="BZ633" s="4"/>
      <c r="CA633" s="3"/>
      <c r="CB633" s="4"/>
      <c r="CC633" s="3"/>
      <c r="CD633" s="4"/>
    </row>
    <row r="634">
      <c r="A634" s="3"/>
      <c r="B634" s="4"/>
      <c r="C634" s="3"/>
      <c r="D634" s="4"/>
      <c r="E634" s="3"/>
      <c r="F634" s="4"/>
      <c r="G634" s="3"/>
      <c r="H634" s="4"/>
      <c r="I634" s="3"/>
      <c r="J634" s="4"/>
      <c r="K634" s="3"/>
      <c r="L634" s="4"/>
      <c r="M634" s="3"/>
      <c r="N634" s="4"/>
      <c r="O634" s="3"/>
      <c r="P634" s="4"/>
      <c r="Q634" s="3"/>
      <c r="R634" s="4"/>
      <c r="S634" s="3"/>
      <c r="T634" s="4"/>
      <c r="U634" s="3"/>
      <c r="V634" s="4"/>
      <c r="W634" s="3"/>
      <c r="X634" s="4"/>
      <c r="Y634" s="3"/>
      <c r="Z634" s="4"/>
      <c r="AA634" s="3"/>
      <c r="AB634" s="4"/>
      <c r="AC634" s="3"/>
      <c r="AD634" s="4"/>
      <c r="AE634" s="3"/>
      <c r="AF634" s="4"/>
      <c r="AG634" s="3"/>
      <c r="AH634" s="4"/>
      <c r="AI634" s="3"/>
      <c r="AJ634" s="4"/>
      <c r="AK634" s="3"/>
      <c r="AL634" s="4"/>
      <c r="AM634" s="3"/>
      <c r="AN634" s="4"/>
      <c r="AO634" s="3"/>
      <c r="AP634" s="4"/>
      <c r="AQ634" s="3"/>
      <c r="AR634" s="4"/>
      <c r="AS634" s="3"/>
      <c r="AT634" s="4"/>
      <c r="AU634" s="3"/>
      <c r="AV634" s="4"/>
      <c r="AW634" s="3"/>
      <c r="AX634" s="4"/>
      <c r="AY634" s="3"/>
      <c r="AZ634" s="4"/>
      <c r="BA634" s="3"/>
      <c r="BB634" s="4"/>
      <c r="BC634" s="3"/>
      <c r="BD634" s="4"/>
      <c r="BE634" s="3"/>
      <c r="BF634" s="4"/>
      <c r="BG634" s="3"/>
      <c r="BH634" s="4"/>
      <c r="BI634" s="3"/>
      <c r="BJ634" s="4"/>
      <c r="BK634" s="3"/>
      <c r="BL634" s="4"/>
      <c r="BM634" s="3"/>
      <c r="BN634" s="4"/>
      <c r="BO634" s="3"/>
      <c r="BP634" s="4"/>
      <c r="BQ634" s="3"/>
      <c r="BR634" s="4"/>
      <c r="BS634" s="3"/>
      <c r="BT634" s="4"/>
      <c r="BU634" s="3"/>
      <c r="BV634" s="4"/>
      <c r="BW634" s="3"/>
      <c r="BX634" s="4"/>
      <c r="BY634" s="3"/>
      <c r="BZ634" s="4"/>
      <c r="CA634" s="3"/>
      <c r="CB634" s="4"/>
      <c r="CC634" s="3"/>
      <c r="CD634" s="4"/>
    </row>
    <row r="635">
      <c r="A635" s="3"/>
      <c r="B635" s="4"/>
      <c r="C635" s="3"/>
      <c r="D635" s="4"/>
      <c r="E635" s="3"/>
      <c r="F635" s="4"/>
      <c r="G635" s="3"/>
      <c r="H635" s="4"/>
      <c r="I635" s="3"/>
      <c r="J635" s="4"/>
      <c r="K635" s="3"/>
      <c r="L635" s="4"/>
      <c r="M635" s="3"/>
      <c r="N635" s="4"/>
      <c r="O635" s="3"/>
      <c r="P635" s="4"/>
      <c r="Q635" s="3"/>
      <c r="R635" s="4"/>
      <c r="S635" s="3"/>
      <c r="T635" s="4"/>
      <c r="U635" s="3"/>
      <c r="V635" s="4"/>
      <c r="W635" s="3"/>
      <c r="X635" s="4"/>
      <c r="Y635" s="3"/>
      <c r="Z635" s="4"/>
      <c r="AA635" s="3"/>
      <c r="AB635" s="4"/>
      <c r="AC635" s="3"/>
      <c r="AD635" s="4"/>
      <c r="AE635" s="3"/>
      <c r="AF635" s="4"/>
      <c r="AG635" s="3"/>
      <c r="AH635" s="4"/>
      <c r="AI635" s="3"/>
      <c r="AJ635" s="4"/>
      <c r="AK635" s="3"/>
      <c r="AL635" s="4"/>
      <c r="AM635" s="3"/>
      <c r="AN635" s="4"/>
      <c r="AO635" s="3"/>
      <c r="AP635" s="4"/>
      <c r="AQ635" s="3"/>
      <c r="AR635" s="4"/>
      <c r="AS635" s="3"/>
      <c r="AT635" s="4"/>
      <c r="AU635" s="3"/>
      <c r="AV635" s="4"/>
      <c r="AW635" s="3"/>
      <c r="AX635" s="4"/>
      <c r="AY635" s="3"/>
      <c r="AZ635" s="4"/>
      <c r="BA635" s="3"/>
      <c r="BB635" s="4"/>
      <c r="BC635" s="3"/>
      <c r="BD635" s="4"/>
      <c r="BE635" s="3"/>
      <c r="BF635" s="4"/>
      <c r="BG635" s="3"/>
      <c r="BH635" s="4"/>
      <c r="BI635" s="3"/>
      <c r="BJ635" s="4"/>
      <c r="BK635" s="3"/>
      <c r="BL635" s="4"/>
      <c r="BM635" s="3"/>
      <c r="BN635" s="4"/>
      <c r="BO635" s="3"/>
      <c r="BP635" s="4"/>
      <c r="BQ635" s="3"/>
      <c r="BR635" s="4"/>
      <c r="BS635" s="3"/>
      <c r="BT635" s="4"/>
      <c r="BU635" s="3"/>
      <c r="BV635" s="4"/>
      <c r="BW635" s="3"/>
      <c r="BX635" s="4"/>
      <c r="BY635" s="3"/>
      <c r="BZ635" s="4"/>
      <c r="CA635" s="3"/>
      <c r="CB635" s="4"/>
      <c r="CC635" s="3"/>
      <c r="CD635" s="4"/>
    </row>
    <row r="636">
      <c r="A636" s="3"/>
      <c r="B636" s="4"/>
      <c r="C636" s="3"/>
      <c r="D636" s="4"/>
      <c r="E636" s="3"/>
      <c r="F636" s="4"/>
      <c r="G636" s="3"/>
      <c r="H636" s="4"/>
      <c r="I636" s="3"/>
      <c r="J636" s="4"/>
      <c r="K636" s="3"/>
      <c r="L636" s="4"/>
      <c r="M636" s="3"/>
      <c r="N636" s="4"/>
      <c r="O636" s="3"/>
      <c r="P636" s="4"/>
      <c r="Q636" s="3"/>
      <c r="R636" s="4"/>
      <c r="S636" s="3"/>
      <c r="T636" s="4"/>
      <c r="U636" s="3"/>
      <c r="V636" s="4"/>
      <c r="W636" s="3"/>
      <c r="X636" s="4"/>
      <c r="Y636" s="3"/>
      <c r="Z636" s="4"/>
      <c r="AA636" s="3"/>
      <c r="AB636" s="4"/>
      <c r="AC636" s="3"/>
      <c r="AD636" s="4"/>
      <c r="AE636" s="3"/>
      <c r="AF636" s="4"/>
      <c r="AG636" s="3"/>
      <c r="AH636" s="4"/>
      <c r="AI636" s="3"/>
      <c r="AJ636" s="4"/>
      <c r="AK636" s="3"/>
      <c r="AL636" s="4"/>
      <c r="AM636" s="3"/>
      <c r="AN636" s="4"/>
      <c r="AO636" s="3"/>
      <c r="AP636" s="4"/>
      <c r="AQ636" s="3"/>
      <c r="AR636" s="4"/>
      <c r="AS636" s="3"/>
      <c r="AT636" s="4"/>
      <c r="AU636" s="3"/>
      <c r="AV636" s="4"/>
      <c r="AW636" s="3"/>
      <c r="AX636" s="4"/>
      <c r="AY636" s="3"/>
      <c r="AZ636" s="4"/>
      <c r="BA636" s="3"/>
      <c r="BB636" s="4"/>
      <c r="BC636" s="3"/>
      <c r="BD636" s="4"/>
      <c r="BE636" s="3"/>
      <c r="BF636" s="4"/>
      <c r="BG636" s="3"/>
      <c r="BH636" s="4"/>
      <c r="BI636" s="3"/>
      <c r="BJ636" s="4"/>
      <c r="BK636" s="3"/>
      <c r="BL636" s="4"/>
      <c r="BM636" s="3"/>
      <c r="BN636" s="4"/>
      <c r="BO636" s="3"/>
      <c r="BP636" s="4"/>
      <c r="BQ636" s="3"/>
      <c r="BR636" s="4"/>
      <c r="BS636" s="3"/>
      <c r="BT636" s="4"/>
      <c r="BU636" s="3"/>
      <c r="BV636" s="4"/>
      <c r="BW636" s="3"/>
      <c r="BX636" s="4"/>
      <c r="BY636" s="3"/>
      <c r="BZ636" s="4"/>
      <c r="CA636" s="3"/>
      <c r="CB636" s="4"/>
      <c r="CC636" s="3"/>
      <c r="CD636" s="4"/>
    </row>
    <row r="637">
      <c r="A637" s="3"/>
      <c r="B637" s="4"/>
      <c r="C637" s="3"/>
      <c r="D637" s="4"/>
      <c r="E637" s="3"/>
      <c r="F637" s="4"/>
      <c r="G637" s="3"/>
      <c r="H637" s="4"/>
      <c r="I637" s="3"/>
      <c r="J637" s="4"/>
      <c r="K637" s="3"/>
      <c r="L637" s="4"/>
      <c r="M637" s="3"/>
      <c r="N637" s="4"/>
      <c r="O637" s="3"/>
      <c r="P637" s="4"/>
      <c r="Q637" s="3"/>
      <c r="R637" s="4"/>
      <c r="S637" s="3"/>
      <c r="T637" s="4"/>
      <c r="U637" s="3"/>
      <c r="V637" s="4"/>
      <c r="W637" s="3"/>
      <c r="X637" s="4"/>
      <c r="Y637" s="3"/>
      <c r="Z637" s="4"/>
      <c r="AA637" s="3"/>
      <c r="AB637" s="4"/>
      <c r="AC637" s="3"/>
      <c r="AD637" s="4"/>
      <c r="AE637" s="3"/>
      <c r="AF637" s="4"/>
      <c r="AG637" s="3"/>
      <c r="AH637" s="4"/>
      <c r="AI637" s="3"/>
      <c r="AJ637" s="4"/>
      <c r="AK637" s="3"/>
      <c r="AL637" s="4"/>
      <c r="AM637" s="3"/>
      <c r="AN637" s="4"/>
      <c r="AO637" s="3"/>
      <c r="AP637" s="4"/>
      <c r="AQ637" s="3"/>
      <c r="AR637" s="4"/>
      <c r="AS637" s="3"/>
      <c r="AT637" s="4"/>
      <c r="AU637" s="3"/>
      <c r="AV637" s="4"/>
      <c r="AW637" s="3"/>
      <c r="AX637" s="4"/>
      <c r="AY637" s="3"/>
      <c r="AZ637" s="4"/>
      <c r="BA637" s="3"/>
      <c r="BB637" s="4"/>
      <c r="BC637" s="3"/>
      <c r="BD637" s="4"/>
      <c r="BE637" s="3"/>
      <c r="BF637" s="4"/>
      <c r="BG637" s="3"/>
      <c r="BH637" s="4"/>
      <c r="BI637" s="3"/>
      <c r="BJ637" s="4"/>
      <c r="BK637" s="3"/>
      <c r="BL637" s="4"/>
      <c r="BM637" s="3"/>
      <c r="BN637" s="4"/>
      <c r="BO637" s="3"/>
      <c r="BP637" s="4"/>
      <c r="BQ637" s="3"/>
      <c r="BR637" s="4"/>
      <c r="BS637" s="3"/>
      <c r="BT637" s="4"/>
      <c r="BU637" s="3"/>
      <c r="BV637" s="4"/>
      <c r="BW637" s="3"/>
      <c r="BX637" s="4"/>
      <c r="BY637" s="3"/>
      <c r="BZ637" s="4"/>
      <c r="CA637" s="3"/>
      <c r="CB637" s="4"/>
      <c r="CC637" s="3"/>
      <c r="CD637" s="4"/>
    </row>
    <row r="638">
      <c r="A638" s="3"/>
      <c r="B638" s="4"/>
      <c r="C638" s="3"/>
      <c r="D638" s="4"/>
      <c r="E638" s="3"/>
      <c r="F638" s="4"/>
      <c r="G638" s="3"/>
      <c r="H638" s="4"/>
      <c r="I638" s="3"/>
      <c r="J638" s="4"/>
      <c r="K638" s="3"/>
      <c r="L638" s="4"/>
      <c r="M638" s="3"/>
      <c r="N638" s="4"/>
      <c r="O638" s="3"/>
      <c r="P638" s="4"/>
      <c r="Q638" s="3"/>
      <c r="R638" s="4"/>
      <c r="S638" s="3"/>
      <c r="T638" s="4"/>
      <c r="U638" s="3"/>
      <c r="V638" s="4"/>
      <c r="W638" s="3"/>
      <c r="X638" s="4"/>
      <c r="Y638" s="3"/>
      <c r="Z638" s="4"/>
      <c r="AA638" s="3"/>
      <c r="AB638" s="4"/>
      <c r="AC638" s="3"/>
      <c r="AD638" s="4"/>
      <c r="AE638" s="3"/>
      <c r="AF638" s="4"/>
      <c r="AG638" s="3"/>
      <c r="AH638" s="4"/>
      <c r="AI638" s="3"/>
      <c r="AJ638" s="4"/>
      <c r="AK638" s="3"/>
      <c r="AL638" s="4"/>
      <c r="AM638" s="3"/>
      <c r="AN638" s="4"/>
      <c r="AO638" s="3"/>
      <c r="AP638" s="4"/>
      <c r="AQ638" s="3"/>
      <c r="AR638" s="4"/>
      <c r="AS638" s="3"/>
      <c r="AT638" s="4"/>
      <c r="AU638" s="3"/>
      <c r="AV638" s="4"/>
      <c r="AW638" s="3"/>
      <c r="AX638" s="4"/>
      <c r="AY638" s="3"/>
      <c r="AZ638" s="4"/>
      <c r="BA638" s="3"/>
      <c r="BB638" s="4"/>
      <c r="BC638" s="3"/>
      <c r="BD638" s="4"/>
      <c r="BE638" s="3"/>
      <c r="BF638" s="4"/>
      <c r="BG638" s="3"/>
      <c r="BH638" s="4"/>
      <c r="BI638" s="3"/>
      <c r="BJ638" s="4"/>
      <c r="BK638" s="3"/>
      <c r="BL638" s="4"/>
      <c r="BM638" s="3"/>
      <c r="BN638" s="4"/>
      <c r="BO638" s="3"/>
      <c r="BP638" s="4"/>
      <c r="BQ638" s="3"/>
      <c r="BR638" s="4"/>
      <c r="BS638" s="3"/>
      <c r="BT638" s="4"/>
      <c r="BU638" s="3"/>
      <c r="BV638" s="4"/>
      <c r="BW638" s="3"/>
      <c r="BX638" s="4"/>
      <c r="BY638" s="3"/>
      <c r="BZ638" s="4"/>
      <c r="CA638" s="3"/>
      <c r="CB638" s="4"/>
      <c r="CC638" s="3"/>
      <c r="CD638" s="4"/>
    </row>
    <row r="639">
      <c r="A639" s="3"/>
      <c r="B639" s="4"/>
      <c r="C639" s="3"/>
      <c r="D639" s="4"/>
      <c r="E639" s="3"/>
      <c r="F639" s="4"/>
      <c r="G639" s="3"/>
      <c r="H639" s="4"/>
      <c r="I639" s="3"/>
      <c r="J639" s="4"/>
      <c r="K639" s="3"/>
      <c r="L639" s="4"/>
      <c r="M639" s="3"/>
      <c r="N639" s="4"/>
      <c r="O639" s="3"/>
      <c r="P639" s="4"/>
      <c r="Q639" s="3"/>
      <c r="R639" s="4"/>
      <c r="S639" s="3"/>
      <c r="T639" s="4"/>
      <c r="U639" s="3"/>
      <c r="V639" s="4"/>
      <c r="W639" s="3"/>
      <c r="X639" s="4"/>
      <c r="Y639" s="3"/>
      <c r="Z639" s="4"/>
      <c r="AA639" s="3"/>
      <c r="AB639" s="4"/>
      <c r="AC639" s="3"/>
      <c r="AD639" s="4"/>
      <c r="AE639" s="3"/>
      <c r="AF639" s="4"/>
      <c r="AG639" s="3"/>
      <c r="AH639" s="4"/>
      <c r="AI639" s="3"/>
      <c r="AJ639" s="4"/>
      <c r="AK639" s="3"/>
      <c r="AL639" s="4"/>
      <c r="AM639" s="3"/>
      <c r="AN639" s="4"/>
      <c r="AO639" s="3"/>
      <c r="AP639" s="4"/>
      <c r="AQ639" s="3"/>
      <c r="AR639" s="4"/>
      <c r="AS639" s="3"/>
      <c r="AT639" s="4"/>
      <c r="AU639" s="3"/>
      <c r="AV639" s="4"/>
      <c r="AW639" s="3"/>
      <c r="AX639" s="4"/>
      <c r="AY639" s="3"/>
      <c r="AZ639" s="4"/>
      <c r="BA639" s="3"/>
      <c r="BB639" s="4"/>
      <c r="BC639" s="3"/>
      <c r="BD639" s="4"/>
      <c r="BE639" s="3"/>
      <c r="BF639" s="4"/>
      <c r="BG639" s="3"/>
      <c r="BH639" s="4"/>
      <c r="BI639" s="3"/>
      <c r="BJ639" s="4"/>
      <c r="BK639" s="3"/>
      <c r="BL639" s="4"/>
      <c r="BM639" s="3"/>
      <c r="BN639" s="4"/>
      <c r="BO639" s="3"/>
      <c r="BP639" s="4"/>
      <c r="BQ639" s="3"/>
      <c r="BR639" s="4"/>
      <c r="BS639" s="3"/>
      <c r="BT639" s="4"/>
      <c r="BU639" s="3"/>
      <c r="BV639" s="4"/>
      <c r="BW639" s="3"/>
      <c r="BX639" s="4"/>
      <c r="BY639" s="3"/>
      <c r="BZ639" s="4"/>
      <c r="CA639" s="3"/>
      <c r="CB639" s="4"/>
      <c r="CC639" s="3"/>
      <c r="CD639" s="4"/>
    </row>
    <row r="640">
      <c r="A640" s="3"/>
      <c r="B640" s="4"/>
      <c r="C640" s="3"/>
      <c r="D640" s="4"/>
      <c r="E640" s="3"/>
      <c r="F640" s="4"/>
      <c r="G640" s="3"/>
      <c r="H640" s="4"/>
      <c r="I640" s="3"/>
      <c r="J640" s="4"/>
      <c r="K640" s="3"/>
      <c r="L640" s="4"/>
      <c r="M640" s="3"/>
      <c r="N640" s="4"/>
      <c r="O640" s="3"/>
      <c r="P640" s="4"/>
      <c r="Q640" s="3"/>
      <c r="R640" s="4"/>
      <c r="S640" s="3"/>
      <c r="T640" s="4"/>
      <c r="U640" s="3"/>
      <c r="V640" s="4"/>
      <c r="W640" s="3"/>
      <c r="X640" s="4"/>
      <c r="Y640" s="3"/>
      <c r="Z640" s="4"/>
      <c r="AA640" s="3"/>
      <c r="AB640" s="4"/>
      <c r="AC640" s="3"/>
      <c r="AD640" s="4"/>
      <c r="AE640" s="3"/>
      <c r="AF640" s="4"/>
      <c r="AG640" s="3"/>
      <c r="AH640" s="4"/>
      <c r="AI640" s="3"/>
      <c r="AJ640" s="4"/>
      <c r="AK640" s="3"/>
      <c r="AL640" s="4"/>
      <c r="AM640" s="3"/>
      <c r="AN640" s="4"/>
      <c r="AO640" s="3"/>
      <c r="AP640" s="4"/>
      <c r="AQ640" s="3"/>
      <c r="AR640" s="4"/>
      <c r="AS640" s="3"/>
      <c r="AT640" s="4"/>
      <c r="AU640" s="3"/>
      <c r="AV640" s="4"/>
      <c r="AW640" s="3"/>
      <c r="AX640" s="4"/>
      <c r="AY640" s="3"/>
      <c r="AZ640" s="4"/>
      <c r="BA640" s="3"/>
      <c r="BB640" s="4"/>
      <c r="BC640" s="3"/>
      <c r="BD640" s="4"/>
      <c r="BE640" s="3"/>
      <c r="BF640" s="4"/>
      <c r="BG640" s="3"/>
      <c r="BH640" s="4"/>
      <c r="BI640" s="3"/>
      <c r="BJ640" s="4"/>
      <c r="BK640" s="3"/>
      <c r="BL640" s="4"/>
      <c r="BM640" s="3"/>
      <c r="BN640" s="4"/>
      <c r="BO640" s="3"/>
      <c r="BP640" s="4"/>
      <c r="BQ640" s="3"/>
      <c r="BR640" s="4"/>
      <c r="BS640" s="3"/>
      <c r="BT640" s="4"/>
      <c r="BU640" s="3"/>
      <c r="BV640" s="4"/>
      <c r="BW640" s="3"/>
      <c r="BX640" s="4"/>
      <c r="BY640" s="3"/>
      <c r="BZ640" s="4"/>
      <c r="CA640" s="3"/>
      <c r="CB640" s="4"/>
      <c r="CC640" s="3"/>
      <c r="CD640" s="4"/>
    </row>
    <row r="641">
      <c r="A641" s="3"/>
      <c r="B641" s="4"/>
      <c r="C641" s="3"/>
      <c r="D641" s="4"/>
      <c r="E641" s="3"/>
      <c r="F641" s="4"/>
      <c r="G641" s="3"/>
      <c r="H641" s="4"/>
      <c r="I641" s="3"/>
      <c r="J641" s="4"/>
      <c r="K641" s="3"/>
      <c r="L641" s="4"/>
      <c r="M641" s="3"/>
      <c r="N641" s="4"/>
      <c r="O641" s="3"/>
      <c r="P641" s="4"/>
      <c r="Q641" s="3"/>
      <c r="R641" s="4"/>
      <c r="S641" s="3"/>
      <c r="T641" s="4"/>
      <c r="U641" s="3"/>
      <c r="V641" s="4"/>
      <c r="W641" s="3"/>
      <c r="X641" s="4"/>
      <c r="Y641" s="3"/>
      <c r="Z641" s="4"/>
      <c r="AA641" s="3"/>
      <c r="AB641" s="4"/>
      <c r="AC641" s="3"/>
      <c r="AD641" s="4"/>
      <c r="AE641" s="3"/>
      <c r="AF641" s="4"/>
      <c r="AG641" s="3"/>
      <c r="AH641" s="4"/>
      <c r="AI641" s="3"/>
      <c r="AJ641" s="4"/>
      <c r="AK641" s="3"/>
      <c r="AL641" s="4"/>
      <c r="AM641" s="3"/>
      <c r="AN641" s="4"/>
      <c r="AO641" s="3"/>
      <c r="AP641" s="4"/>
      <c r="AQ641" s="3"/>
      <c r="AR641" s="4"/>
      <c r="AS641" s="3"/>
      <c r="AT641" s="4"/>
      <c r="AU641" s="3"/>
      <c r="AV641" s="4"/>
      <c r="AW641" s="3"/>
      <c r="AX641" s="4"/>
      <c r="AY641" s="3"/>
      <c r="AZ641" s="4"/>
      <c r="BA641" s="3"/>
      <c r="BB641" s="4"/>
      <c r="BC641" s="3"/>
      <c r="BD641" s="4"/>
      <c r="BE641" s="3"/>
      <c r="BF641" s="4"/>
      <c r="BG641" s="3"/>
      <c r="BH641" s="4"/>
      <c r="BI641" s="3"/>
      <c r="BJ641" s="4"/>
      <c r="BK641" s="3"/>
      <c r="BL641" s="4"/>
      <c r="BM641" s="3"/>
      <c r="BN641" s="4"/>
      <c r="BO641" s="3"/>
      <c r="BP641" s="4"/>
      <c r="BQ641" s="3"/>
      <c r="BR641" s="4"/>
      <c r="BS641" s="3"/>
      <c r="BT641" s="4"/>
      <c r="BU641" s="3"/>
      <c r="BV641" s="4"/>
      <c r="BW641" s="3"/>
      <c r="BX641" s="4"/>
      <c r="BY641" s="3"/>
      <c r="BZ641" s="4"/>
      <c r="CA641" s="3"/>
      <c r="CB641" s="4"/>
      <c r="CC641" s="3"/>
      <c r="CD641" s="4"/>
    </row>
    <row r="642">
      <c r="A642" s="3"/>
      <c r="B642" s="4"/>
      <c r="C642" s="3"/>
      <c r="D642" s="4"/>
      <c r="E642" s="3"/>
      <c r="F642" s="4"/>
      <c r="G642" s="3"/>
      <c r="H642" s="4"/>
      <c r="I642" s="3"/>
      <c r="J642" s="4"/>
      <c r="K642" s="3"/>
      <c r="L642" s="4"/>
      <c r="M642" s="3"/>
      <c r="N642" s="4"/>
      <c r="O642" s="3"/>
      <c r="P642" s="4"/>
      <c r="Q642" s="3"/>
      <c r="R642" s="4"/>
      <c r="S642" s="3"/>
      <c r="T642" s="4"/>
      <c r="U642" s="3"/>
      <c r="V642" s="4"/>
      <c r="W642" s="3"/>
      <c r="X642" s="4"/>
      <c r="Y642" s="3"/>
      <c r="Z642" s="4"/>
      <c r="AA642" s="3"/>
      <c r="AB642" s="4"/>
      <c r="AC642" s="3"/>
      <c r="AD642" s="4"/>
      <c r="AE642" s="3"/>
      <c r="AF642" s="4"/>
      <c r="AG642" s="3"/>
      <c r="AH642" s="4"/>
      <c r="AI642" s="3"/>
      <c r="AJ642" s="4"/>
      <c r="AK642" s="3"/>
      <c r="AL642" s="4"/>
      <c r="AM642" s="3"/>
      <c r="AN642" s="4"/>
      <c r="AO642" s="3"/>
      <c r="AP642" s="4"/>
      <c r="AQ642" s="3"/>
      <c r="AR642" s="4"/>
      <c r="AS642" s="3"/>
      <c r="AT642" s="4"/>
      <c r="AU642" s="3"/>
      <c r="AV642" s="4"/>
      <c r="AW642" s="3"/>
      <c r="AX642" s="4"/>
      <c r="AY642" s="3"/>
      <c r="AZ642" s="4"/>
      <c r="BA642" s="3"/>
      <c r="BB642" s="4"/>
      <c r="BC642" s="3"/>
      <c r="BD642" s="4"/>
      <c r="BE642" s="3"/>
      <c r="BF642" s="4"/>
      <c r="BG642" s="3"/>
      <c r="BH642" s="4"/>
      <c r="BI642" s="3"/>
      <c r="BJ642" s="4"/>
      <c r="BK642" s="3"/>
      <c r="BL642" s="4"/>
      <c r="BM642" s="3"/>
      <c r="BN642" s="4"/>
      <c r="BO642" s="3"/>
      <c r="BP642" s="4"/>
      <c r="BQ642" s="3"/>
      <c r="BR642" s="4"/>
      <c r="BS642" s="3"/>
      <c r="BT642" s="4"/>
      <c r="BU642" s="3"/>
      <c r="BV642" s="4"/>
      <c r="BW642" s="3"/>
      <c r="BX642" s="4"/>
      <c r="BY642" s="3"/>
      <c r="BZ642" s="4"/>
      <c r="CA642" s="3"/>
      <c r="CB642" s="4"/>
      <c r="CC642" s="3"/>
      <c r="CD642" s="4"/>
    </row>
    <row r="643">
      <c r="A643" s="3"/>
      <c r="B643" s="4"/>
      <c r="C643" s="3"/>
      <c r="D643" s="4"/>
      <c r="E643" s="3"/>
      <c r="F643" s="4"/>
      <c r="G643" s="3"/>
      <c r="H643" s="4"/>
      <c r="I643" s="3"/>
      <c r="J643" s="4"/>
      <c r="K643" s="3"/>
      <c r="L643" s="4"/>
      <c r="M643" s="3"/>
      <c r="N643" s="4"/>
      <c r="O643" s="3"/>
      <c r="P643" s="4"/>
      <c r="Q643" s="3"/>
      <c r="R643" s="4"/>
      <c r="S643" s="3"/>
      <c r="T643" s="4"/>
      <c r="U643" s="3"/>
      <c r="V643" s="4"/>
      <c r="W643" s="3"/>
      <c r="X643" s="4"/>
      <c r="Y643" s="3"/>
      <c r="Z643" s="4"/>
      <c r="AA643" s="3"/>
      <c r="AB643" s="4"/>
      <c r="AC643" s="3"/>
      <c r="AD643" s="4"/>
      <c r="AE643" s="3"/>
      <c r="AF643" s="4"/>
      <c r="AG643" s="3"/>
      <c r="AH643" s="4"/>
      <c r="AI643" s="3"/>
      <c r="AJ643" s="4"/>
      <c r="AK643" s="3"/>
      <c r="AL643" s="4"/>
      <c r="AM643" s="3"/>
      <c r="AN643" s="4"/>
      <c r="AO643" s="3"/>
      <c r="AP643" s="4"/>
      <c r="AQ643" s="3"/>
      <c r="AR643" s="4"/>
      <c r="AS643" s="3"/>
      <c r="AT643" s="4"/>
      <c r="AU643" s="3"/>
      <c r="AV643" s="4"/>
      <c r="AW643" s="3"/>
      <c r="AX643" s="4"/>
      <c r="AY643" s="3"/>
      <c r="AZ643" s="4"/>
      <c r="BA643" s="3"/>
      <c r="BB643" s="4"/>
      <c r="BC643" s="3"/>
      <c r="BD643" s="4"/>
      <c r="BE643" s="3"/>
      <c r="BF643" s="4"/>
      <c r="BG643" s="3"/>
      <c r="BH643" s="4"/>
      <c r="BI643" s="3"/>
      <c r="BJ643" s="4"/>
      <c r="BK643" s="3"/>
      <c r="BL643" s="4"/>
      <c r="BM643" s="3"/>
      <c r="BN643" s="4"/>
      <c r="BO643" s="3"/>
      <c r="BP643" s="4"/>
      <c r="BQ643" s="3"/>
      <c r="BR643" s="4"/>
      <c r="BS643" s="3"/>
      <c r="BT643" s="4"/>
      <c r="BU643" s="3"/>
      <c r="BV643" s="4"/>
      <c r="BW643" s="3"/>
      <c r="BX643" s="4"/>
      <c r="BY643" s="3"/>
      <c r="BZ643" s="4"/>
      <c r="CA643" s="3"/>
      <c r="CB643" s="4"/>
      <c r="CC643" s="3"/>
      <c r="CD643" s="4"/>
    </row>
    <row r="644">
      <c r="A644" s="3"/>
      <c r="B644" s="4"/>
      <c r="C644" s="3"/>
      <c r="D644" s="4"/>
      <c r="E644" s="3"/>
      <c r="F644" s="4"/>
      <c r="G644" s="3"/>
      <c r="H644" s="4"/>
      <c r="I644" s="3"/>
      <c r="J644" s="4"/>
      <c r="K644" s="3"/>
      <c r="L644" s="4"/>
      <c r="M644" s="3"/>
      <c r="N644" s="4"/>
      <c r="O644" s="3"/>
      <c r="P644" s="4"/>
      <c r="Q644" s="3"/>
      <c r="R644" s="4"/>
      <c r="S644" s="3"/>
      <c r="T644" s="4"/>
      <c r="U644" s="3"/>
      <c r="V644" s="4"/>
      <c r="W644" s="3"/>
      <c r="X644" s="4"/>
      <c r="Y644" s="3"/>
      <c r="Z644" s="4"/>
      <c r="AA644" s="3"/>
      <c r="AB644" s="4"/>
      <c r="AC644" s="3"/>
      <c r="AD644" s="4"/>
      <c r="AE644" s="3"/>
      <c r="AF644" s="4"/>
      <c r="AG644" s="3"/>
      <c r="AH644" s="4"/>
      <c r="AI644" s="3"/>
      <c r="AJ644" s="4"/>
      <c r="AK644" s="3"/>
      <c r="AL644" s="4"/>
      <c r="AM644" s="3"/>
      <c r="AN644" s="4"/>
      <c r="AO644" s="3"/>
      <c r="AP644" s="4"/>
      <c r="AQ644" s="3"/>
      <c r="AR644" s="4"/>
      <c r="AS644" s="3"/>
      <c r="AT644" s="4"/>
      <c r="AU644" s="3"/>
      <c r="AV644" s="4"/>
      <c r="AW644" s="3"/>
      <c r="AX644" s="4"/>
      <c r="AY644" s="3"/>
      <c r="AZ644" s="4"/>
      <c r="BA644" s="3"/>
      <c r="BB644" s="4"/>
      <c r="BC644" s="3"/>
      <c r="BD644" s="4"/>
      <c r="BE644" s="3"/>
      <c r="BF644" s="4"/>
      <c r="BG644" s="3"/>
      <c r="BH644" s="4"/>
      <c r="BI644" s="3"/>
      <c r="BJ644" s="4"/>
      <c r="BK644" s="3"/>
      <c r="BL644" s="4"/>
      <c r="BM644" s="3"/>
      <c r="BN644" s="4"/>
      <c r="BO644" s="3"/>
      <c r="BP644" s="4"/>
      <c r="BQ644" s="3"/>
      <c r="BR644" s="4"/>
      <c r="BS644" s="3"/>
      <c r="BT644" s="4"/>
      <c r="BU644" s="3"/>
      <c r="BV644" s="4"/>
      <c r="BW644" s="3"/>
      <c r="BX644" s="4"/>
      <c r="BY644" s="3"/>
      <c r="BZ644" s="4"/>
      <c r="CA644" s="3"/>
      <c r="CB644" s="4"/>
      <c r="CC644" s="3"/>
      <c r="CD644" s="4"/>
    </row>
    <row r="645">
      <c r="A645" s="3"/>
      <c r="B645" s="4"/>
      <c r="C645" s="3"/>
      <c r="D645" s="4"/>
      <c r="E645" s="3"/>
      <c r="F645" s="4"/>
      <c r="G645" s="3"/>
      <c r="H645" s="4"/>
      <c r="I645" s="3"/>
      <c r="J645" s="4"/>
      <c r="K645" s="3"/>
      <c r="L645" s="4"/>
      <c r="M645" s="3"/>
      <c r="N645" s="4"/>
      <c r="O645" s="3"/>
      <c r="P645" s="4"/>
      <c r="Q645" s="3"/>
      <c r="R645" s="4"/>
      <c r="S645" s="3"/>
      <c r="T645" s="4"/>
      <c r="U645" s="3"/>
      <c r="V645" s="4"/>
      <c r="W645" s="3"/>
      <c r="X645" s="4"/>
      <c r="Y645" s="3"/>
      <c r="Z645" s="4"/>
      <c r="AA645" s="3"/>
      <c r="AB645" s="4"/>
      <c r="AC645" s="3"/>
      <c r="AD645" s="4"/>
      <c r="AE645" s="3"/>
      <c r="AF645" s="4"/>
      <c r="AG645" s="3"/>
      <c r="AH645" s="4"/>
      <c r="AI645" s="3"/>
      <c r="AJ645" s="4"/>
      <c r="AK645" s="3"/>
      <c r="AL645" s="4"/>
      <c r="AM645" s="3"/>
      <c r="AN645" s="4"/>
      <c r="AO645" s="3"/>
      <c r="AP645" s="4"/>
      <c r="AQ645" s="3"/>
      <c r="AR645" s="4"/>
      <c r="AS645" s="3"/>
      <c r="AT645" s="4"/>
      <c r="AU645" s="3"/>
      <c r="AV645" s="4"/>
      <c r="AW645" s="3"/>
      <c r="AX645" s="4"/>
      <c r="AY645" s="3"/>
      <c r="AZ645" s="4"/>
      <c r="BA645" s="3"/>
      <c r="BB645" s="4"/>
      <c r="BC645" s="3"/>
      <c r="BD645" s="4"/>
      <c r="BE645" s="3"/>
      <c r="BF645" s="4"/>
      <c r="BG645" s="3"/>
      <c r="BH645" s="4"/>
      <c r="BI645" s="3"/>
      <c r="BJ645" s="4"/>
      <c r="BK645" s="3"/>
      <c r="BL645" s="4"/>
      <c r="BM645" s="3"/>
      <c r="BN645" s="4"/>
      <c r="BO645" s="3"/>
      <c r="BP645" s="4"/>
      <c r="BQ645" s="3"/>
      <c r="BR645" s="4"/>
      <c r="BS645" s="3"/>
      <c r="BT645" s="4"/>
      <c r="BU645" s="3"/>
      <c r="BV645" s="4"/>
      <c r="BW645" s="3"/>
      <c r="BX645" s="4"/>
      <c r="BY645" s="3"/>
      <c r="BZ645" s="4"/>
      <c r="CA645" s="3"/>
      <c r="CB645" s="4"/>
      <c r="CC645" s="3"/>
      <c r="CD645" s="4"/>
    </row>
    <row r="646">
      <c r="A646" s="3"/>
      <c r="B646" s="4"/>
      <c r="C646" s="3"/>
      <c r="D646" s="4"/>
      <c r="E646" s="3"/>
      <c r="F646" s="4"/>
      <c r="G646" s="3"/>
      <c r="H646" s="4"/>
      <c r="I646" s="3"/>
      <c r="J646" s="4"/>
      <c r="K646" s="3"/>
      <c r="L646" s="4"/>
      <c r="M646" s="3"/>
      <c r="N646" s="4"/>
      <c r="O646" s="3"/>
      <c r="P646" s="4"/>
      <c r="Q646" s="3"/>
      <c r="R646" s="4"/>
      <c r="S646" s="3"/>
      <c r="T646" s="4"/>
      <c r="U646" s="3"/>
      <c r="V646" s="4"/>
      <c r="W646" s="3"/>
      <c r="X646" s="4"/>
      <c r="Y646" s="3"/>
      <c r="Z646" s="4"/>
      <c r="AA646" s="3"/>
      <c r="AB646" s="4"/>
      <c r="AC646" s="3"/>
      <c r="AD646" s="4"/>
      <c r="AE646" s="3"/>
      <c r="AF646" s="4"/>
      <c r="AG646" s="3"/>
      <c r="AH646" s="4"/>
      <c r="AI646" s="3"/>
      <c r="AJ646" s="4"/>
      <c r="AK646" s="3"/>
      <c r="AL646" s="4"/>
      <c r="AM646" s="3"/>
      <c r="AN646" s="4"/>
      <c r="AO646" s="3"/>
      <c r="AP646" s="4"/>
      <c r="AQ646" s="3"/>
      <c r="AR646" s="4"/>
      <c r="AS646" s="3"/>
      <c r="AT646" s="4"/>
      <c r="AU646" s="3"/>
      <c r="AV646" s="4"/>
      <c r="AW646" s="3"/>
      <c r="AX646" s="4"/>
      <c r="AY646" s="3"/>
      <c r="AZ646" s="4"/>
      <c r="BA646" s="3"/>
      <c r="BB646" s="4"/>
      <c r="BC646" s="3"/>
      <c r="BD646" s="4"/>
      <c r="BE646" s="3"/>
      <c r="BF646" s="4"/>
      <c r="BG646" s="3"/>
      <c r="BH646" s="4"/>
      <c r="BI646" s="3"/>
      <c r="BJ646" s="4"/>
      <c r="BK646" s="3"/>
      <c r="BL646" s="4"/>
      <c r="BM646" s="3"/>
      <c r="BN646" s="4"/>
      <c r="BO646" s="3"/>
      <c r="BP646" s="4"/>
      <c r="BQ646" s="3"/>
      <c r="BR646" s="4"/>
      <c r="BS646" s="3"/>
      <c r="BT646" s="4"/>
      <c r="BU646" s="3"/>
      <c r="BV646" s="4"/>
      <c r="BW646" s="3"/>
      <c r="BX646" s="4"/>
      <c r="BY646" s="3"/>
      <c r="BZ646" s="4"/>
      <c r="CA646" s="3"/>
      <c r="CB646" s="4"/>
      <c r="CC646" s="3"/>
      <c r="CD646" s="4"/>
    </row>
    <row r="647">
      <c r="A647" s="3"/>
      <c r="B647" s="4"/>
      <c r="C647" s="3"/>
      <c r="D647" s="4"/>
      <c r="E647" s="3"/>
      <c r="F647" s="4"/>
      <c r="G647" s="3"/>
      <c r="H647" s="4"/>
      <c r="I647" s="3"/>
      <c r="J647" s="4"/>
      <c r="K647" s="3"/>
      <c r="L647" s="4"/>
      <c r="M647" s="3"/>
      <c r="N647" s="4"/>
      <c r="O647" s="3"/>
      <c r="P647" s="4"/>
      <c r="Q647" s="3"/>
      <c r="R647" s="4"/>
      <c r="S647" s="3"/>
      <c r="T647" s="4"/>
      <c r="U647" s="3"/>
      <c r="V647" s="4"/>
      <c r="W647" s="3"/>
      <c r="X647" s="4"/>
      <c r="Y647" s="3"/>
      <c r="Z647" s="4"/>
      <c r="AA647" s="3"/>
      <c r="AB647" s="4"/>
      <c r="AC647" s="3"/>
      <c r="AD647" s="4"/>
      <c r="AE647" s="3"/>
      <c r="AF647" s="4"/>
      <c r="AG647" s="3"/>
      <c r="AH647" s="4"/>
      <c r="AI647" s="3"/>
      <c r="AJ647" s="4"/>
      <c r="AK647" s="3"/>
      <c r="AL647" s="4"/>
      <c r="AM647" s="3"/>
      <c r="AN647" s="4"/>
      <c r="AO647" s="3"/>
      <c r="AP647" s="4"/>
      <c r="AQ647" s="3"/>
      <c r="AR647" s="4"/>
      <c r="AS647" s="3"/>
      <c r="AT647" s="4"/>
      <c r="AU647" s="3"/>
      <c r="AV647" s="4"/>
      <c r="AW647" s="3"/>
      <c r="AX647" s="4"/>
      <c r="AY647" s="3"/>
      <c r="AZ647" s="4"/>
      <c r="BA647" s="3"/>
      <c r="BB647" s="4"/>
      <c r="BC647" s="3"/>
      <c r="BD647" s="4"/>
      <c r="BE647" s="3"/>
      <c r="BF647" s="4"/>
      <c r="BG647" s="3"/>
      <c r="BH647" s="4"/>
      <c r="BI647" s="3"/>
      <c r="BJ647" s="4"/>
      <c r="BK647" s="3"/>
      <c r="BL647" s="4"/>
      <c r="BM647" s="3"/>
      <c r="BN647" s="4"/>
      <c r="BO647" s="3"/>
      <c r="BP647" s="4"/>
      <c r="BQ647" s="3"/>
      <c r="BR647" s="4"/>
      <c r="BS647" s="3"/>
      <c r="BT647" s="4"/>
      <c r="BU647" s="3"/>
      <c r="BV647" s="4"/>
      <c r="BW647" s="3"/>
      <c r="BX647" s="4"/>
      <c r="BY647" s="3"/>
      <c r="BZ647" s="4"/>
      <c r="CA647" s="3"/>
      <c r="CB647" s="4"/>
      <c r="CC647" s="3"/>
      <c r="CD647" s="4"/>
    </row>
    <row r="648">
      <c r="A648" s="3"/>
      <c r="B648" s="4"/>
      <c r="C648" s="3"/>
      <c r="D648" s="4"/>
      <c r="E648" s="3"/>
      <c r="F648" s="4"/>
      <c r="G648" s="3"/>
      <c r="H648" s="4"/>
      <c r="I648" s="3"/>
      <c r="J648" s="4"/>
      <c r="K648" s="3"/>
      <c r="L648" s="4"/>
      <c r="M648" s="3"/>
      <c r="N648" s="4"/>
      <c r="O648" s="3"/>
      <c r="P648" s="4"/>
      <c r="Q648" s="3"/>
      <c r="R648" s="4"/>
      <c r="S648" s="3"/>
      <c r="T648" s="4"/>
      <c r="U648" s="3"/>
      <c r="V648" s="4"/>
      <c r="W648" s="3"/>
      <c r="X648" s="4"/>
      <c r="Y648" s="3"/>
      <c r="Z648" s="4"/>
      <c r="AA648" s="3"/>
      <c r="AB648" s="4"/>
      <c r="AC648" s="3"/>
      <c r="AD648" s="4"/>
      <c r="AE648" s="3"/>
      <c r="AF648" s="4"/>
      <c r="AG648" s="3"/>
      <c r="AH648" s="4"/>
      <c r="AI648" s="3"/>
      <c r="AJ648" s="4"/>
      <c r="AK648" s="3"/>
      <c r="AL648" s="4"/>
      <c r="AM648" s="3"/>
      <c r="AN648" s="4"/>
      <c r="AO648" s="3"/>
      <c r="AP648" s="4"/>
      <c r="AQ648" s="3"/>
      <c r="AR648" s="4"/>
      <c r="AS648" s="3"/>
      <c r="AT648" s="4"/>
      <c r="AU648" s="3"/>
      <c r="AV648" s="4"/>
      <c r="AW648" s="3"/>
      <c r="AX648" s="4"/>
      <c r="AY648" s="3"/>
      <c r="AZ648" s="4"/>
      <c r="BA648" s="3"/>
      <c r="BB648" s="4"/>
      <c r="BC648" s="3"/>
      <c r="BD648" s="4"/>
      <c r="BE648" s="3"/>
      <c r="BF648" s="4"/>
      <c r="BG648" s="3"/>
      <c r="BH648" s="4"/>
      <c r="BI648" s="3"/>
      <c r="BJ648" s="4"/>
      <c r="BK648" s="3"/>
      <c r="BL648" s="4"/>
      <c r="BM648" s="3"/>
      <c r="BN648" s="4"/>
      <c r="BO648" s="3"/>
      <c r="BP648" s="4"/>
      <c r="BQ648" s="3"/>
      <c r="BR648" s="4"/>
      <c r="BS648" s="3"/>
      <c r="BT648" s="4"/>
      <c r="BU648" s="3"/>
      <c r="BV648" s="4"/>
      <c r="BW648" s="3"/>
      <c r="BX648" s="4"/>
      <c r="BY648" s="3"/>
      <c r="BZ648" s="4"/>
      <c r="CA648" s="3"/>
      <c r="CB648" s="4"/>
      <c r="CC648" s="3"/>
      <c r="CD648" s="4"/>
    </row>
    <row r="649">
      <c r="A649" s="3"/>
      <c r="B649" s="4"/>
      <c r="C649" s="3"/>
      <c r="D649" s="4"/>
      <c r="E649" s="3"/>
      <c r="F649" s="4"/>
      <c r="G649" s="3"/>
      <c r="H649" s="4"/>
      <c r="I649" s="3"/>
      <c r="J649" s="4"/>
      <c r="K649" s="3"/>
      <c r="L649" s="4"/>
      <c r="M649" s="3"/>
      <c r="N649" s="4"/>
      <c r="O649" s="3"/>
      <c r="P649" s="4"/>
      <c r="Q649" s="3"/>
      <c r="R649" s="4"/>
      <c r="S649" s="3"/>
      <c r="T649" s="4"/>
      <c r="U649" s="3"/>
      <c r="V649" s="4"/>
      <c r="W649" s="3"/>
      <c r="X649" s="4"/>
      <c r="Y649" s="3"/>
      <c r="Z649" s="4"/>
      <c r="AA649" s="3"/>
      <c r="AB649" s="4"/>
      <c r="AC649" s="3"/>
      <c r="AD649" s="4"/>
      <c r="AE649" s="3"/>
      <c r="AF649" s="4"/>
      <c r="AG649" s="3"/>
      <c r="AH649" s="4"/>
      <c r="AI649" s="3"/>
      <c r="AJ649" s="4"/>
      <c r="AK649" s="3"/>
      <c r="AL649" s="4"/>
      <c r="AM649" s="3"/>
      <c r="AN649" s="4"/>
      <c r="AO649" s="3"/>
      <c r="AP649" s="4"/>
      <c r="AQ649" s="3"/>
      <c r="AR649" s="4"/>
      <c r="AS649" s="3"/>
      <c r="AT649" s="4"/>
      <c r="AU649" s="3"/>
      <c r="AV649" s="4"/>
      <c r="AW649" s="3"/>
      <c r="AX649" s="4"/>
      <c r="AY649" s="3"/>
      <c r="AZ649" s="4"/>
      <c r="BA649" s="3"/>
      <c r="BB649" s="4"/>
      <c r="BC649" s="3"/>
      <c r="BD649" s="4"/>
      <c r="BE649" s="3"/>
      <c r="BF649" s="4"/>
      <c r="BG649" s="3"/>
      <c r="BH649" s="4"/>
      <c r="BI649" s="3"/>
      <c r="BJ649" s="4"/>
      <c r="BK649" s="3"/>
      <c r="BL649" s="4"/>
      <c r="BM649" s="3"/>
      <c r="BN649" s="4"/>
      <c r="BO649" s="3"/>
      <c r="BP649" s="4"/>
      <c r="BQ649" s="3"/>
      <c r="BR649" s="4"/>
      <c r="BS649" s="3"/>
      <c r="BT649" s="4"/>
      <c r="BU649" s="3"/>
      <c r="BV649" s="4"/>
      <c r="BW649" s="3"/>
      <c r="BX649" s="4"/>
      <c r="BY649" s="3"/>
      <c r="BZ649" s="4"/>
      <c r="CA649" s="3"/>
      <c r="CB649" s="4"/>
      <c r="CC649" s="3"/>
      <c r="CD649" s="4"/>
    </row>
    <row r="650">
      <c r="A650" s="3"/>
      <c r="B650" s="4"/>
      <c r="C650" s="3"/>
      <c r="D650" s="4"/>
      <c r="E650" s="3"/>
      <c r="F650" s="4"/>
      <c r="G650" s="3"/>
      <c r="H650" s="4"/>
      <c r="I650" s="3"/>
      <c r="J650" s="4"/>
      <c r="K650" s="3"/>
      <c r="L650" s="4"/>
      <c r="M650" s="3"/>
      <c r="N650" s="4"/>
      <c r="O650" s="3"/>
      <c r="P650" s="4"/>
      <c r="Q650" s="3"/>
      <c r="R650" s="4"/>
      <c r="S650" s="3"/>
      <c r="T650" s="4"/>
      <c r="U650" s="3"/>
      <c r="V650" s="4"/>
      <c r="W650" s="3"/>
      <c r="X650" s="4"/>
      <c r="Y650" s="3"/>
      <c r="Z650" s="4"/>
      <c r="AA650" s="3"/>
      <c r="AB650" s="4"/>
      <c r="AC650" s="3"/>
      <c r="AD650" s="4"/>
      <c r="AE650" s="3"/>
      <c r="AF650" s="4"/>
      <c r="AG650" s="3"/>
      <c r="AH650" s="4"/>
      <c r="AI650" s="3"/>
      <c r="AJ650" s="4"/>
      <c r="AK650" s="3"/>
      <c r="AL650" s="4"/>
      <c r="AM650" s="3"/>
      <c r="AN650" s="4"/>
      <c r="AO650" s="3"/>
      <c r="AP650" s="4"/>
      <c r="AQ650" s="3"/>
      <c r="AR650" s="4"/>
      <c r="AS650" s="3"/>
      <c r="AT650" s="4"/>
      <c r="AU650" s="3"/>
      <c r="AV650" s="4"/>
      <c r="AW650" s="3"/>
      <c r="AX650" s="4"/>
      <c r="AY650" s="3"/>
      <c r="AZ650" s="4"/>
      <c r="BA650" s="3"/>
      <c r="BB650" s="4"/>
      <c r="BC650" s="3"/>
      <c r="BD650" s="4"/>
      <c r="BE650" s="3"/>
      <c r="BF650" s="4"/>
      <c r="BG650" s="3"/>
      <c r="BH650" s="4"/>
      <c r="BI650" s="3"/>
      <c r="BJ650" s="4"/>
      <c r="BK650" s="3"/>
      <c r="BL650" s="4"/>
      <c r="BM650" s="3"/>
      <c r="BN650" s="4"/>
      <c r="BO650" s="3"/>
      <c r="BP650" s="4"/>
      <c r="BQ650" s="3"/>
      <c r="BR650" s="4"/>
      <c r="BS650" s="3"/>
      <c r="BT650" s="4"/>
      <c r="BU650" s="3"/>
      <c r="BV650" s="4"/>
      <c r="BW650" s="3"/>
      <c r="BX650" s="4"/>
      <c r="BY650" s="3"/>
      <c r="BZ650" s="4"/>
      <c r="CA650" s="3"/>
      <c r="CB650" s="4"/>
      <c r="CC650" s="3"/>
      <c r="CD650" s="4"/>
    </row>
    <row r="651">
      <c r="A651" s="3"/>
      <c r="B651" s="4"/>
      <c r="C651" s="3"/>
      <c r="D651" s="4"/>
      <c r="E651" s="3"/>
      <c r="F651" s="4"/>
      <c r="G651" s="3"/>
      <c r="H651" s="4"/>
      <c r="I651" s="3"/>
      <c r="J651" s="4"/>
      <c r="K651" s="3"/>
      <c r="L651" s="4"/>
      <c r="M651" s="3"/>
      <c r="N651" s="4"/>
      <c r="O651" s="3"/>
      <c r="P651" s="4"/>
      <c r="Q651" s="3"/>
      <c r="R651" s="4"/>
      <c r="S651" s="3"/>
      <c r="T651" s="4"/>
      <c r="U651" s="3"/>
      <c r="V651" s="4"/>
      <c r="W651" s="3"/>
      <c r="X651" s="4"/>
      <c r="Y651" s="3"/>
      <c r="Z651" s="4"/>
      <c r="AA651" s="3"/>
      <c r="AB651" s="4"/>
      <c r="AC651" s="3"/>
      <c r="AD651" s="4"/>
      <c r="AE651" s="3"/>
      <c r="AF651" s="4"/>
      <c r="AG651" s="3"/>
      <c r="AH651" s="4"/>
      <c r="AI651" s="3"/>
      <c r="AJ651" s="4"/>
      <c r="AK651" s="3"/>
      <c r="AL651" s="4"/>
      <c r="AM651" s="3"/>
      <c r="AN651" s="4"/>
      <c r="AO651" s="3"/>
      <c r="AP651" s="4"/>
      <c r="AQ651" s="3"/>
      <c r="AR651" s="4"/>
      <c r="AS651" s="3"/>
      <c r="AT651" s="4"/>
      <c r="AU651" s="3"/>
      <c r="AV651" s="4"/>
      <c r="AW651" s="3"/>
      <c r="AX651" s="4"/>
      <c r="AY651" s="3"/>
      <c r="AZ651" s="4"/>
      <c r="BA651" s="3"/>
      <c r="BB651" s="4"/>
      <c r="BC651" s="3"/>
      <c r="BD651" s="4"/>
      <c r="BE651" s="3"/>
      <c r="BF651" s="4"/>
      <c r="BG651" s="3"/>
      <c r="BH651" s="4"/>
      <c r="BI651" s="3"/>
      <c r="BJ651" s="4"/>
      <c r="BK651" s="3"/>
      <c r="BL651" s="4"/>
      <c r="BM651" s="3"/>
      <c r="BN651" s="4"/>
      <c r="BO651" s="3"/>
      <c r="BP651" s="4"/>
      <c r="BQ651" s="3"/>
      <c r="BR651" s="4"/>
      <c r="BS651" s="3"/>
      <c r="BT651" s="4"/>
      <c r="BU651" s="3"/>
      <c r="BV651" s="4"/>
      <c r="BW651" s="3"/>
      <c r="BX651" s="4"/>
      <c r="BY651" s="3"/>
      <c r="BZ651" s="4"/>
      <c r="CA651" s="3"/>
      <c r="CB651" s="4"/>
      <c r="CC651" s="3"/>
      <c r="CD651" s="4"/>
    </row>
    <row r="652">
      <c r="A652" s="3"/>
      <c r="B652" s="4"/>
      <c r="C652" s="3"/>
      <c r="D652" s="4"/>
      <c r="E652" s="3"/>
      <c r="F652" s="4"/>
      <c r="G652" s="3"/>
      <c r="H652" s="4"/>
      <c r="I652" s="3"/>
      <c r="J652" s="4"/>
      <c r="K652" s="3"/>
      <c r="L652" s="4"/>
      <c r="M652" s="3"/>
      <c r="N652" s="4"/>
      <c r="O652" s="3"/>
      <c r="P652" s="4"/>
      <c r="Q652" s="3"/>
      <c r="R652" s="4"/>
      <c r="S652" s="3"/>
      <c r="T652" s="4"/>
      <c r="U652" s="3"/>
      <c r="V652" s="4"/>
      <c r="W652" s="3"/>
      <c r="X652" s="4"/>
      <c r="Y652" s="3"/>
      <c r="Z652" s="4"/>
      <c r="AA652" s="3"/>
      <c r="AB652" s="4"/>
      <c r="AC652" s="3"/>
      <c r="AD652" s="4"/>
      <c r="AE652" s="3"/>
      <c r="AF652" s="4"/>
      <c r="AG652" s="3"/>
      <c r="AH652" s="4"/>
      <c r="AI652" s="3"/>
      <c r="AJ652" s="4"/>
      <c r="AK652" s="3"/>
      <c r="AL652" s="4"/>
      <c r="AM652" s="3"/>
      <c r="AN652" s="4"/>
      <c r="AO652" s="3"/>
      <c r="AP652" s="4"/>
      <c r="AQ652" s="3"/>
      <c r="AR652" s="4"/>
      <c r="AS652" s="3"/>
      <c r="AT652" s="4"/>
      <c r="AU652" s="3"/>
      <c r="AV652" s="4"/>
      <c r="AW652" s="3"/>
      <c r="AX652" s="4"/>
      <c r="AY652" s="3"/>
      <c r="AZ652" s="4"/>
      <c r="BA652" s="3"/>
      <c r="BB652" s="4"/>
      <c r="BC652" s="3"/>
      <c r="BD652" s="4"/>
      <c r="BE652" s="3"/>
      <c r="BF652" s="4"/>
      <c r="BG652" s="3"/>
      <c r="BH652" s="4"/>
      <c r="BI652" s="3"/>
      <c r="BJ652" s="4"/>
      <c r="BK652" s="3"/>
      <c r="BL652" s="4"/>
      <c r="BM652" s="3"/>
      <c r="BN652" s="4"/>
      <c r="BO652" s="3"/>
      <c r="BP652" s="4"/>
      <c r="BQ652" s="3"/>
      <c r="BR652" s="4"/>
      <c r="BS652" s="3"/>
      <c r="BT652" s="4"/>
      <c r="BU652" s="3"/>
      <c r="BV652" s="4"/>
      <c r="BW652" s="3"/>
      <c r="BX652" s="4"/>
      <c r="BY652" s="3"/>
      <c r="BZ652" s="4"/>
      <c r="CA652" s="3"/>
      <c r="CB652" s="4"/>
      <c r="CC652" s="3"/>
      <c r="CD652" s="4"/>
    </row>
    <row r="653">
      <c r="A653" s="3"/>
      <c r="B653" s="4"/>
      <c r="C653" s="3"/>
      <c r="D653" s="4"/>
      <c r="E653" s="3"/>
      <c r="F653" s="4"/>
      <c r="G653" s="3"/>
      <c r="H653" s="4"/>
      <c r="I653" s="3"/>
      <c r="J653" s="4"/>
      <c r="K653" s="3"/>
      <c r="L653" s="4"/>
      <c r="M653" s="3"/>
      <c r="N653" s="4"/>
      <c r="O653" s="3"/>
      <c r="P653" s="4"/>
      <c r="Q653" s="3"/>
      <c r="R653" s="4"/>
      <c r="S653" s="3"/>
      <c r="T653" s="4"/>
      <c r="U653" s="3"/>
      <c r="V653" s="4"/>
      <c r="W653" s="3"/>
      <c r="X653" s="4"/>
      <c r="Y653" s="3"/>
      <c r="Z653" s="4"/>
      <c r="AA653" s="3"/>
      <c r="AB653" s="4"/>
      <c r="AC653" s="3"/>
      <c r="AD653" s="4"/>
      <c r="AE653" s="3"/>
      <c r="AF653" s="4"/>
      <c r="AG653" s="3"/>
      <c r="AH653" s="4"/>
      <c r="AI653" s="3"/>
      <c r="AJ653" s="4"/>
      <c r="AK653" s="3"/>
      <c r="AL653" s="4"/>
      <c r="AM653" s="3"/>
      <c r="AN653" s="4"/>
      <c r="AO653" s="3"/>
      <c r="AP653" s="4"/>
      <c r="AQ653" s="3"/>
      <c r="AR653" s="4"/>
      <c r="AS653" s="3"/>
      <c r="AT653" s="4"/>
      <c r="AU653" s="3"/>
      <c r="AV653" s="4"/>
      <c r="AW653" s="3"/>
      <c r="AX653" s="4"/>
      <c r="AY653" s="3"/>
      <c r="AZ653" s="4"/>
      <c r="BA653" s="3"/>
      <c r="BB653" s="4"/>
      <c r="BC653" s="3"/>
      <c r="BD653" s="4"/>
      <c r="BE653" s="3"/>
      <c r="BF653" s="4"/>
      <c r="BG653" s="3"/>
      <c r="BH653" s="4"/>
      <c r="BI653" s="3"/>
      <c r="BJ653" s="4"/>
      <c r="BK653" s="3"/>
      <c r="BL653" s="4"/>
      <c r="BM653" s="3"/>
      <c r="BN653" s="4"/>
      <c r="BO653" s="3"/>
      <c r="BP653" s="4"/>
      <c r="BQ653" s="3"/>
      <c r="BR653" s="4"/>
      <c r="BS653" s="3"/>
      <c r="BT653" s="4"/>
      <c r="BU653" s="3"/>
      <c r="BV653" s="4"/>
      <c r="BW653" s="3"/>
      <c r="BX653" s="4"/>
      <c r="BY653" s="3"/>
      <c r="BZ653" s="4"/>
      <c r="CA653" s="3"/>
      <c r="CB653" s="4"/>
      <c r="CC653" s="3"/>
      <c r="CD653" s="4"/>
    </row>
    <row r="654">
      <c r="A654" s="3"/>
      <c r="B654" s="4"/>
      <c r="C654" s="3"/>
      <c r="D654" s="4"/>
      <c r="E654" s="3"/>
      <c r="F654" s="4"/>
      <c r="G654" s="3"/>
      <c r="H654" s="4"/>
      <c r="I654" s="3"/>
      <c r="J654" s="4"/>
      <c r="K654" s="3"/>
      <c r="L654" s="4"/>
      <c r="M654" s="3"/>
      <c r="N654" s="4"/>
      <c r="O654" s="3"/>
      <c r="P654" s="4"/>
      <c r="Q654" s="3"/>
      <c r="R654" s="4"/>
      <c r="S654" s="3"/>
      <c r="T654" s="4"/>
      <c r="U654" s="3"/>
      <c r="V654" s="4"/>
      <c r="W654" s="3"/>
      <c r="X654" s="4"/>
      <c r="Y654" s="3"/>
      <c r="Z654" s="4"/>
      <c r="AA654" s="3"/>
      <c r="AB654" s="4"/>
      <c r="AC654" s="3"/>
      <c r="AD654" s="4"/>
      <c r="AE654" s="3"/>
      <c r="AF654" s="4"/>
      <c r="AG654" s="3"/>
      <c r="AH654" s="4"/>
      <c r="AI654" s="3"/>
      <c r="AJ654" s="4"/>
      <c r="AK654" s="3"/>
      <c r="AL654" s="4"/>
      <c r="AM654" s="3"/>
      <c r="AN654" s="4"/>
      <c r="AO654" s="3"/>
      <c r="AP654" s="4"/>
      <c r="AQ654" s="3"/>
      <c r="AR654" s="4"/>
      <c r="AS654" s="3"/>
      <c r="AT654" s="4"/>
      <c r="AU654" s="3"/>
      <c r="AV654" s="4"/>
      <c r="AW654" s="3"/>
      <c r="AX654" s="4"/>
      <c r="AY654" s="3"/>
      <c r="AZ654" s="4"/>
      <c r="BA654" s="3"/>
      <c r="BB654" s="4"/>
      <c r="BC654" s="3"/>
      <c r="BD654" s="4"/>
      <c r="BE654" s="3"/>
      <c r="BF654" s="4"/>
      <c r="BG654" s="3"/>
      <c r="BH654" s="4"/>
      <c r="BI654" s="3"/>
      <c r="BJ654" s="4"/>
      <c r="BK654" s="3"/>
      <c r="BL654" s="4"/>
      <c r="BM654" s="3"/>
      <c r="BN654" s="4"/>
      <c r="BO654" s="3"/>
      <c r="BP654" s="4"/>
      <c r="BQ654" s="3"/>
      <c r="BR654" s="4"/>
      <c r="BS654" s="3"/>
      <c r="BT654" s="4"/>
      <c r="BU654" s="3"/>
      <c r="BV654" s="4"/>
      <c r="BW654" s="3"/>
      <c r="BX654" s="4"/>
      <c r="BY654" s="3"/>
      <c r="BZ654" s="4"/>
      <c r="CA654" s="3"/>
      <c r="CB654" s="4"/>
      <c r="CC654" s="3"/>
      <c r="CD654" s="4"/>
    </row>
    <row r="655">
      <c r="A655" s="3"/>
      <c r="B655" s="4"/>
      <c r="C655" s="3"/>
      <c r="D655" s="4"/>
      <c r="E655" s="3"/>
      <c r="F655" s="4"/>
      <c r="G655" s="3"/>
      <c r="H655" s="4"/>
      <c r="I655" s="3"/>
      <c r="J655" s="4"/>
      <c r="K655" s="3"/>
      <c r="L655" s="4"/>
      <c r="M655" s="3"/>
      <c r="N655" s="4"/>
      <c r="O655" s="3"/>
      <c r="P655" s="4"/>
      <c r="Q655" s="3"/>
      <c r="R655" s="4"/>
      <c r="S655" s="3"/>
      <c r="T655" s="4"/>
      <c r="U655" s="3"/>
      <c r="V655" s="4"/>
      <c r="W655" s="3"/>
      <c r="X655" s="4"/>
      <c r="Y655" s="3"/>
      <c r="Z655" s="4"/>
      <c r="AA655" s="3"/>
      <c r="AB655" s="4"/>
      <c r="AC655" s="3"/>
      <c r="AD655" s="4"/>
      <c r="AE655" s="3"/>
      <c r="AF655" s="4"/>
      <c r="AG655" s="3"/>
      <c r="AH655" s="4"/>
      <c r="AI655" s="3"/>
      <c r="AJ655" s="4"/>
      <c r="AK655" s="3"/>
      <c r="AL655" s="4"/>
      <c r="AM655" s="3"/>
      <c r="AN655" s="4"/>
      <c r="AO655" s="3"/>
      <c r="AP655" s="4"/>
      <c r="AQ655" s="3"/>
      <c r="AR655" s="4"/>
      <c r="AS655" s="3"/>
      <c r="AT655" s="4"/>
      <c r="AU655" s="3"/>
      <c r="AV655" s="4"/>
      <c r="AW655" s="3"/>
      <c r="AX655" s="4"/>
      <c r="AY655" s="3"/>
      <c r="AZ655" s="4"/>
      <c r="BA655" s="3"/>
      <c r="BB655" s="4"/>
      <c r="BC655" s="3"/>
      <c r="BD655" s="4"/>
      <c r="BE655" s="3"/>
      <c r="BF655" s="4"/>
      <c r="BG655" s="3"/>
      <c r="BH655" s="4"/>
      <c r="BI655" s="3"/>
      <c r="BJ655" s="4"/>
      <c r="BK655" s="3"/>
      <c r="BL655" s="4"/>
      <c r="BM655" s="3"/>
      <c r="BN655" s="4"/>
      <c r="BO655" s="3"/>
      <c r="BP655" s="4"/>
      <c r="BQ655" s="3"/>
      <c r="BR655" s="4"/>
      <c r="BS655" s="3"/>
      <c r="BT655" s="4"/>
      <c r="BU655" s="3"/>
      <c r="BV655" s="4"/>
      <c r="BW655" s="3"/>
      <c r="BX655" s="4"/>
      <c r="BY655" s="3"/>
      <c r="BZ655" s="4"/>
      <c r="CA655" s="3"/>
      <c r="CB655" s="4"/>
      <c r="CC655" s="3"/>
      <c r="CD655" s="4"/>
    </row>
    <row r="656">
      <c r="A656" s="3"/>
      <c r="B656" s="4"/>
      <c r="C656" s="3"/>
      <c r="D656" s="4"/>
      <c r="E656" s="3"/>
      <c r="F656" s="4"/>
      <c r="G656" s="3"/>
      <c r="H656" s="4"/>
      <c r="I656" s="3"/>
      <c r="J656" s="4"/>
      <c r="K656" s="3"/>
      <c r="L656" s="4"/>
      <c r="M656" s="3"/>
      <c r="N656" s="4"/>
      <c r="O656" s="3"/>
      <c r="P656" s="4"/>
      <c r="Q656" s="3"/>
      <c r="R656" s="4"/>
      <c r="S656" s="3"/>
      <c r="T656" s="4"/>
      <c r="U656" s="3"/>
      <c r="V656" s="4"/>
      <c r="W656" s="3"/>
      <c r="X656" s="4"/>
      <c r="Y656" s="3"/>
      <c r="Z656" s="4"/>
      <c r="AA656" s="3"/>
      <c r="AB656" s="4"/>
      <c r="AC656" s="3"/>
      <c r="AD656" s="4"/>
      <c r="AE656" s="3"/>
      <c r="AF656" s="4"/>
      <c r="AG656" s="3"/>
      <c r="AH656" s="4"/>
      <c r="AI656" s="3"/>
      <c r="AJ656" s="4"/>
      <c r="AK656" s="3"/>
      <c r="AL656" s="4"/>
      <c r="AM656" s="3"/>
      <c r="AN656" s="4"/>
      <c r="AO656" s="3"/>
      <c r="AP656" s="4"/>
      <c r="AQ656" s="3"/>
      <c r="AR656" s="4"/>
      <c r="AS656" s="3"/>
      <c r="AT656" s="4"/>
      <c r="AU656" s="3"/>
      <c r="AV656" s="4"/>
      <c r="AW656" s="3"/>
      <c r="AX656" s="4"/>
      <c r="AY656" s="3"/>
      <c r="AZ656" s="4"/>
      <c r="BA656" s="3"/>
      <c r="BB656" s="4"/>
      <c r="BC656" s="3"/>
      <c r="BD656" s="4"/>
      <c r="BE656" s="3"/>
      <c r="BF656" s="4"/>
      <c r="BG656" s="3"/>
      <c r="BH656" s="4"/>
      <c r="BI656" s="3"/>
      <c r="BJ656" s="4"/>
      <c r="BK656" s="3"/>
      <c r="BL656" s="4"/>
      <c r="BM656" s="3"/>
      <c r="BN656" s="4"/>
      <c r="BO656" s="3"/>
      <c r="BP656" s="4"/>
      <c r="BQ656" s="3"/>
      <c r="BR656" s="4"/>
      <c r="BS656" s="3"/>
      <c r="BT656" s="4"/>
      <c r="BU656" s="3"/>
      <c r="BV656" s="4"/>
      <c r="BW656" s="3"/>
      <c r="BX656" s="4"/>
      <c r="BY656" s="3"/>
      <c r="BZ656" s="4"/>
      <c r="CA656" s="3"/>
      <c r="CB656" s="4"/>
      <c r="CC656" s="3"/>
      <c r="CD656" s="4"/>
    </row>
    <row r="657">
      <c r="A657" s="3"/>
      <c r="B657" s="4"/>
      <c r="C657" s="3"/>
      <c r="D657" s="4"/>
      <c r="E657" s="3"/>
      <c r="F657" s="4"/>
      <c r="G657" s="3"/>
      <c r="H657" s="4"/>
      <c r="I657" s="3"/>
      <c r="J657" s="4"/>
      <c r="K657" s="3"/>
      <c r="L657" s="4"/>
      <c r="M657" s="3"/>
      <c r="N657" s="4"/>
      <c r="O657" s="3"/>
      <c r="P657" s="4"/>
      <c r="Q657" s="3"/>
      <c r="R657" s="4"/>
      <c r="S657" s="3"/>
      <c r="T657" s="4"/>
      <c r="U657" s="3"/>
      <c r="V657" s="4"/>
      <c r="W657" s="3"/>
      <c r="X657" s="4"/>
      <c r="Y657" s="3"/>
      <c r="Z657" s="4"/>
      <c r="AA657" s="3"/>
      <c r="AB657" s="4"/>
      <c r="AC657" s="3"/>
      <c r="AD657" s="4"/>
      <c r="AE657" s="3"/>
      <c r="AF657" s="4"/>
      <c r="AG657" s="3"/>
      <c r="AH657" s="4"/>
      <c r="AI657" s="3"/>
      <c r="AJ657" s="4"/>
      <c r="AK657" s="3"/>
      <c r="AL657" s="4"/>
      <c r="AM657" s="3"/>
      <c r="AN657" s="4"/>
      <c r="AO657" s="3"/>
      <c r="AP657" s="4"/>
      <c r="AQ657" s="3"/>
      <c r="AR657" s="4"/>
      <c r="AS657" s="3"/>
      <c r="AT657" s="4"/>
      <c r="AU657" s="3"/>
      <c r="AV657" s="4"/>
      <c r="AW657" s="3"/>
      <c r="AX657" s="4"/>
      <c r="AY657" s="3"/>
      <c r="AZ657" s="4"/>
      <c r="BA657" s="3"/>
      <c r="BB657" s="4"/>
      <c r="BC657" s="3"/>
      <c r="BD657" s="4"/>
      <c r="BE657" s="3"/>
      <c r="BF657" s="4"/>
      <c r="BG657" s="3"/>
      <c r="BH657" s="4"/>
      <c r="BI657" s="3"/>
      <c r="BJ657" s="4"/>
      <c r="BK657" s="3"/>
      <c r="BL657" s="4"/>
      <c r="BM657" s="3"/>
      <c r="BN657" s="4"/>
      <c r="BO657" s="3"/>
      <c r="BP657" s="4"/>
      <c r="BQ657" s="3"/>
      <c r="BR657" s="4"/>
      <c r="BS657" s="3"/>
      <c r="BT657" s="4"/>
      <c r="BU657" s="3"/>
      <c r="BV657" s="4"/>
      <c r="BW657" s="3"/>
      <c r="BX657" s="4"/>
      <c r="BY657" s="3"/>
      <c r="BZ657" s="4"/>
      <c r="CA657" s="3"/>
      <c r="CB657" s="4"/>
      <c r="CC657" s="3"/>
      <c r="CD657" s="4"/>
    </row>
    <row r="658">
      <c r="A658" s="3"/>
      <c r="B658" s="4"/>
      <c r="C658" s="3"/>
      <c r="D658" s="4"/>
      <c r="E658" s="3"/>
      <c r="F658" s="4"/>
      <c r="G658" s="3"/>
      <c r="H658" s="4"/>
      <c r="I658" s="3"/>
      <c r="J658" s="4"/>
      <c r="K658" s="3"/>
      <c r="L658" s="4"/>
      <c r="M658" s="3"/>
      <c r="N658" s="4"/>
      <c r="O658" s="3"/>
      <c r="P658" s="4"/>
      <c r="Q658" s="3"/>
      <c r="R658" s="4"/>
      <c r="S658" s="3"/>
      <c r="T658" s="4"/>
      <c r="U658" s="3"/>
      <c r="V658" s="4"/>
      <c r="W658" s="3"/>
      <c r="X658" s="4"/>
      <c r="Y658" s="3"/>
      <c r="Z658" s="4"/>
      <c r="AA658" s="3"/>
      <c r="AB658" s="4"/>
      <c r="AC658" s="3"/>
      <c r="AD658" s="4"/>
      <c r="AE658" s="3"/>
      <c r="AF658" s="4"/>
      <c r="AG658" s="3"/>
      <c r="AH658" s="4"/>
      <c r="AI658" s="3"/>
      <c r="AJ658" s="4"/>
      <c r="AK658" s="3"/>
      <c r="AL658" s="4"/>
      <c r="AM658" s="3"/>
      <c r="AN658" s="4"/>
      <c r="AO658" s="3"/>
      <c r="AP658" s="4"/>
      <c r="AQ658" s="3"/>
      <c r="AR658" s="4"/>
      <c r="AS658" s="3"/>
      <c r="AT658" s="4"/>
      <c r="AU658" s="3"/>
      <c r="AV658" s="4"/>
      <c r="AW658" s="3"/>
      <c r="AX658" s="4"/>
      <c r="AY658" s="3"/>
      <c r="AZ658" s="4"/>
      <c r="BA658" s="3"/>
      <c r="BB658" s="4"/>
      <c r="BC658" s="3"/>
      <c r="BD658" s="4"/>
      <c r="BE658" s="3"/>
      <c r="BF658" s="4"/>
      <c r="BG658" s="3"/>
      <c r="BH658" s="4"/>
      <c r="BI658" s="3"/>
      <c r="BJ658" s="4"/>
      <c r="BK658" s="3"/>
      <c r="BL658" s="4"/>
      <c r="BM658" s="3"/>
      <c r="BN658" s="4"/>
      <c r="BO658" s="3"/>
      <c r="BP658" s="4"/>
      <c r="BQ658" s="3"/>
      <c r="BR658" s="4"/>
      <c r="BS658" s="3"/>
      <c r="BT658" s="4"/>
      <c r="BU658" s="3"/>
      <c r="BV658" s="4"/>
      <c r="BW658" s="3"/>
      <c r="BX658" s="4"/>
      <c r="BY658" s="3"/>
      <c r="BZ658" s="4"/>
      <c r="CA658" s="3"/>
      <c r="CB658" s="4"/>
      <c r="CC658" s="3"/>
      <c r="CD658" s="4"/>
    </row>
    <row r="659">
      <c r="A659" s="3"/>
      <c r="B659" s="4"/>
      <c r="C659" s="3"/>
      <c r="D659" s="4"/>
      <c r="E659" s="3"/>
      <c r="F659" s="4"/>
      <c r="G659" s="3"/>
      <c r="H659" s="4"/>
      <c r="I659" s="3"/>
      <c r="J659" s="4"/>
      <c r="K659" s="3"/>
      <c r="L659" s="4"/>
      <c r="M659" s="3"/>
      <c r="N659" s="4"/>
      <c r="O659" s="3"/>
      <c r="P659" s="4"/>
      <c r="Q659" s="3"/>
      <c r="R659" s="4"/>
      <c r="S659" s="3"/>
      <c r="T659" s="4"/>
      <c r="U659" s="3"/>
      <c r="V659" s="4"/>
      <c r="W659" s="3"/>
      <c r="X659" s="4"/>
      <c r="Y659" s="3"/>
      <c r="Z659" s="4"/>
      <c r="AA659" s="3"/>
      <c r="AB659" s="4"/>
      <c r="AC659" s="3"/>
      <c r="AD659" s="4"/>
      <c r="AE659" s="3"/>
      <c r="AF659" s="4"/>
      <c r="AG659" s="3"/>
      <c r="AH659" s="4"/>
      <c r="AI659" s="3"/>
      <c r="AJ659" s="4"/>
      <c r="AK659" s="3"/>
      <c r="AL659" s="4"/>
      <c r="AM659" s="3"/>
      <c r="AN659" s="4"/>
      <c r="AO659" s="3"/>
      <c r="AP659" s="4"/>
      <c r="AQ659" s="3"/>
      <c r="AR659" s="4"/>
      <c r="AS659" s="3"/>
      <c r="AT659" s="4"/>
      <c r="AU659" s="3"/>
      <c r="AV659" s="4"/>
      <c r="AW659" s="3"/>
      <c r="AX659" s="4"/>
      <c r="AY659" s="3"/>
      <c r="AZ659" s="4"/>
      <c r="BA659" s="3"/>
      <c r="BB659" s="4"/>
      <c r="BC659" s="3"/>
      <c r="BD659" s="4"/>
      <c r="BE659" s="3"/>
      <c r="BF659" s="4"/>
      <c r="BG659" s="3"/>
      <c r="BH659" s="4"/>
      <c r="BI659" s="3"/>
      <c r="BJ659" s="4"/>
      <c r="BK659" s="3"/>
      <c r="BL659" s="4"/>
      <c r="BM659" s="3"/>
      <c r="BN659" s="4"/>
      <c r="BO659" s="3"/>
      <c r="BP659" s="4"/>
      <c r="BQ659" s="3"/>
      <c r="BR659" s="4"/>
      <c r="BS659" s="3"/>
      <c r="BT659" s="4"/>
      <c r="BU659" s="3"/>
      <c r="BV659" s="4"/>
      <c r="BW659" s="3"/>
      <c r="BX659" s="4"/>
      <c r="BY659" s="3"/>
      <c r="BZ659" s="4"/>
      <c r="CA659" s="3"/>
      <c r="CB659" s="4"/>
      <c r="CC659" s="3"/>
      <c r="CD659" s="4"/>
    </row>
    <row r="660">
      <c r="A660" s="3"/>
      <c r="B660" s="4"/>
      <c r="C660" s="3"/>
      <c r="D660" s="4"/>
      <c r="E660" s="3"/>
      <c r="F660" s="4"/>
      <c r="G660" s="3"/>
      <c r="H660" s="4"/>
      <c r="I660" s="3"/>
      <c r="J660" s="4"/>
      <c r="K660" s="3"/>
      <c r="L660" s="4"/>
      <c r="M660" s="3"/>
      <c r="N660" s="4"/>
      <c r="O660" s="3"/>
      <c r="P660" s="4"/>
      <c r="Q660" s="3"/>
      <c r="R660" s="4"/>
      <c r="S660" s="3"/>
      <c r="T660" s="4"/>
      <c r="U660" s="3"/>
      <c r="V660" s="4"/>
      <c r="W660" s="3"/>
      <c r="X660" s="4"/>
      <c r="Y660" s="3"/>
      <c r="Z660" s="4"/>
      <c r="AA660" s="3"/>
      <c r="AB660" s="4"/>
      <c r="AC660" s="3"/>
      <c r="AD660" s="4"/>
      <c r="AE660" s="3"/>
      <c r="AF660" s="4"/>
      <c r="AG660" s="3"/>
      <c r="AH660" s="4"/>
      <c r="AI660" s="3"/>
      <c r="AJ660" s="4"/>
      <c r="AK660" s="3"/>
      <c r="AL660" s="4"/>
      <c r="AM660" s="3"/>
      <c r="AN660" s="4"/>
      <c r="AO660" s="3"/>
      <c r="AP660" s="4"/>
      <c r="AQ660" s="3"/>
      <c r="AR660" s="4"/>
      <c r="AS660" s="3"/>
      <c r="AT660" s="4"/>
      <c r="AU660" s="3"/>
      <c r="AV660" s="4"/>
      <c r="AW660" s="3"/>
      <c r="AX660" s="4"/>
      <c r="AY660" s="3"/>
      <c r="AZ660" s="4"/>
      <c r="BA660" s="3"/>
      <c r="BB660" s="4"/>
      <c r="BC660" s="3"/>
      <c r="BD660" s="4"/>
      <c r="BE660" s="3"/>
      <c r="BF660" s="4"/>
      <c r="BG660" s="3"/>
      <c r="BH660" s="4"/>
      <c r="BI660" s="3"/>
      <c r="BJ660" s="4"/>
      <c r="BK660" s="3"/>
      <c r="BL660" s="4"/>
      <c r="BM660" s="3"/>
      <c r="BN660" s="4"/>
      <c r="BO660" s="3"/>
      <c r="BP660" s="4"/>
      <c r="BQ660" s="3"/>
      <c r="BR660" s="4"/>
      <c r="BS660" s="3"/>
      <c r="BT660" s="4"/>
      <c r="BU660" s="3"/>
      <c r="BV660" s="4"/>
      <c r="BW660" s="3"/>
      <c r="BX660" s="4"/>
      <c r="BY660" s="3"/>
      <c r="BZ660" s="4"/>
      <c r="CA660" s="3"/>
      <c r="CB660" s="4"/>
      <c r="CC660" s="3"/>
      <c r="CD660" s="4"/>
    </row>
    <row r="661">
      <c r="A661" s="3"/>
      <c r="B661" s="4"/>
      <c r="C661" s="3"/>
      <c r="D661" s="4"/>
      <c r="E661" s="3"/>
      <c r="F661" s="4"/>
      <c r="G661" s="3"/>
      <c r="H661" s="4"/>
      <c r="I661" s="3"/>
      <c r="J661" s="4"/>
      <c r="K661" s="3"/>
      <c r="L661" s="4"/>
      <c r="M661" s="3"/>
      <c r="N661" s="4"/>
      <c r="O661" s="3"/>
      <c r="P661" s="4"/>
      <c r="Q661" s="3"/>
      <c r="R661" s="4"/>
      <c r="S661" s="3"/>
      <c r="T661" s="4"/>
      <c r="U661" s="3"/>
      <c r="V661" s="4"/>
      <c r="W661" s="3"/>
      <c r="X661" s="4"/>
      <c r="Y661" s="3"/>
      <c r="Z661" s="4"/>
      <c r="AA661" s="3"/>
      <c r="AB661" s="4"/>
      <c r="AC661" s="3"/>
      <c r="AD661" s="4"/>
      <c r="AE661" s="3"/>
      <c r="AF661" s="4"/>
      <c r="AG661" s="3"/>
      <c r="AH661" s="4"/>
      <c r="AI661" s="3"/>
      <c r="AJ661" s="4"/>
      <c r="AK661" s="3"/>
      <c r="AL661" s="4"/>
      <c r="AM661" s="3"/>
      <c r="AN661" s="4"/>
      <c r="AO661" s="3"/>
      <c r="AP661" s="4"/>
      <c r="AQ661" s="3"/>
      <c r="AR661" s="4"/>
      <c r="AS661" s="3"/>
      <c r="AT661" s="4"/>
      <c r="AU661" s="3"/>
      <c r="AV661" s="4"/>
      <c r="AW661" s="3"/>
      <c r="AX661" s="4"/>
      <c r="AY661" s="3"/>
      <c r="AZ661" s="4"/>
      <c r="BA661" s="3"/>
      <c r="BB661" s="4"/>
      <c r="BC661" s="3"/>
      <c r="BD661" s="4"/>
      <c r="BE661" s="3"/>
      <c r="BF661" s="4"/>
      <c r="BG661" s="3"/>
      <c r="BH661" s="4"/>
      <c r="BI661" s="3"/>
      <c r="BJ661" s="4"/>
      <c r="BK661" s="3"/>
      <c r="BL661" s="4"/>
      <c r="BM661" s="3"/>
      <c r="BN661" s="4"/>
      <c r="BO661" s="3"/>
      <c r="BP661" s="4"/>
      <c r="BQ661" s="3"/>
      <c r="BR661" s="4"/>
      <c r="BS661" s="3"/>
      <c r="BT661" s="4"/>
      <c r="BU661" s="3"/>
      <c r="BV661" s="4"/>
      <c r="BW661" s="3"/>
      <c r="BX661" s="4"/>
      <c r="BY661" s="3"/>
      <c r="BZ661" s="4"/>
      <c r="CA661" s="3"/>
      <c r="CB661" s="4"/>
      <c r="CC661" s="3"/>
      <c r="CD661" s="4"/>
    </row>
    <row r="662">
      <c r="A662" s="3"/>
      <c r="B662" s="4"/>
      <c r="C662" s="3"/>
      <c r="D662" s="4"/>
      <c r="E662" s="3"/>
      <c r="F662" s="4"/>
      <c r="G662" s="3"/>
      <c r="H662" s="4"/>
      <c r="I662" s="3"/>
      <c r="J662" s="4"/>
      <c r="K662" s="3"/>
      <c r="L662" s="4"/>
      <c r="M662" s="3"/>
      <c r="N662" s="4"/>
      <c r="O662" s="3"/>
      <c r="P662" s="4"/>
      <c r="Q662" s="3"/>
      <c r="R662" s="4"/>
      <c r="S662" s="3"/>
      <c r="T662" s="4"/>
      <c r="U662" s="3"/>
      <c r="V662" s="4"/>
      <c r="W662" s="3"/>
      <c r="X662" s="4"/>
      <c r="Y662" s="3"/>
      <c r="Z662" s="4"/>
      <c r="AA662" s="3"/>
      <c r="AB662" s="4"/>
      <c r="AC662" s="3"/>
      <c r="AD662" s="4"/>
      <c r="AE662" s="3"/>
      <c r="AF662" s="4"/>
      <c r="AG662" s="3"/>
      <c r="AH662" s="4"/>
      <c r="AI662" s="3"/>
      <c r="AJ662" s="4"/>
      <c r="AK662" s="3"/>
      <c r="AL662" s="4"/>
      <c r="AM662" s="3"/>
      <c r="AN662" s="4"/>
      <c r="AO662" s="3"/>
      <c r="AP662" s="4"/>
      <c r="AQ662" s="3"/>
      <c r="AR662" s="4"/>
      <c r="AS662" s="3"/>
      <c r="AT662" s="4"/>
      <c r="AU662" s="3"/>
      <c r="AV662" s="4"/>
      <c r="AW662" s="3"/>
      <c r="AX662" s="4"/>
      <c r="AY662" s="3"/>
      <c r="AZ662" s="4"/>
      <c r="BA662" s="3"/>
      <c r="BB662" s="4"/>
      <c r="BC662" s="3"/>
      <c r="BD662" s="4"/>
      <c r="BE662" s="3"/>
      <c r="BF662" s="4"/>
      <c r="BG662" s="3"/>
      <c r="BH662" s="4"/>
      <c r="BI662" s="3"/>
      <c r="BJ662" s="4"/>
      <c r="BK662" s="3"/>
      <c r="BL662" s="4"/>
      <c r="BM662" s="3"/>
      <c r="BN662" s="4"/>
      <c r="BO662" s="3"/>
      <c r="BP662" s="4"/>
      <c r="BQ662" s="3"/>
      <c r="BR662" s="4"/>
      <c r="BS662" s="3"/>
      <c r="BT662" s="4"/>
      <c r="BU662" s="3"/>
      <c r="BV662" s="4"/>
      <c r="BW662" s="3"/>
      <c r="BX662" s="4"/>
      <c r="BY662" s="3"/>
      <c r="BZ662" s="4"/>
      <c r="CA662" s="3"/>
      <c r="CB662" s="4"/>
      <c r="CC662" s="3"/>
      <c r="CD662" s="4"/>
    </row>
    <row r="663">
      <c r="A663" s="3"/>
      <c r="B663" s="4"/>
      <c r="C663" s="3"/>
      <c r="D663" s="4"/>
      <c r="E663" s="3"/>
      <c r="F663" s="4"/>
      <c r="G663" s="3"/>
      <c r="H663" s="4"/>
      <c r="I663" s="3"/>
      <c r="J663" s="4"/>
      <c r="K663" s="3"/>
      <c r="L663" s="4"/>
      <c r="M663" s="3"/>
      <c r="N663" s="4"/>
      <c r="O663" s="3"/>
      <c r="P663" s="4"/>
      <c r="Q663" s="3"/>
      <c r="R663" s="4"/>
      <c r="S663" s="3"/>
      <c r="T663" s="4"/>
      <c r="U663" s="3"/>
      <c r="V663" s="4"/>
      <c r="W663" s="3"/>
      <c r="X663" s="4"/>
      <c r="Y663" s="3"/>
      <c r="Z663" s="4"/>
      <c r="AA663" s="3"/>
      <c r="AB663" s="4"/>
      <c r="AC663" s="3"/>
      <c r="AD663" s="4"/>
      <c r="AE663" s="3"/>
      <c r="AF663" s="4"/>
      <c r="AG663" s="3"/>
      <c r="AH663" s="4"/>
      <c r="AI663" s="3"/>
      <c r="AJ663" s="4"/>
      <c r="AK663" s="3"/>
      <c r="AL663" s="4"/>
      <c r="AM663" s="3"/>
      <c r="AN663" s="4"/>
      <c r="AO663" s="3"/>
      <c r="AP663" s="4"/>
      <c r="AQ663" s="3"/>
      <c r="AR663" s="4"/>
      <c r="AS663" s="3"/>
      <c r="AT663" s="4"/>
      <c r="AU663" s="3"/>
      <c r="AV663" s="4"/>
      <c r="AW663" s="3"/>
      <c r="AX663" s="4"/>
      <c r="AY663" s="3"/>
      <c r="AZ663" s="4"/>
      <c r="BA663" s="3"/>
      <c r="BB663" s="4"/>
      <c r="BC663" s="3"/>
      <c r="BD663" s="4"/>
      <c r="BE663" s="3"/>
      <c r="BF663" s="4"/>
      <c r="BG663" s="3"/>
      <c r="BH663" s="4"/>
      <c r="BI663" s="3"/>
      <c r="BJ663" s="4"/>
      <c r="BK663" s="3"/>
      <c r="BL663" s="4"/>
      <c r="BM663" s="3"/>
      <c r="BN663" s="4"/>
      <c r="BO663" s="3"/>
      <c r="BP663" s="4"/>
      <c r="BQ663" s="3"/>
      <c r="BR663" s="4"/>
      <c r="BS663" s="3"/>
      <c r="BT663" s="4"/>
      <c r="BU663" s="3"/>
      <c r="BV663" s="4"/>
      <c r="BW663" s="3"/>
      <c r="BX663" s="4"/>
      <c r="BY663" s="3"/>
      <c r="BZ663" s="4"/>
      <c r="CA663" s="3"/>
      <c r="CB663" s="4"/>
      <c r="CC663" s="3"/>
      <c r="CD663" s="4"/>
    </row>
    <row r="664">
      <c r="A664" s="3"/>
      <c r="B664" s="4"/>
      <c r="C664" s="3"/>
      <c r="D664" s="4"/>
      <c r="E664" s="3"/>
      <c r="F664" s="4"/>
      <c r="G664" s="3"/>
      <c r="H664" s="4"/>
      <c r="I664" s="3"/>
      <c r="J664" s="4"/>
      <c r="K664" s="3"/>
      <c r="L664" s="4"/>
      <c r="M664" s="3"/>
      <c r="N664" s="4"/>
      <c r="O664" s="3"/>
      <c r="P664" s="4"/>
      <c r="Q664" s="3"/>
      <c r="R664" s="4"/>
      <c r="S664" s="3"/>
      <c r="T664" s="4"/>
      <c r="U664" s="3"/>
      <c r="V664" s="4"/>
      <c r="W664" s="3"/>
      <c r="X664" s="4"/>
      <c r="Y664" s="3"/>
      <c r="Z664" s="4"/>
      <c r="AA664" s="3"/>
      <c r="AB664" s="4"/>
      <c r="AC664" s="3"/>
      <c r="AD664" s="4"/>
      <c r="AE664" s="3"/>
      <c r="AF664" s="4"/>
      <c r="AG664" s="3"/>
      <c r="AH664" s="4"/>
      <c r="AI664" s="3"/>
      <c r="AJ664" s="4"/>
      <c r="AK664" s="3"/>
      <c r="AL664" s="4"/>
      <c r="AM664" s="3"/>
      <c r="AN664" s="4"/>
      <c r="AO664" s="3"/>
      <c r="AP664" s="4"/>
      <c r="AQ664" s="3"/>
      <c r="AR664" s="4"/>
      <c r="AS664" s="3"/>
      <c r="AT664" s="4"/>
      <c r="AU664" s="3"/>
      <c r="AV664" s="4"/>
      <c r="AW664" s="3"/>
      <c r="AX664" s="4"/>
      <c r="AY664" s="3"/>
      <c r="AZ664" s="4"/>
      <c r="BA664" s="3"/>
      <c r="BB664" s="4"/>
      <c r="BC664" s="3"/>
      <c r="BD664" s="4"/>
      <c r="BE664" s="3"/>
      <c r="BF664" s="4"/>
      <c r="BG664" s="3"/>
      <c r="BH664" s="4"/>
      <c r="BI664" s="3"/>
      <c r="BJ664" s="4"/>
      <c r="BK664" s="3"/>
      <c r="BL664" s="4"/>
      <c r="BM664" s="3"/>
      <c r="BN664" s="4"/>
      <c r="BO664" s="3"/>
      <c r="BP664" s="4"/>
      <c r="BQ664" s="3"/>
      <c r="BR664" s="4"/>
      <c r="BS664" s="3"/>
      <c r="BT664" s="4"/>
      <c r="BU664" s="3"/>
      <c r="BV664" s="4"/>
      <c r="BW664" s="3"/>
      <c r="BX664" s="4"/>
      <c r="BY664" s="3"/>
      <c r="BZ664" s="4"/>
      <c r="CA664" s="3"/>
      <c r="CB664" s="4"/>
      <c r="CC664" s="3"/>
      <c r="CD664" s="4"/>
    </row>
    <row r="665">
      <c r="A665" s="3"/>
      <c r="B665" s="4"/>
      <c r="C665" s="3"/>
      <c r="D665" s="4"/>
      <c r="E665" s="3"/>
      <c r="F665" s="4"/>
      <c r="G665" s="3"/>
      <c r="H665" s="4"/>
      <c r="I665" s="3"/>
      <c r="J665" s="4"/>
      <c r="K665" s="3"/>
      <c r="L665" s="4"/>
      <c r="M665" s="3"/>
      <c r="N665" s="4"/>
      <c r="O665" s="3"/>
      <c r="P665" s="4"/>
      <c r="Q665" s="3"/>
      <c r="R665" s="4"/>
      <c r="S665" s="3"/>
      <c r="T665" s="4"/>
      <c r="U665" s="3"/>
      <c r="V665" s="4"/>
      <c r="W665" s="3"/>
      <c r="X665" s="4"/>
      <c r="Y665" s="3"/>
      <c r="Z665" s="4"/>
      <c r="AA665" s="3"/>
      <c r="AB665" s="4"/>
      <c r="AC665" s="3"/>
      <c r="AD665" s="4"/>
      <c r="AE665" s="3"/>
      <c r="AF665" s="4"/>
      <c r="AG665" s="3"/>
      <c r="AH665" s="4"/>
      <c r="AI665" s="3"/>
      <c r="AJ665" s="4"/>
      <c r="AK665" s="3"/>
      <c r="AL665" s="4"/>
      <c r="AM665" s="3"/>
      <c r="AN665" s="4"/>
      <c r="AO665" s="3"/>
      <c r="AP665" s="4"/>
      <c r="AQ665" s="3"/>
      <c r="AR665" s="4"/>
      <c r="AS665" s="3"/>
      <c r="AT665" s="4"/>
      <c r="AU665" s="3"/>
      <c r="AV665" s="4"/>
      <c r="AW665" s="3"/>
      <c r="AX665" s="4"/>
      <c r="AY665" s="3"/>
      <c r="AZ665" s="4"/>
      <c r="BA665" s="3"/>
      <c r="BB665" s="4"/>
      <c r="BC665" s="3"/>
      <c r="BD665" s="4"/>
      <c r="BE665" s="3"/>
      <c r="BF665" s="4"/>
      <c r="BG665" s="3"/>
      <c r="BH665" s="4"/>
      <c r="BI665" s="3"/>
      <c r="BJ665" s="4"/>
      <c r="BK665" s="3"/>
      <c r="BL665" s="4"/>
      <c r="BM665" s="3"/>
      <c r="BN665" s="4"/>
      <c r="BO665" s="3"/>
      <c r="BP665" s="4"/>
      <c r="BQ665" s="3"/>
      <c r="BR665" s="4"/>
      <c r="BS665" s="3"/>
      <c r="BT665" s="4"/>
      <c r="BU665" s="3"/>
      <c r="BV665" s="4"/>
      <c r="BW665" s="3"/>
      <c r="BX665" s="4"/>
      <c r="BY665" s="3"/>
      <c r="BZ665" s="4"/>
      <c r="CA665" s="3"/>
      <c r="CB665" s="4"/>
      <c r="CC665" s="3"/>
      <c r="CD665" s="4"/>
    </row>
    <row r="666">
      <c r="A666" s="3"/>
      <c r="B666" s="4"/>
      <c r="C666" s="3"/>
      <c r="D666" s="4"/>
      <c r="E666" s="3"/>
      <c r="F666" s="4"/>
      <c r="G666" s="3"/>
      <c r="H666" s="4"/>
      <c r="I666" s="3"/>
      <c r="J666" s="4"/>
      <c r="K666" s="3"/>
      <c r="L666" s="4"/>
      <c r="M666" s="3"/>
      <c r="N666" s="4"/>
      <c r="O666" s="3"/>
      <c r="P666" s="4"/>
      <c r="Q666" s="3"/>
      <c r="R666" s="4"/>
      <c r="S666" s="3"/>
      <c r="T666" s="4"/>
      <c r="U666" s="3"/>
      <c r="V666" s="4"/>
      <c r="W666" s="3"/>
      <c r="X666" s="4"/>
      <c r="Y666" s="3"/>
      <c r="Z666" s="4"/>
      <c r="AA666" s="3"/>
      <c r="AB666" s="4"/>
      <c r="AC666" s="3"/>
      <c r="AD666" s="4"/>
      <c r="AE666" s="3"/>
      <c r="AF666" s="4"/>
      <c r="AG666" s="3"/>
      <c r="AH666" s="4"/>
      <c r="AI666" s="3"/>
      <c r="AJ666" s="4"/>
      <c r="AK666" s="3"/>
      <c r="AL666" s="4"/>
      <c r="AM666" s="3"/>
      <c r="AN666" s="4"/>
      <c r="AO666" s="3"/>
      <c r="AP666" s="4"/>
      <c r="AQ666" s="3"/>
      <c r="AR666" s="4"/>
      <c r="AS666" s="3"/>
      <c r="AT666" s="4"/>
      <c r="AU666" s="3"/>
      <c r="AV666" s="4"/>
      <c r="AW666" s="3"/>
      <c r="AX666" s="4"/>
      <c r="AY666" s="3"/>
      <c r="AZ666" s="4"/>
      <c r="BA666" s="3"/>
      <c r="BB666" s="4"/>
      <c r="BC666" s="3"/>
      <c r="BD666" s="4"/>
      <c r="BE666" s="3"/>
      <c r="BF666" s="4"/>
      <c r="BG666" s="3"/>
      <c r="BH666" s="4"/>
      <c r="BI666" s="3"/>
      <c r="BJ666" s="4"/>
      <c r="BK666" s="3"/>
      <c r="BL666" s="4"/>
      <c r="BM666" s="3"/>
      <c r="BN666" s="4"/>
      <c r="BO666" s="3"/>
      <c r="BP666" s="4"/>
      <c r="BQ666" s="3"/>
      <c r="BR666" s="4"/>
      <c r="BS666" s="3"/>
      <c r="BT666" s="4"/>
      <c r="BU666" s="3"/>
      <c r="BV666" s="4"/>
      <c r="BW666" s="3"/>
      <c r="BX666" s="4"/>
      <c r="BY666" s="3"/>
      <c r="BZ666" s="4"/>
      <c r="CA666" s="3"/>
      <c r="CB666" s="4"/>
      <c r="CC666" s="3"/>
      <c r="CD666" s="4"/>
    </row>
    <row r="667">
      <c r="A667" s="3"/>
      <c r="B667" s="4"/>
      <c r="C667" s="3"/>
      <c r="D667" s="4"/>
      <c r="E667" s="3"/>
      <c r="F667" s="4"/>
      <c r="G667" s="3"/>
      <c r="H667" s="4"/>
      <c r="I667" s="3"/>
      <c r="J667" s="4"/>
      <c r="K667" s="3"/>
      <c r="L667" s="4"/>
      <c r="M667" s="3"/>
      <c r="N667" s="4"/>
      <c r="O667" s="3"/>
      <c r="P667" s="4"/>
      <c r="Q667" s="3"/>
      <c r="R667" s="4"/>
      <c r="S667" s="3"/>
      <c r="T667" s="4"/>
      <c r="U667" s="3"/>
      <c r="V667" s="4"/>
      <c r="W667" s="3"/>
      <c r="X667" s="4"/>
      <c r="Y667" s="3"/>
      <c r="Z667" s="4"/>
      <c r="AA667" s="3"/>
      <c r="AB667" s="4"/>
      <c r="AC667" s="3"/>
      <c r="AD667" s="4"/>
      <c r="AE667" s="3"/>
      <c r="AF667" s="4"/>
      <c r="AG667" s="3"/>
      <c r="AH667" s="4"/>
      <c r="AI667" s="3"/>
      <c r="AJ667" s="4"/>
      <c r="AK667" s="3"/>
      <c r="AL667" s="4"/>
      <c r="AM667" s="3"/>
      <c r="AN667" s="4"/>
      <c r="AO667" s="3"/>
      <c r="AP667" s="4"/>
      <c r="AQ667" s="3"/>
      <c r="AR667" s="4"/>
      <c r="AS667" s="3"/>
      <c r="AT667" s="4"/>
      <c r="AU667" s="3"/>
      <c r="AV667" s="4"/>
      <c r="AW667" s="3"/>
      <c r="AX667" s="4"/>
      <c r="AY667" s="3"/>
      <c r="AZ667" s="4"/>
      <c r="BA667" s="3"/>
      <c r="BB667" s="4"/>
      <c r="BC667" s="3"/>
      <c r="BD667" s="4"/>
      <c r="BE667" s="3"/>
      <c r="BF667" s="4"/>
      <c r="BG667" s="3"/>
      <c r="BH667" s="4"/>
      <c r="BI667" s="3"/>
      <c r="BJ667" s="4"/>
      <c r="BK667" s="3"/>
      <c r="BL667" s="4"/>
      <c r="BM667" s="3"/>
      <c r="BN667" s="4"/>
      <c r="BO667" s="3"/>
      <c r="BP667" s="4"/>
      <c r="BQ667" s="3"/>
      <c r="BR667" s="4"/>
      <c r="BS667" s="3"/>
      <c r="BT667" s="4"/>
      <c r="BU667" s="3"/>
      <c r="BV667" s="4"/>
      <c r="BW667" s="3"/>
      <c r="BX667" s="4"/>
      <c r="BY667" s="3"/>
      <c r="BZ667" s="4"/>
      <c r="CA667" s="3"/>
      <c r="CB667" s="4"/>
      <c r="CC667" s="3"/>
      <c r="CD667" s="4"/>
    </row>
    <row r="668">
      <c r="A668" s="3"/>
      <c r="B668" s="4"/>
      <c r="C668" s="3"/>
      <c r="D668" s="4"/>
      <c r="E668" s="3"/>
      <c r="F668" s="4"/>
      <c r="G668" s="3"/>
      <c r="H668" s="4"/>
      <c r="I668" s="3"/>
      <c r="J668" s="4"/>
      <c r="K668" s="3"/>
      <c r="L668" s="4"/>
      <c r="M668" s="3"/>
      <c r="N668" s="4"/>
      <c r="O668" s="3"/>
      <c r="P668" s="4"/>
      <c r="Q668" s="3"/>
      <c r="R668" s="4"/>
      <c r="S668" s="3"/>
      <c r="T668" s="4"/>
      <c r="U668" s="3"/>
      <c r="V668" s="4"/>
      <c r="W668" s="3"/>
      <c r="X668" s="4"/>
      <c r="Y668" s="3"/>
      <c r="Z668" s="4"/>
      <c r="AA668" s="3"/>
      <c r="AB668" s="4"/>
      <c r="AC668" s="3"/>
      <c r="AD668" s="4"/>
      <c r="AE668" s="3"/>
      <c r="AF668" s="4"/>
      <c r="AG668" s="3"/>
      <c r="AH668" s="4"/>
      <c r="AI668" s="3"/>
      <c r="AJ668" s="4"/>
      <c r="AK668" s="3"/>
      <c r="AL668" s="4"/>
      <c r="AM668" s="3"/>
      <c r="AN668" s="4"/>
      <c r="AO668" s="3"/>
      <c r="AP668" s="4"/>
      <c r="AQ668" s="3"/>
      <c r="AR668" s="4"/>
      <c r="AS668" s="3"/>
      <c r="AT668" s="4"/>
      <c r="AU668" s="3"/>
      <c r="AV668" s="4"/>
      <c r="AW668" s="3"/>
      <c r="AX668" s="4"/>
      <c r="AY668" s="3"/>
      <c r="AZ668" s="4"/>
      <c r="BA668" s="3"/>
      <c r="BB668" s="4"/>
      <c r="BC668" s="3"/>
      <c r="BD668" s="4"/>
      <c r="BE668" s="3"/>
      <c r="BF668" s="4"/>
      <c r="BG668" s="3"/>
      <c r="BH668" s="4"/>
      <c r="BI668" s="3"/>
      <c r="BJ668" s="4"/>
      <c r="BK668" s="3"/>
      <c r="BL668" s="4"/>
      <c r="BM668" s="3"/>
      <c r="BN668" s="4"/>
      <c r="BO668" s="3"/>
      <c r="BP668" s="4"/>
      <c r="BQ668" s="3"/>
      <c r="BR668" s="4"/>
      <c r="BS668" s="3"/>
      <c r="BT668" s="4"/>
      <c r="BU668" s="3"/>
      <c r="BV668" s="4"/>
      <c r="BW668" s="3"/>
      <c r="BX668" s="4"/>
      <c r="BY668" s="3"/>
      <c r="BZ668" s="4"/>
      <c r="CA668" s="3"/>
      <c r="CB668" s="4"/>
      <c r="CC668" s="3"/>
      <c r="CD668" s="4"/>
    </row>
    <row r="669">
      <c r="A669" s="3"/>
      <c r="B669" s="4"/>
      <c r="C669" s="3"/>
      <c r="D669" s="4"/>
      <c r="E669" s="3"/>
      <c r="F669" s="4"/>
      <c r="G669" s="3"/>
      <c r="H669" s="4"/>
      <c r="I669" s="3"/>
      <c r="J669" s="4"/>
      <c r="K669" s="3"/>
      <c r="L669" s="4"/>
      <c r="M669" s="3"/>
      <c r="N669" s="4"/>
      <c r="O669" s="3"/>
      <c r="P669" s="4"/>
      <c r="Q669" s="3"/>
      <c r="R669" s="4"/>
      <c r="S669" s="3"/>
      <c r="T669" s="4"/>
      <c r="U669" s="3"/>
      <c r="V669" s="4"/>
      <c r="W669" s="3"/>
      <c r="X669" s="4"/>
      <c r="Y669" s="3"/>
      <c r="Z669" s="4"/>
      <c r="AA669" s="3"/>
      <c r="AB669" s="4"/>
      <c r="AC669" s="3"/>
      <c r="AD669" s="4"/>
      <c r="AE669" s="3"/>
      <c r="AF669" s="4"/>
      <c r="AG669" s="3"/>
      <c r="AH669" s="4"/>
      <c r="AI669" s="3"/>
      <c r="AJ669" s="4"/>
      <c r="AK669" s="3"/>
      <c r="AL669" s="4"/>
      <c r="AM669" s="3"/>
      <c r="AN669" s="4"/>
      <c r="AO669" s="3"/>
      <c r="AP669" s="4"/>
      <c r="AQ669" s="3"/>
      <c r="AR669" s="4"/>
      <c r="AS669" s="3"/>
      <c r="AT669" s="4"/>
      <c r="AU669" s="3"/>
      <c r="AV669" s="4"/>
      <c r="AW669" s="3"/>
      <c r="AX669" s="4"/>
      <c r="AY669" s="3"/>
      <c r="AZ669" s="4"/>
      <c r="BA669" s="3"/>
      <c r="BB669" s="4"/>
      <c r="BC669" s="3"/>
      <c r="BD669" s="4"/>
      <c r="BE669" s="3"/>
      <c r="BF669" s="4"/>
      <c r="BG669" s="3"/>
      <c r="BH669" s="4"/>
      <c r="BI669" s="3"/>
      <c r="BJ669" s="4"/>
      <c r="BK669" s="3"/>
      <c r="BL669" s="4"/>
      <c r="BM669" s="3"/>
      <c r="BN669" s="4"/>
      <c r="BO669" s="3"/>
      <c r="BP669" s="4"/>
      <c r="BQ669" s="3"/>
      <c r="BR669" s="4"/>
      <c r="BS669" s="3"/>
      <c r="BT669" s="4"/>
      <c r="BU669" s="3"/>
      <c r="BV669" s="4"/>
      <c r="BW669" s="3"/>
      <c r="BX669" s="4"/>
      <c r="BY669" s="3"/>
      <c r="BZ669" s="4"/>
      <c r="CA669" s="3"/>
      <c r="CB669" s="4"/>
      <c r="CC669" s="3"/>
      <c r="CD669" s="4"/>
    </row>
    <row r="670">
      <c r="A670" s="3"/>
      <c r="B670" s="4"/>
      <c r="C670" s="3"/>
      <c r="D670" s="4"/>
      <c r="E670" s="3"/>
      <c r="F670" s="4"/>
      <c r="G670" s="3"/>
      <c r="H670" s="4"/>
      <c r="I670" s="3"/>
      <c r="J670" s="4"/>
      <c r="K670" s="3"/>
      <c r="L670" s="4"/>
      <c r="M670" s="3"/>
      <c r="N670" s="4"/>
      <c r="O670" s="3"/>
      <c r="P670" s="4"/>
      <c r="Q670" s="3"/>
      <c r="R670" s="4"/>
      <c r="S670" s="3"/>
      <c r="T670" s="4"/>
      <c r="U670" s="3"/>
      <c r="V670" s="4"/>
      <c r="W670" s="3"/>
      <c r="X670" s="4"/>
      <c r="Y670" s="3"/>
      <c r="Z670" s="4"/>
      <c r="AA670" s="3"/>
      <c r="AB670" s="4"/>
      <c r="AC670" s="3"/>
      <c r="AD670" s="4"/>
      <c r="AE670" s="3"/>
      <c r="AF670" s="4"/>
      <c r="AG670" s="3"/>
      <c r="AH670" s="4"/>
      <c r="AI670" s="3"/>
      <c r="AJ670" s="4"/>
      <c r="AK670" s="3"/>
      <c r="AL670" s="4"/>
      <c r="AM670" s="3"/>
      <c r="AN670" s="4"/>
      <c r="AO670" s="3"/>
      <c r="AP670" s="4"/>
      <c r="AQ670" s="3"/>
      <c r="AR670" s="4"/>
      <c r="AS670" s="3"/>
      <c r="AT670" s="4"/>
      <c r="AU670" s="3"/>
      <c r="AV670" s="4"/>
      <c r="AW670" s="3"/>
      <c r="AX670" s="4"/>
      <c r="AY670" s="3"/>
      <c r="AZ670" s="4"/>
      <c r="BA670" s="3"/>
      <c r="BB670" s="4"/>
      <c r="BC670" s="3"/>
      <c r="BD670" s="4"/>
      <c r="BE670" s="3"/>
      <c r="BF670" s="4"/>
      <c r="BG670" s="3"/>
      <c r="BH670" s="4"/>
      <c r="BI670" s="3"/>
      <c r="BJ670" s="4"/>
      <c r="BK670" s="3"/>
      <c r="BL670" s="4"/>
      <c r="BM670" s="3"/>
      <c r="BN670" s="4"/>
      <c r="BO670" s="3"/>
      <c r="BP670" s="4"/>
      <c r="BQ670" s="3"/>
      <c r="BR670" s="4"/>
      <c r="BS670" s="3"/>
      <c r="BT670" s="4"/>
      <c r="BU670" s="3"/>
      <c r="BV670" s="4"/>
      <c r="BW670" s="3"/>
      <c r="BX670" s="4"/>
      <c r="BY670" s="3"/>
      <c r="BZ670" s="4"/>
      <c r="CA670" s="3"/>
      <c r="CB670" s="4"/>
      <c r="CC670" s="3"/>
      <c r="CD670" s="4"/>
    </row>
    <row r="671">
      <c r="A671" s="3"/>
      <c r="B671" s="4"/>
      <c r="C671" s="3"/>
      <c r="D671" s="4"/>
      <c r="E671" s="3"/>
      <c r="F671" s="4"/>
      <c r="G671" s="3"/>
      <c r="H671" s="4"/>
      <c r="I671" s="3"/>
      <c r="J671" s="4"/>
      <c r="K671" s="3"/>
      <c r="L671" s="4"/>
      <c r="M671" s="3"/>
      <c r="N671" s="4"/>
      <c r="O671" s="3"/>
      <c r="P671" s="4"/>
      <c r="Q671" s="3"/>
      <c r="R671" s="4"/>
      <c r="S671" s="3"/>
      <c r="T671" s="4"/>
      <c r="U671" s="3"/>
      <c r="V671" s="4"/>
      <c r="W671" s="3"/>
      <c r="X671" s="4"/>
      <c r="Y671" s="3"/>
      <c r="Z671" s="4"/>
      <c r="AA671" s="3"/>
      <c r="AB671" s="4"/>
      <c r="AC671" s="3"/>
      <c r="AD671" s="4"/>
      <c r="AE671" s="3"/>
      <c r="AF671" s="4"/>
      <c r="AG671" s="3"/>
      <c r="AH671" s="4"/>
      <c r="AI671" s="3"/>
      <c r="AJ671" s="4"/>
      <c r="AK671" s="3"/>
      <c r="AL671" s="4"/>
      <c r="AM671" s="3"/>
      <c r="AN671" s="4"/>
      <c r="AO671" s="3"/>
      <c r="AP671" s="4"/>
      <c r="AQ671" s="3"/>
      <c r="AR671" s="4"/>
      <c r="AS671" s="3"/>
      <c r="AT671" s="4"/>
      <c r="AU671" s="3"/>
      <c r="AV671" s="4"/>
      <c r="AW671" s="3"/>
      <c r="AX671" s="4"/>
      <c r="AY671" s="3"/>
      <c r="AZ671" s="4"/>
      <c r="BA671" s="3"/>
      <c r="BB671" s="4"/>
      <c r="BC671" s="3"/>
      <c r="BD671" s="4"/>
      <c r="BE671" s="3"/>
      <c r="BF671" s="4"/>
      <c r="BG671" s="3"/>
      <c r="BH671" s="4"/>
      <c r="BI671" s="3"/>
      <c r="BJ671" s="4"/>
      <c r="BK671" s="3"/>
      <c r="BL671" s="4"/>
      <c r="BM671" s="3"/>
      <c r="BN671" s="4"/>
      <c r="BO671" s="3"/>
      <c r="BP671" s="4"/>
      <c r="BQ671" s="3"/>
      <c r="BR671" s="4"/>
      <c r="BS671" s="3"/>
      <c r="BT671" s="4"/>
      <c r="BU671" s="3"/>
      <c r="BV671" s="4"/>
      <c r="BW671" s="3"/>
      <c r="BX671" s="4"/>
      <c r="BY671" s="3"/>
      <c r="BZ671" s="4"/>
      <c r="CA671" s="3"/>
      <c r="CB671" s="4"/>
      <c r="CC671" s="3"/>
      <c r="CD671" s="4"/>
    </row>
    <row r="672">
      <c r="A672" s="3"/>
      <c r="B672" s="4"/>
      <c r="C672" s="3"/>
      <c r="D672" s="4"/>
      <c r="E672" s="3"/>
      <c r="F672" s="4"/>
      <c r="G672" s="3"/>
      <c r="H672" s="4"/>
      <c r="I672" s="3"/>
      <c r="J672" s="4"/>
      <c r="K672" s="3"/>
      <c r="L672" s="4"/>
      <c r="M672" s="3"/>
      <c r="N672" s="4"/>
      <c r="O672" s="3"/>
      <c r="P672" s="4"/>
      <c r="Q672" s="3"/>
      <c r="R672" s="4"/>
      <c r="S672" s="3"/>
      <c r="T672" s="4"/>
      <c r="U672" s="3"/>
      <c r="V672" s="4"/>
      <c r="W672" s="3"/>
      <c r="X672" s="4"/>
      <c r="Y672" s="3"/>
      <c r="Z672" s="4"/>
      <c r="AA672" s="3"/>
      <c r="AB672" s="4"/>
      <c r="AC672" s="3"/>
      <c r="AD672" s="4"/>
      <c r="AE672" s="3"/>
      <c r="AF672" s="4"/>
      <c r="AG672" s="3"/>
      <c r="AH672" s="4"/>
      <c r="AI672" s="3"/>
      <c r="AJ672" s="4"/>
      <c r="AK672" s="3"/>
      <c r="AL672" s="4"/>
      <c r="AM672" s="3"/>
      <c r="AN672" s="4"/>
      <c r="AO672" s="3"/>
      <c r="AP672" s="4"/>
      <c r="AQ672" s="3"/>
      <c r="AR672" s="4"/>
      <c r="AS672" s="3"/>
      <c r="AT672" s="4"/>
      <c r="AU672" s="3"/>
      <c r="AV672" s="4"/>
      <c r="AW672" s="3"/>
      <c r="AX672" s="4"/>
      <c r="AY672" s="3"/>
      <c r="AZ672" s="4"/>
      <c r="BA672" s="3"/>
      <c r="BB672" s="4"/>
      <c r="BC672" s="3"/>
      <c r="BD672" s="4"/>
      <c r="BE672" s="3"/>
      <c r="BF672" s="4"/>
      <c r="BG672" s="3"/>
      <c r="BH672" s="4"/>
      <c r="BI672" s="3"/>
      <c r="BJ672" s="4"/>
      <c r="BK672" s="3"/>
      <c r="BL672" s="4"/>
      <c r="BM672" s="3"/>
      <c r="BN672" s="4"/>
      <c r="BO672" s="3"/>
      <c r="BP672" s="4"/>
      <c r="BQ672" s="3"/>
      <c r="BR672" s="4"/>
      <c r="BS672" s="3"/>
      <c r="BT672" s="4"/>
      <c r="BU672" s="3"/>
      <c r="BV672" s="4"/>
      <c r="BW672" s="3"/>
      <c r="BX672" s="4"/>
      <c r="BY672" s="3"/>
      <c r="BZ672" s="4"/>
      <c r="CA672" s="3"/>
      <c r="CB672" s="4"/>
      <c r="CC672" s="3"/>
      <c r="CD672" s="4"/>
    </row>
    <row r="673">
      <c r="A673" s="3"/>
      <c r="B673" s="4"/>
      <c r="C673" s="3"/>
      <c r="D673" s="4"/>
      <c r="E673" s="3"/>
      <c r="F673" s="4"/>
      <c r="G673" s="3"/>
      <c r="H673" s="4"/>
      <c r="I673" s="3"/>
      <c r="J673" s="4"/>
      <c r="K673" s="3"/>
      <c r="L673" s="4"/>
      <c r="M673" s="3"/>
      <c r="N673" s="4"/>
      <c r="O673" s="3"/>
      <c r="P673" s="4"/>
      <c r="Q673" s="3"/>
      <c r="R673" s="4"/>
      <c r="S673" s="3"/>
      <c r="T673" s="4"/>
      <c r="U673" s="3"/>
      <c r="V673" s="4"/>
      <c r="W673" s="3"/>
      <c r="X673" s="4"/>
      <c r="Y673" s="3"/>
      <c r="Z673" s="4"/>
      <c r="AA673" s="3"/>
      <c r="AB673" s="4"/>
      <c r="AC673" s="3"/>
      <c r="AD673" s="4"/>
      <c r="AE673" s="3"/>
      <c r="AF673" s="4"/>
      <c r="AG673" s="3"/>
      <c r="AH673" s="4"/>
      <c r="AI673" s="3"/>
      <c r="AJ673" s="4"/>
      <c r="AK673" s="3"/>
      <c r="AL673" s="4"/>
      <c r="AM673" s="3"/>
      <c r="AN673" s="4"/>
      <c r="AO673" s="3"/>
      <c r="AP673" s="4"/>
      <c r="AQ673" s="3"/>
      <c r="AR673" s="4"/>
      <c r="AS673" s="3"/>
      <c r="AT673" s="4"/>
      <c r="AU673" s="3"/>
      <c r="AV673" s="4"/>
      <c r="AW673" s="3"/>
      <c r="AX673" s="4"/>
      <c r="AY673" s="3"/>
      <c r="AZ673" s="4"/>
      <c r="BA673" s="3"/>
      <c r="BB673" s="4"/>
      <c r="BC673" s="3"/>
      <c r="BD673" s="4"/>
      <c r="BE673" s="3"/>
      <c r="BF673" s="4"/>
      <c r="BG673" s="3"/>
      <c r="BH673" s="4"/>
      <c r="BI673" s="3"/>
      <c r="BJ673" s="4"/>
      <c r="BK673" s="3"/>
      <c r="BL673" s="4"/>
      <c r="BM673" s="3"/>
      <c r="BN673" s="4"/>
      <c r="BO673" s="3"/>
      <c r="BP673" s="4"/>
      <c r="BQ673" s="3"/>
      <c r="BR673" s="4"/>
      <c r="BS673" s="3"/>
      <c r="BT673" s="4"/>
      <c r="BU673" s="3"/>
      <c r="BV673" s="4"/>
      <c r="BW673" s="3"/>
      <c r="BX673" s="4"/>
      <c r="BY673" s="3"/>
      <c r="BZ673" s="4"/>
      <c r="CA673" s="3"/>
      <c r="CB673" s="4"/>
      <c r="CC673" s="3"/>
      <c r="CD673" s="4"/>
    </row>
    <row r="674">
      <c r="A674" s="3"/>
      <c r="B674" s="4"/>
      <c r="C674" s="3"/>
      <c r="D674" s="4"/>
      <c r="E674" s="3"/>
      <c r="F674" s="4"/>
      <c r="G674" s="3"/>
      <c r="H674" s="4"/>
      <c r="I674" s="3"/>
      <c r="J674" s="4"/>
      <c r="K674" s="3"/>
      <c r="L674" s="4"/>
      <c r="M674" s="3"/>
      <c r="N674" s="4"/>
      <c r="O674" s="3"/>
      <c r="P674" s="4"/>
      <c r="Q674" s="3"/>
      <c r="R674" s="4"/>
      <c r="S674" s="3"/>
      <c r="T674" s="4"/>
      <c r="U674" s="3"/>
      <c r="V674" s="4"/>
      <c r="W674" s="3"/>
      <c r="X674" s="4"/>
      <c r="Y674" s="3"/>
      <c r="Z674" s="4"/>
      <c r="AA674" s="3"/>
      <c r="AB674" s="4"/>
      <c r="AC674" s="3"/>
      <c r="AD674" s="4"/>
      <c r="AE674" s="3"/>
      <c r="AF674" s="4"/>
      <c r="AG674" s="3"/>
      <c r="AH674" s="4"/>
      <c r="AI674" s="3"/>
      <c r="AJ674" s="4"/>
      <c r="AK674" s="3"/>
      <c r="AL674" s="4"/>
      <c r="AM674" s="3"/>
      <c r="AN674" s="4"/>
      <c r="AO674" s="3"/>
      <c r="AP674" s="4"/>
      <c r="AQ674" s="3"/>
      <c r="AR674" s="4"/>
      <c r="AS674" s="3"/>
      <c r="AT674" s="4"/>
      <c r="AU674" s="3"/>
      <c r="AV674" s="4"/>
      <c r="AW674" s="3"/>
      <c r="AX674" s="4"/>
      <c r="AY674" s="3"/>
      <c r="AZ674" s="4"/>
      <c r="BA674" s="3"/>
      <c r="BB674" s="4"/>
      <c r="BC674" s="3"/>
      <c r="BD674" s="4"/>
      <c r="BE674" s="3"/>
      <c r="BF674" s="4"/>
      <c r="BG674" s="3"/>
      <c r="BH674" s="4"/>
      <c r="BI674" s="3"/>
      <c r="BJ674" s="4"/>
      <c r="BK674" s="3"/>
      <c r="BL674" s="4"/>
      <c r="BM674" s="3"/>
      <c r="BN674" s="4"/>
      <c r="BO674" s="3"/>
      <c r="BP674" s="4"/>
      <c r="BQ674" s="3"/>
      <c r="BR674" s="4"/>
      <c r="BS674" s="3"/>
      <c r="BT674" s="4"/>
      <c r="BU674" s="3"/>
      <c r="BV674" s="4"/>
      <c r="BW674" s="3"/>
      <c r="BX674" s="4"/>
      <c r="BY674" s="3"/>
      <c r="BZ674" s="4"/>
      <c r="CA674" s="3"/>
      <c r="CB674" s="4"/>
      <c r="CC674" s="3"/>
      <c r="CD674" s="4"/>
    </row>
    <row r="675">
      <c r="A675" s="3"/>
      <c r="B675" s="4"/>
      <c r="C675" s="3"/>
      <c r="D675" s="4"/>
      <c r="E675" s="3"/>
      <c r="F675" s="4"/>
      <c r="G675" s="3"/>
      <c r="H675" s="4"/>
      <c r="I675" s="3"/>
      <c r="J675" s="4"/>
      <c r="K675" s="3"/>
      <c r="L675" s="4"/>
      <c r="M675" s="3"/>
      <c r="N675" s="4"/>
      <c r="O675" s="3"/>
      <c r="P675" s="4"/>
      <c r="Q675" s="3"/>
      <c r="R675" s="4"/>
      <c r="S675" s="3"/>
      <c r="T675" s="4"/>
      <c r="U675" s="3"/>
      <c r="V675" s="4"/>
      <c r="W675" s="3"/>
      <c r="X675" s="4"/>
      <c r="Y675" s="3"/>
      <c r="Z675" s="4"/>
      <c r="AA675" s="3"/>
      <c r="AB675" s="4"/>
      <c r="AC675" s="3"/>
      <c r="AD675" s="4"/>
      <c r="AE675" s="3"/>
      <c r="AF675" s="4"/>
      <c r="AG675" s="3"/>
      <c r="AH675" s="4"/>
      <c r="AI675" s="3"/>
      <c r="AJ675" s="4"/>
      <c r="AK675" s="3"/>
      <c r="AL675" s="4"/>
      <c r="AM675" s="3"/>
      <c r="AN675" s="4"/>
      <c r="AO675" s="3"/>
      <c r="AP675" s="4"/>
      <c r="AQ675" s="3"/>
      <c r="AR675" s="4"/>
      <c r="AS675" s="3"/>
      <c r="AT675" s="4"/>
      <c r="AU675" s="3"/>
      <c r="AV675" s="4"/>
      <c r="AW675" s="3"/>
      <c r="AX675" s="4"/>
      <c r="AY675" s="3"/>
      <c r="AZ675" s="4"/>
      <c r="BA675" s="3"/>
      <c r="BB675" s="4"/>
      <c r="BC675" s="3"/>
      <c r="BD675" s="4"/>
      <c r="BE675" s="3"/>
      <c r="BF675" s="4"/>
      <c r="BG675" s="3"/>
      <c r="BH675" s="4"/>
      <c r="BI675" s="3"/>
      <c r="BJ675" s="4"/>
      <c r="BK675" s="3"/>
      <c r="BL675" s="4"/>
      <c r="BM675" s="3"/>
      <c r="BN675" s="4"/>
      <c r="BO675" s="3"/>
      <c r="BP675" s="4"/>
      <c r="BQ675" s="3"/>
      <c r="BR675" s="4"/>
      <c r="BS675" s="3"/>
      <c r="BT675" s="4"/>
      <c r="BU675" s="3"/>
      <c r="BV675" s="4"/>
      <c r="BW675" s="3"/>
      <c r="BX675" s="4"/>
      <c r="BY675" s="3"/>
      <c r="BZ675" s="4"/>
      <c r="CA675" s="3"/>
      <c r="CB675" s="4"/>
      <c r="CC675" s="3"/>
      <c r="CD675" s="4"/>
    </row>
    <row r="676">
      <c r="A676" s="3"/>
      <c r="B676" s="4"/>
      <c r="C676" s="3"/>
      <c r="D676" s="4"/>
      <c r="E676" s="3"/>
      <c r="F676" s="4"/>
      <c r="G676" s="3"/>
      <c r="H676" s="4"/>
      <c r="I676" s="3"/>
      <c r="J676" s="4"/>
      <c r="K676" s="3"/>
      <c r="L676" s="4"/>
      <c r="M676" s="3"/>
      <c r="N676" s="4"/>
      <c r="O676" s="3"/>
      <c r="P676" s="4"/>
      <c r="Q676" s="3"/>
      <c r="R676" s="4"/>
      <c r="S676" s="3"/>
      <c r="T676" s="4"/>
      <c r="U676" s="3"/>
      <c r="V676" s="4"/>
      <c r="W676" s="3"/>
      <c r="X676" s="4"/>
      <c r="Y676" s="3"/>
      <c r="Z676" s="4"/>
      <c r="AA676" s="3"/>
      <c r="AB676" s="4"/>
      <c r="AC676" s="3"/>
      <c r="AD676" s="4"/>
      <c r="AE676" s="3"/>
      <c r="AF676" s="4"/>
      <c r="AG676" s="3"/>
      <c r="AH676" s="4"/>
      <c r="AI676" s="3"/>
      <c r="AJ676" s="4"/>
      <c r="AK676" s="3"/>
      <c r="AL676" s="4"/>
      <c r="AM676" s="3"/>
      <c r="AN676" s="4"/>
      <c r="AO676" s="3"/>
      <c r="AP676" s="4"/>
      <c r="AQ676" s="3"/>
      <c r="AR676" s="4"/>
      <c r="AS676" s="3"/>
      <c r="AT676" s="4"/>
      <c r="AU676" s="3"/>
      <c r="AV676" s="4"/>
      <c r="AW676" s="3"/>
      <c r="AX676" s="4"/>
      <c r="AY676" s="3"/>
      <c r="AZ676" s="4"/>
      <c r="BA676" s="3"/>
      <c r="BB676" s="4"/>
      <c r="BC676" s="3"/>
      <c r="BD676" s="4"/>
      <c r="BE676" s="3"/>
      <c r="BF676" s="4"/>
      <c r="BG676" s="3"/>
      <c r="BH676" s="4"/>
      <c r="BI676" s="3"/>
      <c r="BJ676" s="4"/>
      <c r="BK676" s="3"/>
      <c r="BL676" s="4"/>
      <c r="BM676" s="3"/>
      <c r="BN676" s="4"/>
      <c r="BO676" s="3"/>
      <c r="BP676" s="4"/>
      <c r="BQ676" s="3"/>
      <c r="BR676" s="4"/>
      <c r="BS676" s="3"/>
      <c r="BT676" s="4"/>
      <c r="BU676" s="3"/>
      <c r="BV676" s="4"/>
      <c r="BW676" s="3"/>
      <c r="BX676" s="4"/>
      <c r="BY676" s="3"/>
      <c r="BZ676" s="4"/>
      <c r="CA676" s="3"/>
      <c r="CB676" s="4"/>
      <c r="CC676" s="3"/>
      <c r="CD676" s="4"/>
    </row>
    <row r="677">
      <c r="A677" s="3"/>
      <c r="B677" s="4"/>
      <c r="C677" s="3"/>
      <c r="D677" s="4"/>
      <c r="E677" s="3"/>
      <c r="F677" s="4"/>
      <c r="G677" s="3"/>
      <c r="H677" s="4"/>
      <c r="I677" s="3"/>
      <c r="J677" s="4"/>
      <c r="K677" s="3"/>
      <c r="L677" s="4"/>
      <c r="M677" s="3"/>
      <c r="N677" s="4"/>
      <c r="O677" s="3"/>
      <c r="P677" s="4"/>
      <c r="Q677" s="3"/>
      <c r="R677" s="4"/>
      <c r="S677" s="3"/>
      <c r="T677" s="4"/>
      <c r="U677" s="3"/>
      <c r="V677" s="4"/>
      <c r="W677" s="3"/>
      <c r="X677" s="4"/>
      <c r="Y677" s="3"/>
      <c r="Z677" s="4"/>
      <c r="AA677" s="3"/>
      <c r="AB677" s="4"/>
      <c r="AC677" s="3"/>
      <c r="AD677" s="4"/>
      <c r="AE677" s="3"/>
      <c r="AF677" s="4"/>
      <c r="AG677" s="3"/>
      <c r="AH677" s="4"/>
      <c r="AI677" s="3"/>
      <c r="AJ677" s="4"/>
      <c r="AK677" s="3"/>
      <c r="AL677" s="4"/>
      <c r="AM677" s="3"/>
      <c r="AN677" s="4"/>
      <c r="AO677" s="3"/>
      <c r="AP677" s="4"/>
      <c r="AQ677" s="3"/>
      <c r="AR677" s="4"/>
      <c r="AS677" s="3"/>
      <c r="AT677" s="4"/>
      <c r="AU677" s="3"/>
      <c r="AV677" s="4"/>
      <c r="AW677" s="3"/>
      <c r="AX677" s="4"/>
      <c r="AY677" s="3"/>
      <c r="AZ677" s="4"/>
      <c r="BA677" s="3"/>
      <c r="BB677" s="4"/>
      <c r="BC677" s="3"/>
      <c r="BD677" s="4"/>
      <c r="BE677" s="3"/>
      <c r="BF677" s="4"/>
      <c r="BG677" s="3"/>
      <c r="BH677" s="4"/>
      <c r="BI677" s="3"/>
      <c r="BJ677" s="4"/>
      <c r="BK677" s="3"/>
      <c r="BL677" s="4"/>
      <c r="BM677" s="3"/>
      <c r="BN677" s="4"/>
      <c r="BO677" s="3"/>
      <c r="BP677" s="4"/>
      <c r="BQ677" s="3"/>
      <c r="BR677" s="4"/>
      <c r="BS677" s="3"/>
      <c r="BT677" s="4"/>
      <c r="BU677" s="3"/>
      <c r="BV677" s="4"/>
      <c r="BW677" s="3"/>
      <c r="BX677" s="4"/>
      <c r="BY677" s="3"/>
      <c r="BZ677" s="4"/>
      <c r="CA677" s="3"/>
      <c r="CB677" s="4"/>
      <c r="CC677" s="3"/>
      <c r="CD677" s="4"/>
    </row>
    <row r="678">
      <c r="A678" s="3"/>
      <c r="B678" s="4"/>
      <c r="C678" s="3"/>
      <c r="D678" s="4"/>
      <c r="E678" s="3"/>
      <c r="F678" s="4"/>
      <c r="G678" s="3"/>
      <c r="H678" s="4"/>
      <c r="I678" s="3"/>
      <c r="J678" s="4"/>
      <c r="K678" s="3"/>
      <c r="L678" s="4"/>
      <c r="M678" s="3"/>
      <c r="N678" s="4"/>
      <c r="O678" s="3"/>
      <c r="P678" s="4"/>
      <c r="Q678" s="3"/>
      <c r="R678" s="4"/>
      <c r="S678" s="3"/>
      <c r="T678" s="4"/>
      <c r="U678" s="3"/>
      <c r="V678" s="4"/>
      <c r="W678" s="3"/>
      <c r="X678" s="4"/>
      <c r="Y678" s="3"/>
      <c r="Z678" s="4"/>
      <c r="AA678" s="3"/>
      <c r="AB678" s="4"/>
      <c r="AC678" s="3"/>
      <c r="AD678" s="4"/>
      <c r="AE678" s="3"/>
      <c r="AF678" s="4"/>
      <c r="AG678" s="3"/>
      <c r="AH678" s="4"/>
      <c r="AI678" s="3"/>
      <c r="AJ678" s="4"/>
      <c r="AK678" s="3"/>
      <c r="AL678" s="4"/>
      <c r="AM678" s="3"/>
      <c r="AN678" s="4"/>
      <c r="AO678" s="3"/>
      <c r="AP678" s="4"/>
      <c r="AQ678" s="3"/>
      <c r="AR678" s="4"/>
      <c r="AS678" s="3"/>
      <c r="AT678" s="4"/>
      <c r="AU678" s="3"/>
      <c r="AV678" s="4"/>
      <c r="AW678" s="3"/>
      <c r="AX678" s="4"/>
      <c r="AY678" s="3"/>
      <c r="AZ678" s="4"/>
      <c r="BA678" s="3"/>
      <c r="BB678" s="4"/>
      <c r="BC678" s="3"/>
      <c r="BD678" s="4"/>
      <c r="BE678" s="3"/>
      <c r="BF678" s="4"/>
      <c r="BG678" s="3"/>
      <c r="BH678" s="4"/>
      <c r="BI678" s="3"/>
      <c r="BJ678" s="4"/>
      <c r="BK678" s="3"/>
      <c r="BL678" s="4"/>
      <c r="BM678" s="3"/>
      <c r="BN678" s="4"/>
      <c r="BO678" s="3"/>
      <c r="BP678" s="4"/>
      <c r="BQ678" s="3"/>
      <c r="BR678" s="4"/>
      <c r="BS678" s="3"/>
      <c r="BT678" s="4"/>
      <c r="BU678" s="3"/>
      <c r="BV678" s="4"/>
      <c r="BW678" s="3"/>
      <c r="BX678" s="4"/>
      <c r="BY678" s="3"/>
      <c r="BZ678" s="4"/>
      <c r="CA678" s="3"/>
      <c r="CB678" s="4"/>
      <c r="CC678" s="3"/>
      <c r="CD678" s="4"/>
    </row>
    <row r="679">
      <c r="A679" s="3"/>
      <c r="B679" s="4"/>
      <c r="C679" s="3"/>
      <c r="D679" s="4"/>
      <c r="E679" s="3"/>
      <c r="F679" s="4"/>
      <c r="G679" s="3"/>
      <c r="H679" s="4"/>
      <c r="I679" s="3"/>
      <c r="J679" s="4"/>
      <c r="K679" s="3"/>
      <c r="L679" s="4"/>
      <c r="M679" s="3"/>
      <c r="N679" s="4"/>
      <c r="O679" s="3"/>
      <c r="P679" s="4"/>
      <c r="Q679" s="3"/>
      <c r="R679" s="4"/>
      <c r="S679" s="3"/>
      <c r="T679" s="4"/>
      <c r="U679" s="3"/>
      <c r="V679" s="4"/>
      <c r="W679" s="3"/>
      <c r="X679" s="4"/>
      <c r="Y679" s="3"/>
      <c r="Z679" s="4"/>
      <c r="AA679" s="3"/>
      <c r="AB679" s="4"/>
      <c r="AC679" s="3"/>
      <c r="AD679" s="4"/>
      <c r="AE679" s="3"/>
      <c r="AF679" s="4"/>
      <c r="AG679" s="3"/>
      <c r="AH679" s="4"/>
      <c r="AI679" s="3"/>
      <c r="AJ679" s="4"/>
      <c r="AK679" s="3"/>
      <c r="AL679" s="4"/>
      <c r="AM679" s="3"/>
      <c r="AN679" s="4"/>
      <c r="AO679" s="3"/>
      <c r="AP679" s="4"/>
      <c r="AQ679" s="3"/>
      <c r="AR679" s="4"/>
      <c r="AS679" s="3"/>
      <c r="AT679" s="4"/>
      <c r="AU679" s="3"/>
      <c r="AV679" s="4"/>
      <c r="AW679" s="3"/>
      <c r="AX679" s="4"/>
      <c r="AY679" s="3"/>
      <c r="AZ679" s="4"/>
      <c r="BA679" s="3"/>
      <c r="BB679" s="4"/>
      <c r="BC679" s="3"/>
      <c r="BD679" s="4"/>
      <c r="BE679" s="3"/>
      <c r="BF679" s="4"/>
      <c r="BG679" s="3"/>
      <c r="BH679" s="4"/>
      <c r="BI679" s="3"/>
      <c r="BJ679" s="4"/>
      <c r="BK679" s="3"/>
      <c r="BL679" s="4"/>
      <c r="BM679" s="3"/>
      <c r="BN679" s="4"/>
      <c r="BO679" s="3"/>
      <c r="BP679" s="4"/>
      <c r="BQ679" s="3"/>
      <c r="BR679" s="4"/>
      <c r="BS679" s="3"/>
      <c r="BT679" s="4"/>
      <c r="BU679" s="3"/>
      <c r="BV679" s="4"/>
      <c r="BW679" s="3"/>
      <c r="BX679" s="4"/>
      <c r="BY679" s="3"/>
      <c r="BZ679" s="4"/>
      <c r="CA679" s="3"/>
      <c r="CB679" s="4"/>
      <c r="CC679" s="3"/>
      <c r="CD679" s="4"/>
    </row>
    <row r="680">
      <c r="A680" s="3"/>
      <c r="B680" s="4"/>
      <c r="C680" s="3"/>
      <c r="D680" s="4"/>
      <c r="E680" s="3"/>
      <c r="F680" s="4"/>
      <c r="G680" s="3"/>
      <c r="H680" s="4"/>
      <c r="I680" s="3"/>
      <c r="J680" s="4"/>
      <c r="K680" s="3"/>
      <c r="L680" s="4"/>
      <c r="M680" s="3"/>
      <c r="N680" s="4"/>
      <c r="O680" s="3"/>
      <c r="P680" s="4"/>
      <c r="Q680" s="3"/>
      <c r="R680" s="4"/>
      <c r="S680" s="3"/>
      <c r="T680" s="4"/>
      <c r="U680" s="3"/>
      <c r="V680" s="4"/>
      <c r="W680" s="3"/>
      <c r="X680" s="4"/>
      <c r="Y680" s="3"/>
      <c r="Z680" s="4"/>
      <c r="AA680" s="3"/>
      <c r="AB680" s="4"/>
      <c r="AC680" s="3"/>
      <c r="AD680" s="4"/>
      <c r="AE680" s="3"/>
      <c r="AF680" s="4"/>
      <c r="AG680" s="3"/>
      <c r="AH680" s="4"/>
      <c r="AI680" s="3"/>
      <c r="AJ680" s="4"/>
      <c r="AK680" s="3"/>
      <c r="AL680" s="4"/>
      <c r="AM680" s="3"/>
      <c r="AN680" s="4"/>
      <c r="AO680" s="3"/>
      <c r="AP680" s="4"/>
      <c r="AQ680" s="3"/>
      <c r="AR680" s="4"/>
      <c r="AS680" s="3"/>
      <c r="AT680" s="4"/>
      <c r="AU680" s="3"/>
      <c r="AV680" s="4"/>
      <c r="AW680" s="3"/>
      <c r="AX680" s="4"/>
      <c r="AY680" s="3"/>
      <c r="AZ680" s="4"/>
      <c r="BA680" s="3"/>
      <c r="BB680" s="4"/>
      <c r="BC680" s="3"/>
      <c r="BD680" s="4"/>
      <c r="BE680" s="3"/>
      <c r="BF680" s="4"/>
      <c r="BG680" s="3"/>
      <c r="BH680" s="4"/>
      <c r="BI680" s="3"/>
      <c r="BJ680" s="4"/>
      <c r="BK680" s="3"/>
      <c r="BL680" s="4"/>
      <c r="BM680" s="3"/>
      <c r="BN680" s="4"/>
      <c r="BO680" s="3"/>
      <c r="BP680" s="4"/>
      <c r="BQ680" s="3"/>
      <c r="BR680" s="4"/>
      <c r="BS680" s="3"/>
      <c r="BT680" s="4"/>
      <c r="BU680" s="3"/>
      <c r="BV680" s="4"/>
      <c r="BW680" s="3"/>
      <c r="BX680" s="4"/>
      <c r="BY680" s="3"/>
      <c r="BZ680" s="4"/>
      <c r="CA680" s="3"/>
      <c r="CB680" s="4"/>
      <c r="CC680" s="3"/>
      <c r="CD680" s="4"/>
    </row>
    <row r="681">
      <c r="A681" s="3"/>
      <c r="B681" s="4"/>
      <c r="C681" s="3"/>
      <c r="D681" s="4"/>
      <c r="E681" s="3"/>
      <c r="F681" s="4"/>
      <c r="G681" s="3"/>
      <c r="H681" s="4"/>
      <c r="I681" s="3"/>
      <c r="J681" s="4"/>
      <c r="K681" s="3"/>
      <c r="L681" s="4"/>
      <c r="M681" s="3"/>
      <c r="N681" s="4"/>
      <c r="O681" s="3"/>
      <c r="P681" s="4"/>
      <c r="Q681" s="3"/>
      <c r="R681" s="4"/>
      <c r="S681" s="3"/>
      <c r="T681" s="4"/>
      <c r="U681" s="3"/>
      <c r="V681" s="4"/>
      <c r="W681" s="3"/>
      <c r="X681" s="4"/>
      <c r="Y681" s="3"/>
      <c r="Z681" s="4"/>
      <c r="AA681" s="3"/>
      <c r="AB681" s="4"/>
      <c r="AC681" s="3"/>
      <c r="AD681" s="4"/>
      <c r="AE681" s="3"/>
      <c r="AF681" s="4"/>
      <c r="AG681" s="3"/>
      <c r="AH681" s="4"/>
      <c r="AI681" s="3"/>
      <c r="AJ681" s="4"/>
      <c r="AK681" s="3"/>
      <c r="AL681" s="4"/>
      <c r="AM681" s="3"/>
      <c r="AN681" s="4"/>
      <c r="AO681" s="3"/>
      <c r="AP681" s="4"/>
      <c r="AQ681" s="3"/>
      <c r="AR681" s="4"/>
      <c r="AS681" s="3"/>
      <c r="AT681" s="4"/>
      <c r="AU681" s="3"/>
      <c r="AV681" s="4"/>
      <c r="AW681" s="3"/>
      <c r="AX681" s="4"/>
      <c r="AY681" s="3"/>
      <c r="AZ681" s="4"/>
      <c r="BA681" s="3"/>
      <c r="BB681" s="4"/>
      <c r="BC681" s="3"/>
      <c r="BD681" s="4"/>
      <c r="BE681" s="3"/>
      <c r="BF681" s="4"/>
      <c r="BG681" s="3"/>
      <c r="BH681" s="4"/>
      <c r="BI681" s="3"/>
      <c r="BJ681" s="4"/>
      <c r="BK681" s="3"/>
      <c r="BL681" s="4"/>
      <c r="BM681" s="3"/>
      <c r="BN681" s="4"/>
      <c r="BO681" s="3"/>
      <c r="BP681" s="4"/>
      <c r="BQ681" s="3"/>
      <c r="BR681" s="4"/>
      <c r="BS681" s="3"/>
      <c r="BT681" s="4"/>
      <c r="BU681" s="3"/>
      <c r="BV681" s="4"/>
      <c r="BW681" s="3"/>
      <c r="BX681" s="4"/>
      <c r="BY681" s="3"/>
      <c r="BZ681" s="4"/>
      <c r="CA681" s="3"/>
      <c r="CB681" s="4"/>
      <c r="CC681" s="3"/>
      <c r="CD681" s="4"/>
    </row>
    <row r="682">
      <c r="A682" s="3"/>
      <c r="B682" s="4"/>
      <c r="C682" s="3"/>
      <c r="D682" s="4"/>
      <c r="E682" s="3"/>
      <c r="F682" s="4"/>
      <c r="G682" s="3"/>
      <c r="H682" s="4"/>
      <c r="I682" s="3"/>
      <c r="J682" s="4"/>
      <c r="K682" s="3"/>
      <c r="L682" s="4"/>
      <c r="M682" s="3"/>
      <c r="N682" s="4"/>
      <c r="O682" s="3"/>
      <c r="P682" s="4"/>
      <c r="Q682" s="3"/>
      <c r="R682" s="4"/>
      <c r="S682" s="3"/>
      <c r="T682" s="4"/>
      <c r="U682" s="3"/>
      <c r="V682" s="4"/>
      <c r="W682" s="3"/>
      <c r="X682" s="4"/>
      <c r="Y682" s="3"/>
      <c r="Z682" s="4"/>
      <c r="AA682" s="3"/>
      <c r="AB682" s="4"/>
      <c r="AC682" s="3"/>
      <c r="AD682" s="4"/>
      <c r="AE682" s="3"/>
      <c r="AF682" s="4"/>
      <c r="AG682" s="3"/>
      <c r="AH682" s="4"/>
      <c r="AI682" s="3"/>
      <c r="AJ682" s="4"/>
      <c r="AK682" s="3"/>
      <c r="AL682" s="4"/>
      <c r="AM682" s="3"/>
      <c r="AN682" s="4"/>
      <c r="AO682" s="3"/>
      <c r="AP682" s="4"/>
      <c r="AQ682" s="3"/>
      <c r="AR682" s="4"/>
      <c r="AS682" s="3"/>
      <c r="AT682" s="4"/>
      <c r="AU682" s="3"/>
      <c r="AV682" s="4"/>
      <c r="AW682" s="3"/>
      <c r="AX682" s="4"/>
      <c r="AY682" s="3"/>
      <c r="AZ682" s="4"/>
      <c r="BA682" s="3"/>
      <c r="BB682" s="4"/>
      <c r="BC682" s="3"/>
      <c r="BD682" s="4"/>
      <c r="BE682" s="3"/>
      <c r="BF682" s="4"/>
      <c r="BG682" s="3"/>
      <c r="BH682" s="4"/>
      <c r="BI682" s="3"/>
      <c r="BJ682" s="4"/>
      <c r="BK682" s="3"/>
      <c r="BL682" s="4"/>
      <c r="BM682" s="3"/>
      <c r="BN682" s="4"/>
      <c r="BO682" s="3"/>
      <c r="BP682" s="4"/>
      <c r="BQ682" s="3"/>
      <c r="BR682" s="4"/>
      <c r="BS682" s="3"/>
      <c r="BT682" s="4"/>
      <c r="BU682" s="3"/>
      <c r="BV682" s="4"/>
      <c r="BW682" s="3"/>
      <c r="BX682" s="4"/>
      <c r="BY682" s="3"/>
      <c r="BZ682" s="4"/>
      <c r="CA682" s="3"/>
      <c r="CB682" s="4"/>
      <c r="CC682" s="3"/>
      <c r="CD682" s="4"/>
    </row>
    <row r="683">
      <c r="A683" s="3"/>
      <c r="B683" s="4"/>
      <c r="C683" s="3"/>
      <c r="D683" s="4"/>
      <c r="E683" s="3"/>
      <c r="F683" s="4"/>
      <c r="G683" s="3"/>
      <c r="H683" s="4"/>
      <c r="I683" s="3"/>
      <c r="J683" s="4"/>
      <c r="K683" s="3"/>
      <c r="L683" s="4"/>
      <c r="M683" s="3"/>
      <c r="N683" s="4"/>
      <c r="O683" s="3"/>
      <c r="P683" s="4"/>
      <c r="Q683" s="3"/>
      <c r="R683" s="4"/>
      <c r="S683" s="3"/>
      <c r="T683" s="4"/>
      <c r="U683" s="3"/>
      <c r="V683" s="4"/>
      <c r="W683" s="3"/>
      <c r="X683" s="4"/>
      <c r="Y683" s="3"/>
      <c r="Z683" s="4"/>
      <c r="AA683" s="3"/>
      <c r="AB683" s="4"/>
      <c r="AC683" s="3"/>
      <c r="AD683" s="4"/>
      <c r="AE683" s="3"/>
      <c r="AF683" s="4"/>
      <c r="AG683" s="3"/>
      <c r="AH683" s="4"/>
      <c r="AI683" s="3"/>
      <c r="AJ683" s="4"/>
      <c r="AK683" s="3"/>
      <c r="AL683" s="4"/>
      <c r="AM683" s="3"/>
      <c r="AN683" s="4"/>
      <c r="AO683" s="3"/>
      <c r="AP683" s="4"/>
      <c r="AQ683" s="3"/>
      <c r="AR683" s="4"/>
      <c r="AS683" s="3"/>
      <c r="AT683" s="4"/>
      <c r="AU683" s="3"/>
      <c r="AV683" s="4"/>
      <c r="AW683" s="3"/>
      <c r="AX683" s="4"/>
      <c r="AY683" s="3"/>
      <c r="AZ683" s="4"/>
      <c r="BA683" s="3"/>
      <c r="BB683" s="4"/>
      <c r="BC683" s="3"/>
      <c r="BD683" s="4"/>
      <c r="BE683" s="3"/>
      <c r="BF683" s="4"/>
      <c r="BG683" s="3"/>
      <c r="BH683" s="4"/>
      <c r="BI683" s="3"/>
      <c r="BJ683" s="4"/>
      <c r="BK683" s="3"/>
      <c r="BL683" s="4"/>
      <c r="BM683" s="3"/>
      <c r="BN683" s="4"/>
      <c r="BO683" s="3"/>
      <c r="BP683" s="4"/>
      <c r="BQ683" s="3"/>
      <c r="BR683" s="4"/>
      <c r="BS683" s="3"/>
      <c r="BT683" s="4"/>
      <c r="BU683" s="3"/>
      <c r="BV683" s="4"/>
      <c r="BW683" s="3"/>
      <c r="BX683" s="4"/>
      <c r="BY683" s="3"/>
      <c r="BZ683" s="4"/>
      <c r="CA683" s="3"/>
      <c r="CB683" s="4"/>
      <c r="CC683" s="3"/>
      <c r="CD683" s="4"/>
    </row>
    <row r="684">
      <c r="A684" s="3"/>
      <c r="B684" s="4"/>
      <c r="C684" s="3"/>
      <c r="D684" s="4"/>
      <c r="E684" s="3"/>
      <c r="F684" s="4"/>
      <c r="G684" s="3"/>
      <c r="H684" s="4"/>
      <c r="I684" s="3"/>
      <c r="J684" s="4"/>
      <c r="K684" s="3"/>
      <c r="L684" s="4"/>
      <c r="M684" s="3"/>
      <c r="N684" s="4"/>
      <c r="O684" s="3"/>
      <c r="P684" s="4"/>
      <c r="Q684" s="3"/>
      <c r="R684" s="4"/>
      <c r="S684" s="3"/>
      <c r="T684" s="4"/>
      <c r="U684" s="3"/>
      <c r="V684" s="4"/>
      <c r="W684" s="3"/>
      <c r="X684" s="4"/>
      <c r="Y684" s="3"/>
      <c r="Z684" s="4"/>
      <c r="AA684" s="3"/>
      <c r="AB684" s="4"/>
      <c r="AC684" s="3"/>
      <c r="AD684" s="4"/>
      <c r="AE684" s="3"/>
      <c r="AF684" s="4"/>
      <c r="AG684" s="3"/>
      <c r="AH684" s="4"/>
      <c r="AI684" s="3"/>
      <c r="AJ684" s="4"/>
      <c r="AK684" s="3"/>
      <c r="AL684" s="4"/>
      <c r="AM684" s="3"/>
      <c r="AN684" s="4"/>
      <c r="AO684" s="3"/>
      <c r="AP684" s="4"/>
      <c r="AQ684" s="3"/>
      <c r="AR684" s="4"/>
      <c r="AS684" s="3"/>
      <c r="AT684" s="4"/>
      <c r="AU684" s="3"/>
      <c r="AV684" s="4"/>
      <c r="AW684" s="3"/>
      <c r="AX684" s="4"/>
      <c r="AY684" s="3"/>
      <c r="AZ684" s="4"/>
      <c r="BA684" s="3"/>
      <c r="BB684" s="4"/>
      <c r="BC684" s="3"/>
      <c r="BD684" s="4"/>
      <c r="BE684" s="3"/>
      <c r="BF684" s="4"/>
      <c r="BG684" s="3"/>
      <c r="BH684" s="4"/>
      <c r="BI684" s="3"/>
      <c r="BJ684" s="4"/>
      <c r="BK684" s="3"/>
      <c r="BL684" s="4"/>
      <c r="BM684" s="3"/>
      <c r="BN684" s="4"/>
      <c r="BO684" s="3"/>
      <c r="BP684" s="4"/>
      <c r="BQ684" s="3"/>
      <c r="BR684" s="4"/>
      <c r="BS684" s="3"/>
      <c r="BT684" s="4"/>
      <c r="BU684" s="3"/>
      <c r="BV684" s="4"/>
      <c r="BW684" s="3"/>
      <c r="BX684" s="4"/>
      <c r="BY684" s="3"/>
      <c r="BZ684" s="4"/>
      <c r="CA684" s="3"/>
      <c r="CB684" s="4"/>
      <c r="CC684" s="3"/>
      <c r="CD684" s="4"/>
    </row>
    <row r="685">
      <c r="A685" s="3"/>
      <c r="B685" s="4"/>
      <c r="C685" s="3"/>
      <c r="D685" s="4"/>
      <c r="E685" s="3"/>
      <c r="F685" s="4"/>
      <c r="G685" s="3"/>
      <c r="H685" s="4"/>
      <c r="I685" s="3"/>
      <c r="J685" s="4"/>
      <c r="K685" s="3"/>
      <c r="L685" s="4"/>
      <c r="M685" s="3"/>
      <c r="N685" s="4"/>
      <c r="O685" s="3"/>
      <c r="P685" s="4"/>
      <c r="Q685" s="3"/>
      <c r="R685" s="4"/>
      <c r="S685" s="3"/>
      <c r="T685" s="4"/>
      <c r="U685" s="3"/>
      <c r="V685" s="4"/>
      <c r="W685" s="3"/>
      <c r="X685" s="4"/>
      <c r="Y685" s="3"/>
      <c r="Z685" s="4"/>
      <c r="AA685" s="3"/>
      <c r="AB685" s="4"/>
      <c r="AC685" s="3"/>
      <c r="AD685" s="4"/>
      <c r="AE685" s="3"/>
      <c r="AF685" s="4"/>
      <c r="AG685" s="3"/>
      <c r="AH685" s="4"/>
      <c r="AI685" s="3"/>
      <c r="AJ685" s="4"/>
      <c r="AK685" s="3"/>
      <c r="AL685" s="4"/>
      <c r="AM685" s="3"/>
      <c r="AN685" s="4"/>
      <c r="AO685" s="3"/>
      <c r="AP685" s="4"/>
      <c r="AQ685" s="3"/>
      <c r="AR685" s="4"/>
      <c r="AS685" s="3"/>
      <c r="AT685" s="4"/>
      <c r="AU685" s="3"/>
      <c r="AV685" s="4"/>
      <c r="AW685" s="3"/>
      <c r="AX685" s="4"/>
      <c r="AY685" s="3"/>
      <c r="AZ685" s="4"/>
      <c r="BA685" s="3"/>
      <c r="BB685" s="4"/>
      <c r="BC685" s="3"/>
      <c r="BD685" s="4"/>
      <c r="BE685" s="3"/>
      <c r="BF685" s="4"/>
      <c r="BG685" s="3"/>
      <c r="BH685" s="4"/>
      <c r="BI685" s="3"/>
      <c r="BJ685" s="4"/>
      <c r="BK685" s="3"/>
      <c r="BL685" s="4"/>
      <c r="BM685" s="3"/>
      <c r="BN685" s="4"/>
      <c r="BO685" s="3"/>
      <c r="BP685" s="4"/>
      <c r="BQ685" s="3"/>
      <c r="BR685" s="4"/>
      <c r="BS685" s="3"/>
      <c r="BT685" s="4"/>
      <c r="BU685" s="3"/>
      <c r="BV685" s="4"/>
      <c r="BW685" s="3"/>
      <c r="BX685" s="4"/>
      <c r="BY685" s="3"/>
      <c r="BZ685" s="4"/>
      <c r="CA685" s="3"/>
      <c r="CB685" s="4"/>
      <c r="CC685" s="3"/>
      <c r="CD685" s="4"/>
    </row>
    <row r="686">
      <c r="A686" s="3"/>
      <c r="B686" s="4"/>
      <c r="C686" s="3"/>
      <c r="D686" s="4"/>
      <c r="E686" s="3"/>
      <c r="F686" s="4"/>
      <c r="G686" s="3"/>
      <c r="H686" s="4"/>
      <c r="I686" s="3"/>
      <c r="J686" s="4"/>
      <c r="K686" s="3"/>
      <c r="L686" s="4"/>
      <c r="M686" s="3"/>
      <c r="N686" s="4"/>
      <c r="O686" s="3"/>
      <c r="P686" s="4"/>
      <c r="Q686" s="3"/>
      <c r="R686" s="4"/>
      <c r="S686" s="3"/>
      <c r="T686" s="4"/>
      <c r="U686" s="3"/>
      <c r="V686" s="4"/>
      <c r="W686" s="3"/>
      <c r="X686" s="4"/>
      <c r="Y686" s="3"/>
      <c r="Z686" s="4"/>
      <c r="AA686" s="3"/>
      <c r="AB686" s="4"/>
      <c r="AC686" s="3"/>
      <c r="AD686" s="4"/>
      <c r="AE686" s="3"/>
      <c r="AF686" s="4"/>
      <c r="AG686" s="3"/>
      <c r="AH686" s="4"/>
      <c r="AI686" s="3"/>
      <c r="AJ686" s="4"/>
      <c r="AK686" s="3"/>
      <c r="AL686" s="4"/>
      <c r="AM686" s="3"/>
      <c r="AN686" s="4"/>
      <c r="AO686" s="3"/>
      <c r="AP686" s="4"/>
      <c r="AQ686" s="3"/>
      <c r="AR686" s="4"/>
      <c r="AS686" s="3"/>
      <c r="AT686" s="4"/>
      <c r="AU686" s="3"/>
      <c r="AV686" s="4"/>
      <c r="AW686" s="3"/>
      <c r="AX686" s="4"/>
      <c r="AY686" s="3"/>
      <c r="AZ686" s="4"/>
      <c r="BA686" s="3"/>
      <c r="BB686" s="4"/>
      <c r="BC686" s="3"/>
      <c r="BD686" s="4"/>
      <c r="BE686" s="3"/>
      <c r="BF686" s="4"/>
      <c r="BG686" s="3"/>
      <c r="BH686" s="4"/>
      <c r="BI686" s="3"/>
      <c r="BJ686" s="4"/>
      <c r="BK686" s="3"/>
      <c r="BL686" s="4"/>
      <c r="BM686" s="3"/>
      <c r="BN686" s="4"/>
      <c r="BO686" s="3"/>
      <c r="BP686" s="4"/>
      <c r="BQ686" s="3"/>
      <c r="BR686" s="4"/>
      <c r="BS686" s="3"/>
      <c r="BT686" s="4"/>
      <c r="BU686" s="3"/>
      <c r="BV686" s="4"/>
      <c r="BW686" s="3"/>
      <c r="BX686" s="4"/>
      <c r="BY686" s="3"/>
      <c r="BZ686" s="4"/>
      <c r="CA686" s="3"/>
      <c r="CB686" s="4"/>
      <c r="CC686" s="3"/>
      <c r="CD686" s="4"/>
    </row>
    <row r="687">
      <c r="A687" s="3"/>
      <c r="B687" s="4"/>
      <c r="C687" s="3"/>
      <c r="D687" s="4"/>
      <c r="E687" s="3"/>
      <c r="F687" s="4"/>
      <c r="G687" s="3"/>
      <c r="H687" s="4"/>
      <c r="I687" s="3"/>
      <c r="J687" s="4"/>
      <c r="K687" s="3"/>
      <c r="L687" s="4"/>
      <c r="M687" s="3"/>
      <c r="N687" s="4"/>
      <c r="O687" s="3"/>
      <c r="P687" s="4"/>
      <c r="Q687" s="3"/>
      <c r="R687" s="4"/>
      <c r="S687" s="3"/>
      <c r="T687" s="4"/>
      <c r="U687" s="3"/>
      <c r="V687" s="4"/>
      <c r="W687" s="3"/>
      <c r="X687" s="4"/>
      <c r="Y687" s="3"/>
      <c r="Z687" s="4"/>
      <c r="AA687" s="3"/>
      <c r="AB687" s="4"/>
      <c r="AC687" s="3"/>
      <c r="AD687" s="4"/>
      <c r="AE687" s="3"/>
      <c r="AF687" s="4"/>
      <c r="AG687" s="3"/>
      <c r="AH687" s="4"/>
      <c r="AI687" s="3"/>
      <c r="AJ687" s="4"/>
      <c r="AK687" s="3"/>
      <c r="AL687" s="4"/>
      <c r="AM687" s="3"/>
      <c r="AN687" s="4"/>
      <c r="AO687" s="3"/>
      <c r="AP687" s="4"/>
      <c r="AQ687" s="3"/>
      <c r="AR687" s="4"/>
      <c r="AS687" s="3"/>
      <c r="AT687" s="4"/>
      <c r="AU687" s="3"/>
      <c r="AV687" s="4"/>
      <c r="AW687" s="3"/>
      <c r="AX687" s="4"/>
      <c r="AY687" s="3"/>
      <c r="AZ687" s="4"/>
      <c r="BA687" s="3"/>
      <c r="BB687" s="4"/>
      <c r="BC687" s="3"/>
      <c r="BD687" s="4"/>
      <c r="BE687" s="3"/>
      <c r="BF687" s="4"/>
      <c r="BG687" s="3"/>
      <c r="BH687" s="4"/>
      <c r="BI687" s="3"/>
      <c r="BJ687" s="4"/>
      <c r="BK687" s="3"/>
      <c r="BL687" s="4"/>
      <c r="BM687" s="3"/>
      <c r="BN687" s="4"/>
      <c r="BO687" s="3"/>
      <c r="BP687" s="4"/>
      <c r="BQ687" s="3"/>
      <c r="BR687" s="4"/>
      <c r="BS687" s="3"/>
      <c r="BT687" s="4"/>
      <c r="BU687" s="3"/>
      <c r="BV687" s="4"/>
      <c r="BW687" s="3"/>
      <c r="BX687" s="4"/>
      <c r="BY687" s="3"/>
      <c r="BZ687" s="4"/>
      <c r="CA687" s="3"/>
      <c r="CB687" s="4"/>
      <c r="CC687" s="3"/>
      <c r="CD687" s="4"/>
    </row>
    <row r="688">
      <c r="A688" s="3"/>
      <c r="B688" s="4"/>
      <c r="C688" s="3"/>
      <c r="D688" s="4"/>
      <c r="E688" s="3"/>
      <c r="F688" s="4"/>
      <c r="G688" s="3"/>
      <c r="H688" s="4"/>
      <c r="I688" s="3"/>
      <c r="J688" s="4"/>
      <c r="K688" s="3"/>
      <c r="L688" s="4"/>
      <c r="M688" s="3"/>
      <c r="N688" s="4"/>
      <c r="O688" s="3"/>
      <c r="P688" s="4"/>
      <c r="Q688" s="3"/>
      <c r="R688" s="4"/>
      <c r="S688" s="3"/>
      <c r="T688" s="4"/>
      <c r="U688" s="3"/>
      <c r="V688" s="4"/>
      <c r="W688" s="3"/>
      <c r="X688" s="4"/>
      <c r="Y688" s="3"/>
      <c r="Z688" s="4"/>
      <c r="AA688" s="3"/>
      <c r="AB688" s="4"/>
      <c r="AC688" s="3"/>
      <c r="AD688" s="4"/>
      <c r="AE688" s="3"/>
      <c r="AF688" s="4"/>
      <c r="AG688" s="3"/>
      <c r="AH688" s="4"/>
      <c r="AI688" s="3"/>
      <c r="AJ688" s="4"/>
      <c r="AK688" s="3"/>
      <c r="AL688" s="4"/>
      <c r="AM688" s="3"/>
      <c r="AN688" s="4"/>
      <c r="AO688" s="3"/>
      <c r="AP688" s="4"/>
      <c r="AQ688" s="3"/>
      <c r="AR688" s="4"/>
      <c r="AS688" s="3"/>
      <c r="AT688" s="4"/>
      <c r="AU688" s="3"/>
      <c r="AV688" s="4"/>
      <c r="AW688" s="3"/>
      <c r="AX688" s="4"/>
      <c r="AY688" s="3"/>
      <c r="AZ688" s="4"/>
      <c r="BA688" s="3"/>
      <c r="BB688" s="4"/>
      <c r="BC688" s="3"/>
      <c r="BD688" s="4"/>
      <c r="BE688" s="3"/>
      <c r="BF688" s="4"/>
      <c r="BG688" s="3"/>
      <c r="BH688" s="4"/>
      <c r="BI688" s="3"/>
      <c r="BJ688" s="4"/>
      <c r="BK688" s="3"/>
      <c r="BL688" s="4"/>
      <c r="BM688" s="3"/>
      <c r="BN688" s="4"/>
      <c r="BO688" s="3"/>
      <c r="BP688" s="4"/>
      <c r="BQ688" s="3"/>
      <c r="BR688" s="4"/>
      <c r="BS688" s="3"/>
      <c r="BT688" s="4"/>
      <c r="BU688" s="3"/>
      <c r="BV688" s="4"/>
      <c r="BW688" s="3"/>
      <c r="BX688" s="4"/>
      <c r="BY688" s="3"/>
      <c r="BZ688" s="4"/>
      <c r="CA688" s="3"/>
      <c r="CB688" s="4"/>
      <c r="CC688" s="3"/>
      <c r="CD688" s="4"/>
    </row>
    <row r="689">
      <c r="A689" s="3"/>
      <c r="B689" s="4"/>
      <c r="C689" s="3"/>
      <c r="D689" s="4"/>
      <c r="E689" s="3"/>
      <c r="F689" s="4"/>
      <c r="G689" s="3"/>
      <c r="H689" s="4"/>
      <c r="I689" s="3"/>
      <c r="J689" s="4"/>
      <c r="K689" s="3"/>
      <c r="L689" s="4"/>
      <c r="M689" s="3"/>
      <c r="N689" s="4"/>
      <c r="O689" s="3"/>
      <c r="P689" s="4"/>
      <c r="Q689" s="3"/>
      <c r="R689" s="4"/>
      <c r="S689" s="3"/>
      <c r="T689" s="4"/>
      <c r="U689" s="3"/>
      <c r="V689" s="4"/>
      <c r="W689" s="3"/>
      <c r="X689" s="4"/>
      <c r="Y689" s="3"/>
      <c r="Z689" s="4"/>
      <c r="AA689" s="3"/>
      <c r="AB689" s="4"/>
      <c r="AC689" s="3"/>
      <c r="AD689" s="4"/>
      <c r="AE689" s="3"/>
      <c r="AF689" s="4"/>
      <c r="AG689" s="3"/>
      <c r="AH689" s="4"/>
      <c r="AI689" s="3"/>
      <c r="AJ689" s="4"/>
      <c r="AK689" s="3"/>
      <c r="AL689" s="4"/>
      <c r="AM689" s="3"/>
      <c r="AN689" s="4"/>
      <c r="AO689" s="3"/>
      <c r="AP689" s="4"/>
      <c r="AQ689" s="3"/>
      <c r="AR689" s="4"/>
      <c r="AS689" s="3"/>
      <c r="AT689" s="4"/>
      <c r="AU689" s="3"/>
      <c r="AV689" s="4"/>
      <c r="AW689" s="3"/>
      <c r="AX689" s="4"/>
      <c r="AY689" s="3"/>
      <c r="AZ689" s="4"/>
      <c r="BA689" s="3"/>
      <c r="BB689" s="4"/>
      <c r="BC689" s="3"/>
      <c r="BD689" s="4"/>
      <c r="BE689" s="3"/>
      <c r="BF689" s="4"/>
      <c r="BG689" s="3"/>
      <c r="BH689" s="4"/>
      <c r="BI689" s="3"/>
      <c r="BJ689" s="4"/>
      <c r="BK689" s="3"/>
      <c r="BL689" s="4"/>
      <c r="BM689" s="3"/>
      <c r="BN689" s="4"/>
      <c r="BO689" s="3"/>
      <c r="BP689" s="4"/>
      <c r="BQ689" s="3"/>
      <c r="BR689" s="4"/>
      <c r="BS689" s="3"/>
      <c r="BT689" s="4"/>
      <c r="BU689" s="3"/>
      <c r="BV689" s="4"/>
      <c r="BW689" s="3"/>
      <c r="BX689" s="4"/>
      <c r="BY689" s="3"/>
      <c r="BZ689" s="4"/>
      <c r="CA689" s="3"/>
      <c r="CB689" s="4"/>
      <c r="CC689" s="3"/>
      <c r="CD689" s="4"/>
    </row>
    <row r="690">
      <c r="A690" s="3"/>
      <c r="B690" s="4"/>
      <c r="C690" s="3"/>
      <c r="D690" s="4"/>
      <c r="E690" s="3"/>
      <c r="F690" s="4"/>
      <c r="G690" s="3"/>
      <c r="H690" s="4"/>
      <c r="I690" s="3"/>
      <c r="J690" s="4"/>
      <c r="K690" s="3"/>
      <c r="L690" s="4"/>
      <c r="M690" s="3"/>
      <c r="N690" s="4"/>
      <c r="O690" s="3"/>
      <c r="P690" s="4"/>
      <c r="Q690" s="3"/>
      <c r="R690" s="4"/>
      <c r="S690" s="3"/>
      <c r="T690" s="4"/>
      <c r="U690" s="3"/>
      <c r="V690" s="4"/>
      <c r="W690" s="3"/>
      <c r="X690" s="4"/>
      <c r="Y690" s="3"/>
      <c r="Z690" s="4"/>
      <c r="AA690" s="3"/>
      <c r="AB690" s="4"/>
      <c r="AC690" s="3"/>
      <c r="AD690" s="4"/>
      <c r="AE690" s="3"/>
      <c r="AF690" s="4"/>
      <c r="AG690" s="3"/>
      <c r="AH690" s="4"/>
      <c r="AI690" s="3"/>
      <c r="AJ690" s="4"/>
      <c r="AK690" s="3"/>
      <c r="AL690" s="4"/>
      <c r="AM690" s="3"/>
      <c r="AN690" s="4"/>
      <c r="AO690" s="3"/>
      <c r="AP690" s="4"/>
      <c r="AQ690" s="3"/>
      <c r="AR690" s="4"/>
      <c r="AS690" s="3"/>
      <c r="AT690" s="4"/>
      <c r="AU690" s="3"/>
      <c r="AV690" s="4"/>
      <c r="AW690" s="3"/>
      <c r="AX690" s="4"/>
      <c r="AY690" s="3"/>
      <c r="AZ690" s="4"/>
      <c r="BA690" s="3"/>
      <c r="BB690" s="4"/>
      <c r="BC690" s="3"/>
      <c r="BD690" s="4"/>
      <c r="BE690" s="3"/>
      <c r="BF690" s="4"/>
      <c r="BG690" s="3"/>
      <c r="BH690" s="4"/>
      <c r="BI690" s="3"/>
      <c r="BJ690" s="4"/>
      <c r="BK690" s="3"/>
      <c r="BL690" s="4"/>
      <c r="BM690" s="3"/>
      <c r="BN690" s="4"/>
      <c r="BO690" s="3"/>
      <c r="BP690" s="4"/>
      <c r="BQ690" s="3"/>
      <c r="BR690" s="4"/>
      <c r="BS690" s="3"/>
      <c r="BT690" s="4"/>
      <c r="BU690" s="3"/>
      <c r="BV690" s="4"/>
      <c r="BW690" s="3"/>
      <c r="BX690" s="4"/>
      <c r="BY690" s="3"/>
      <c r="BZ690" s="4"/>
      <c r="CA690" s="3"/>
      <c r="CB690" s="4"/>
      <c r="CC690" s="3"/>
      <c r="CD690" s="4"/>
    </row>
    <row r="691">
      <c r="A691" s="3"/>
      <c r="B691" s="4"/>
      <c r="C691" s="3"/>
      <c r="D691" s="4"/>
      <c r="E691" s="3"/>
      <c r="F691" s="4"/>
      <c r="G691" s="3"/>
      <c r="H691" s="4"/>
      <c r="I691" s="3"/>
      <c r="J691" s="4"/>
      <c r="K691" s="3"/>
      <c r="L691" s="4"/>
      <c r="M691" s="3"/>
      <c r="N691" s="4"/>
      <c r="O691" s="3"/>
      <c r="P691" s="4"/>
      <c r="Q691" s="3"/>
      <c r="R691" s="4"/>
      <c r="S691" s="3"/>
      <c r="T691" s="4"/>
      <c r="U691" s="3"/>
      <c r="V691" s="4"/>
      <c r="W691" s="3"/>
      <c r="X691" s="4"/>
      <c r="Y691" s="3"/>
      <c r="Z691" s="4"/>
      <c r="AA691" s="3"/>
      <c r="AB691" s="4"/>
      <c r="AC691" s="3"/>
      <c r="AD691" s="4"/>
      <c r="AE691" s="3"/>
      <c r="AF691" s="4"/>
      <c r="AG691" s="3"/>
      <c r="AH691" s="4"/>
      <c r="AI691" s="3"/>
      <c r="AJ691" s="4"/>
      <c r="AK691" s="3"/>
      <c r="AL691" s="4"/>
      <c r="AM691" s="3"/>
      <c r="AN691" s="4"/>
      <c r="AO691" s="3"/>
      <c r="AP691" s="4"/>
      <c r="AQ691" s="3"/>
      <c r="AR691" s="4"/>
      <c r="AS691" s="3"/>
      <c r="AT691" s="4"/>
      <c r="AU691" s="3"/>
      <c r="AV691" s="4"/>
      <c r="AW691" s="3"/>
      <c r="AX691" s="4"/>
      <c r="AY691" s="3"/>
      <c r="AZ691" s="4"/>
      <c r="BA691" s="3"/>
      <c r="BB691" s="4"/>
      <c r="BC691" s="3"/>
      <c r="BD691" s="4"/>
      <c r="BE691" s="3"/>
      <c r="BF691" s="4"/>
      <c r="BG691" s="3"/>
      <c r="BH691" s="4"/>
      <c r="BI691" s="3"/>
      <c r="BJ691" s="4"/>
      <c r="BK691" s="3"/>
      <c r="BL691" s="4"/>
      <c r="BM691" s="3"/>
      <c r="BN691" s="4"/>
      <c r="BO691" s="3"/>
      <c r="BP691" s="4"/>
      <c r="BQ691" s="3"/>
      <c r="BR691" s="4"/>
      <c r="BS691" s="3"/>
      <c r="BT691" s="4"/>
      <c r="BU691" s="3"/>
      <c r="BV691" s="4"/>
      <c r="BW691" s="3"/>
      <c r="BX691" s="4"/>
      <c r="BY691" s="3"/>
      <c r="BZ691" s="4"/>
      <c r="CA691" s="3"/>
      <c r="CB691" s="4"/>
      <c r="CC691" s="3"/>
      <c r="CD691" s="4"/>
    </row>
    <row r="692">
      <c r="A692" s="3"/>
      <c r="B692" s="4"/>
      <c r="C692" s="3"/>
      <c r="D692" s="4"/>
      <c r="E692" s="3"/>
      <c r="F692" s="4"/>
      <c r="G692" s="3"/>
      <c r="H692" s="4"/>
      <c r="I692" s="3"/>
      <c r="J692" s="4"/>
      <c r="K692" s="3"/>
      <c r="L692" s="4"/>
      <c r="M692" s="3"/>
      <c r="N692" s="4"/>
      <c r="O692" s="3"/>
      <c r="P692" s="4"/>
      <c r="Q692" s="3"/>
      <c r="R692" s="4"/>
      <c r="S692" s="3"/>
      <c r="T692" s="4"/>
      <c r="U692" s="3"/>
      <c r="V692" s="4"/>
      <c r="W692" s="3"/>
      <c r="X692" s="4"/>
      <c r="Y692" s="3"/>
      <c r="Z692" s="4"/>
      <c r="AA692" s="3"/>
      <c r="AB692" s="4"/>
      <c r="AC692" s="3"/>
      <c r="AD692" s="4"/>
      <c r="AE692" s="3"/>
      <c r="AF692" s="4"/>
      <c r="AG692" s="3"/>
      <c r="AH692" s="4"/>
      <c r="AI692" s="3"/>
      <c r="AJ692" s="4"/>
      <c r="AK692" s="3"/>
      <c r="AL692" s="4"/>
      <c r="AM692" s="3"/>
      <c r="AN692" s="4"/>
      <c r="AO692" s="3"/>
      <c r="AP692" s="4"/>
      <c r="AQ692" s="3"/>
      <c r="AR692" s="4"/>
      <c r="AS692" s="3"/>
      <c r="AT692" s="4"/>
      <c r="AU692" s="3"/>
      <c r="AV692" s="4"/>
      <c r="AW692" s="3"/>
      <c r="AX692" s="4"/>
      <c r="AY692" s="3"/>
      <c r="AZ692" s="4"/>
      <c r="BA692" s="3"/>
      <c r="BB692" s="4"/>
      <c r="BC692" s="3"/>
      <c r="BD692" s="4"/>
      <c r="BE692" s="3"/>
      <c r="BF692" s="4"/>
      <c r="BG692" s="3"/>
      <c r="BH692" s="4"/>
      <c r="BI692" s="3"/>
      <c r="BJ692" s="4"/>
      <c r="BK692" s="3"/>
      <c r="BL692" s="4"/>
      <c r="BM692" s="3"/>
      <c r="BN692" s="4"/>
      <c r="BO692" s="3"/>
      <c r="BP692" s="4"/>
      <c r="BQ692" s="3"/>
      <c r="BR692" s="4"/>
      <c r="BS692" s="3"/>
      <c r="BT692" s="4"/>
      <c r="BU692" s="3"/>
      <c r="BV692" s="4"/>
      <c r="BW692" s="3"/>
      <c r="BX692" s="4"/>
      <c r="BY692" s="3"/>
      <c r="BZ692" s="4"/>
      <c r="CA692" s="3"/>
      <c r="CB692" s="4"/>
      <c r="CC692" s="3"/>
      <c r="CD692" s="4"/>
    </row>
    <row r="693">
      <c r="A693" s="3"/>
      <c r="B693" s="4"/>
      <c r="C693" s="3"/>
      <c r="D693" s="4"/>
      <c r="E693" s="3"/>
      <c r="F693" s="4"/>
      <c r="G693" s="3"/>
      <c r="H693" s="4"/>
      <c r="I693" s="3"/>
      <c r="J693" s="4"/>
      <c r="K693" s="3"/>
      <c r="L693" s="4"/>
      <c r="M693" s="3"/>
      <c r="N693" s="4"/>
      <c r="O693" s="3"/>
      <c r="P693" s="4"/>
      <c r="Q693" s="3"/>
      <c r="R693" s="4"/>
      <c r="S693" s="3"/>
      <c r="T693" s="4"/>
      <c r="U693" s="3"/>
      <c r="V693" s="4"/>
      <c r="W693" s="3"/>
      <c r="X693" s="4"/>
      <c r="Y693" s="3"/>
      <c r="Z693" s="4"/>
      <c r="AA693" s="3"/>
      <c r="AB693" s="4"/>
      <c r="AC693" s="3"/>
      <c r="AD693" s="4"/>
      <c r="AE693" s="3"/>
      <c r="AF693" s="4"/>
      <c r="AG693" s="3"/>
      <c r="AH693" s="4"/>
      <c r="AI693" s="3"/>
      <c r="AJ693" s="4"/>
      <c r="AK693" s="3"/>
      <c r="AL693" s="4"/>
      <c r="AM693" s="3"/>
      <c r="AN693" s="4"/>
      <c r="AO693" s="3"/>
      <c r="AP693" s="4"/>
      <c r="AQ693" s="3"/>
      <c r="AR693" s="4"/>
      <c r="AS693" s="3"/>
      <c r="AT693" s="4"/>
      <c r="AU693" s="3"/>
      <c r="AV693" s="4"/>
      <c r="AW693" s="3"/>
      <c r="AX693" s="4"/>
      <c r="AY693" s="3"/>
      <c r="AZ693" s="4"/>
      <c r="BA693" s="3"/>
      <c r="BB693" s="4"/>
      <c r="BC693" s="3"/>
      <c r="BD693" s="4"/>
      <c r="BE693" s="3"/>
      <c r="BF693" s="4"/>
      <c r="BG693" s="3"/>
      <c r="BH693" s="4"/>
      <c r="BI693" s="3"/>
      <c r="BJ693" s="4"/>
      <c r="BK693" s="3"/>
      <c r="BL693" s="4"/>
      <c r="BM693" s="3"/>
      <c r="BN693" s="4"/>
      <c r="BO693" s="3"/>
      <c r="BP693" s="4"/>
      <c r="BQ693" s="3"/>
      <c r="BR693" s="4"/>
      <c r="BS693" s="3"/>
      <c r="BT693" s="4"/>
      <c r="BU693" s="3"/>
      <c r="BV693" s="4"/>
      <c r="BW693" s="3"/>
      <c r="BX693" s="4"/>
      <c r="BY693" s="3"/>
      <c r="BZ693" s="4"/>
      <c r="CA693" s="3"/>
      <c r="CB693" s="4"/>
      <c r="CC693" s="3"/>
      <c r="CD693" s="4"/>
    </row>
    <row r="694">
      <c r="A694" s="3"/>
      <c r="B694" s="4"/>
      <c r="C694" s="3"/>
      <c r="D694" s="4"/>
      <c r="E694" s="3"/>
      <c r="F694" s="4"/>
      <c r="G694" s="3"/>
      <c r="H694" s="4"/>
      <c r="I694" s="3"/>
      <c r="J694" s="4"/>
      <c r="K694" s="3"/>
      <c r="L694" s="4"/>
      <c r="M694" s="3"/>
      <c r="N694" s="4"/>
      <c r="O694" s="3"/>
      <c r="P694" s="4"/>
      <c r="Q694" s="3"/>
      <c r="R694" s="4"/>
      <c r="S694" s="3"/>
      <c r="T694" s="4"/>
      <c r="U694" s="3"/>
      <c r="V694" s="4"/>
      <c r="W694" s="3"/>
      <c r="X694" s="4"/>
      <c r="Y694" s="3"/>
      <c r="Z694" s="4"/>
      <c r="AA694" s="3"/>
      <c r="AB694" s="4"/>
      <c r="AC694" s="3"/>
      <c r="AD694" s="4"/>
      <c r="AE694" s="3"/>
      <c r="AF694" s="4"/>
      <c r="AG694" s="3"/>
      <c r="AH694" s="4"/>
      <c r="AI694" s="3"/>
      <c r="AJ694" s="4"/>
      <c r="AK694" s="3"/>
      <c r="AL694" s="4"/>
      <c r="AM694" s="3"/>
      <c r="AN694" s="4"/>
      <c r="AO694" s="3"/>
      <c r="AP694" s="4"/>
      <c r="AQ694" s="3"/>
      <c r="AR694" s="4"/>
      <c r="AS694" s="3"/>
      <c r="AT694" s="4"/>
      <c r="AU694" s="3"/>
      <c r="AV694" s="4"/>
      <c r="AW694" s="3"/>
      <c r="AX694" s="4"/>
      <c r="AY694" s="3"/>
      <c r="AZ694" s="4"/>
      <c r="BA694" s="3"/>
      <c r="BB694" s="4"/>
      <c r="BC694" s="3"/>
      <c r="BD694" s="4"/>
      <c r="BE694" s="3"/>
      <c r="BF694" s="4"/>
      <c r="BG694" s="3"/>
      <c r="BH694" s="4"/>
      <c r="BI694" s="3"/>
      <c r="BJ694" s="4"/>
      <c r="BK694" s="3"/>
      <c r="BL694" s="4"/>
      <c r="BM694" s="3"/>
      <c r="BN694" s="4"/>
      <c r="BO694" s="3"/>
      <c r="BP694" s="4"/>
      <c r="BQ694" s="3"/>
      <c r="BR694" s="4"/>
      <c r="BS694" s="3"/>
      <c r="BT694" s="4"/>
      <c r="BU694" s="3"/>
      <c r="BV694" s="4"/>
      <c r="BW694" s="3"/>
      <c r="BX694" s="4"/>
      <c r="BY694" s="3"/>
      <c r="BZ694" s="4"/>
      <c r="CA694" s="3"/>
      <c r="CB694" s="4"/>
      <c r="CC694" s="3"/>
      <c r="CD694" s="4"/>
    </row>
    <row r="695">
      <c r="A695" s="3"/>
      <c r="B695" s="4"/>
      <c r="C695" s="3"/>
      <c r="D695" s="4"/>
      <c r="E695" s="3"/>
      <c r="F695" s="4"/>
      <c r="G695" s="3"/>
      <c r="H695" s="4"/>
      <c r="I695" s="3"/>
      <c r="J695" s="4"/>
      <c r="K695" s="3"/>
      <c r="L695" s="4"/>
      <c r="M695" s="3"/>
      <c r="N695" s="4"/>
      <c r="O695" s="3"/>
      <c r="P695" s="4"/>
      <c r="Q695" s="3"/>
      <c r="R695" s="4"/>
      <c r="S695" s="3"/>
      <c r="T695" s="4"/>
      <c r="U695" s="3"/>
      <c r="V695" s="4"/>
      <c r="W695" s="3"/>
      <c r="X695" s="4"/>
      <c r="Y695" s="3"/>
      <c r="Z695" s="4"/>
      <c r="AA695" s="3"/>
      <c r="AB695" s="4"/>
      <c r="AC695" s="3"/>
      <c r="AD695" s="4"/>
      <c r="AE695" s="3"/>
      <c r="AF695" s="4"/>
      <c r="AG695" s="3"/>
      <c r="AH695" s="4"/>
      <c r="AI695" s="3"/>
      <c r="AJ695" s="4"/>
      <c r="AK695" s="3"/>
      <c r="AL695" s="4"/>
      <c r="AM695" s="3"/>
      <c r="AN695" s="4"/>
      <c r="AO695" s="3"/>
      <c r="AP695" s="4"/>
      <c r="AQ695" s="3"/>
      <c r="AR695" s="4"/>
      <c r="AS695" s="3"/>
      <c r="AT695" s="4"/>
      <c r="AU695" s="3"/>
      <c r="AV695" s="4"/>
      <c r="AW695" s="3"/>
      <c r="AX695" s="4"/>
      <c r="AY695" s="3"/>
      <c r="AZ695" s="4"/>
      <c r="BA695" s="3"/>
      <c r="BB695" s="4"/>
      <c r="BC695" s="3"/>
      <c r="BD695" s="4"/>
      <c r="BE695" s="3"/>
      <c r="BF695" s="4"/>
      <c r="BG695" s="3"/>
      <c r="BH695" s="4"/>
      <c r="BI695" s="3"/>
      <c r="BJ695" s="4"/>
      <c r="BK695" s="3"/>
      <c r="BL695" s="4"/>
      <c r="BM695" s="3"/>
      <c r="BN695" s="4"/>
      <c r="BO695" s="3"/>
      <c r="BP695" s="4"/>
      <c r="BQ695" s="3"/>
      <c r="BR695" s="4"/>
      <c r="BS695" s="3"/>
      <c r="BT695" s="4"/>
      <c r="BU695" s="3"/>
      <c r="BV695" s="4"/>
      <c r="BW695" s="3"/>
      <c r="BX695" s="4"/>
      <c r="BY695" s="3"/>
      <c r="BZ695" s="4"/>
      <c r="CA695" s="3"/>
      <c r="CB695" s="4"/>
      <c r="CC695" s="3"/>
      <c r="CD695" s="4"/>
    </row>
    <row r="696">
      <c r="A696" s="3"/>
      <c r="B696" s="4"/>
      <c r="C696" s="3"/>
      <c r="D696" s="4"/>
      <c r="E696" s="3"/>
      <c r="F696" s="4"/>
      <c r="G696" s="3"/>
      <c r="H696" s="4"/>
      <c r="I696" s="3"/>
      <c r="J696" s="4"/>
      <c r="K696" s="3"/>
      <c r="L696" s="4"/>
      <c r="M696" s="3"/>
      <c r="N696" s="4"/>
      <c r="O696" s="3"/>
      <c r="P696" s="4"/>
      <c r="Q696" s="3"/>
      <c r="R696" s="4"/>
      <c r="S696" s="3"/>
      <c r="T696" s="4"/>
      <c r="U696" s="3"/>
      <c r="V696" s="4"/>
      <c r="W696" s="3"/>
      <c r="X696" s="4"/>
      <c r="Y696" s="3"/>
      <c r="Z696" s="4"/>
      <c r="AA696" s="3"/>
      <c r="AB696" s="4"/>
      <c r="AC696" s="3"/>
      <c r="AD696" s="4"/>
      <c r="AE696" s="3"/>
      <c r="AF696" s="4"/>
      <c r="AG696" s="3"/>
      <c r="AH696" s="4"/>
      <c r="AI696" s="3"/>
      <c r="AJ696" s="4"/>
      <c r="AK696" s="3"/>
      <c r="AL696" s="4"/>
      <c r="AM696" s="3"/>
      <c r="AN696" s="4"/>
      <c r="AO696" s="3"/>
      <c r="AP696" s="4"/>
      <c r="AQ696" s="3"/>
      <c r="AR696" s="4"/>
      <c r="AS696" s="3"/>
      <c r="AT696" s="4"/>
      <c r="AU696" s="3"/>
      <c r="AV696" s="4"/>
      <c r="AW696" s="3"/>
      <c r="AX696" s="4"/>
      <c r="AY696" s="3"/>
      <c r="AZ696" s="4"/>
      <c r="BA696" s="3"/>
      <c r="BB696" s="4"/>
      <c r="BC696" s="3"/>
      <c r="BD696" s="4"/>
      <c r="BE696" s="3"/>
      <c r="BF696" s="4"/>
      <c r="BG696" s="3"/>
      <c r="BH696" s="4"/>
      <c r="BI696" s="3"/>
      <c r="BJ696" s="4"/>
      <c r="BK696" s="3"/>
      <c r="BL696" s="4"/>
      <c r="BM696" s="3"/>
      <c r="BN696" s="4"/>
      <c r="BO696" s="3"/>
      <c r="BP696" s="4"/>
      <c r="BQ696" s="3"/>
      <c r="BR696" s="4"/>
      <c r="BS696" s="3"/>
      <c r="BT696" s="4"/>
      <c r="BU696" s="3"/>
      <c r="BV696" s="4"/>
      <c r="BW696" s="3"/>
      <c r="BX696" s="4"/>
      <c r="BY696" s="3"/>
      <c r="BZ696" s="4"/>
      <c r="CA696" s="3"/>
      <c r="CB696" s="4"/>
      <c r="CC696" s="3"/>
      <c r="CD696" s="4"/>
    </row>
    <row r="697">
      <c r="A697" s="3"/>
      <c r="B697" s="4"/>
      <c r="C697" s="3"/>
      <c r="D697" s="4"/>
      <c r="E697" s="3"/>
      <c r="F697" s="4"/>
      <c r="G697" s="3"/>
      <c r="H697" s="4"/>
      <c r="I697" s="3"/>
      <c r="J697" s="4"/>
      <c r="K697" s="3"/>
      <c r="L697" s="4"/>
      <c r="M697" s="3"/>
      <c r="N697" s="4"/>
      <c r="O697" s="3"/>
      <c r="P697" s="4"/>
      <c r="Q697" s="3"/>
      <c r="R697" s="4"/>
      <c r="S697" s="3"/>
      <c r="T697" s="4"/>
      <c r="U697" s="3"/>
      <c r="V697" s="4"/>
      <c r="W697" s="3"/>
      <c r="X697" s="4"/>
      <c r="Y697" s="3"/>
      <c r="Z697" s="4"/>
      <c r="AA697" s="3"/>
      <c r="AB697" s="4"/>
      <c r="AC697" s="3"/>
      <c r="AD697" s="4"/>
      <c r="AE697" s="3"/>
      <c r="AF697" s="4"/>
      <c r="AG697" s="3"/>
      <c r="AH697" s="4"/>
      <c r="AI697" s="3"/>
      <c r="AJ697" s="4"/>
      <c r="AK697" s="3"/>
      <c r="AL697" s="4"/>
      <c r="AM697" s="3"/>
      <c r="AN697" s="4"/>
      <c r="AO697" s="3"/>
      <c r="AP697" s="4"/>
      <c r="AQ697" s="3"/>
      <c r="AR697" s="4"/>
      <c r="AS697" s="3"/>
      <c r="AT697" s="4"/>
      <c r="AU697" s="3"/>
      <c r="AV697" s="4"/>
      <c r="AW697" s="3"/>
      <c r="AX697" s="4"/>
      <c r="AY697" s="3"/>
      <c r="AZ697" s="4"/>
      <c r="BA697" s="3"/>
      <c r="BB697" s="4"/>
      <c r="BC697" s="3"/>
      <c r="BD697" s="4"/>
      <c r="BE697" s="3"/>
      <c r="BF697" s="4"/>
      <c r="BG697" s="3"/>
      <c r="BH697" s="4"/>
      <c r="BI697" s="3"/>
      <c r="BJ697" s="4"/>
      <c r="BK697" s="3"/>
      <c r="BL697" s="4"/>
      <c r="BM697" s="3"/>
      <c r="BN697" s="4"/>
      <c r="BO697" s="3"/>
      <c r="BP697" s="4"/>
      <c r="BQ697" s="3"/>
      <c r="BR697" s="4"/>
      <c r="BS697" s="3"/>
      <c r="BT697" s="4"/>
      <c r="BU697" s="3"/>
      <c r="BV697" s="4"/>
      <c r="BW697" s="3"/>
      <c r="BX697" s="4"/>
      <c r="BY697" s="3"/>
      <c r="BZ697" s="4"/>
      <c r="CA697" s="3"/>
      <c r="CB697" s="4"/>
      <c r="CC697" s="3"/>
      <c r="CD697" s="4"/>
    </row>
    <row r="698">
      <c r="A698" s="3"/>
      <c r="B698" s="4"/>
      <c r="C698" s="3"/>
      <c r="D698" s="4"/>
      <c r="E698" s="3"/>
      <c r="F698" s="4"/>
      <c r="G698" s="3"/>
      <c r="H698" s="4"/>
      <c r="I698" s="3"/>
      <c r="J698" s="4"/>
      <c r="K698" s="3"/>
      <c r="L698" s="4"/>
      <c r="M698" s="3"/>
      <c r="N698" s="4"/>
      <c r="O698" s="3"/>
      <c r="P698" s="4"/>
      <c r="Q698" s="3"/>
      <c r="R698" s="4"/>
      <c r="S698" s="3"/>
      <c r="T698" s="4"/>
      <c r="U698" s="3"/>
      <c r="V698" s="4"/>
      <c r="W698" s="3"/>
      <c r="X698" s="4"/>
      <c r="Y698" s="3"/>
      <c r="Z698" s="4"/>
      <c r="AA698" s="3"/>
      <c r="AB698" s="4"/>
      <c r="AC698" s="3"/>
      <c r="AD698" s="4"/>
      <c r="AE698" s="3"/>
      <c r="AF698" s="4"/>
      <c r="AG698" s="3"/>
      <c r="AH698" s="4"/>
      <c r="AI698" s="3"/>
      <c r="AJ698" s="4"/>
      <c r="AK698" s="3"/>
      <c r="AL698" s="4"/>
      <c r="AM698" s="3"/>
      <c r="AN698" s="4"/>
      <c r="AO698" s="3"/>
      <c r="AP698" s="4"/>
      <c r="AQ698" s="3"/>
      <c r="AR698" s="4"/>
      <c r="AS698" s="3"/>
      <c r="AT698" s="4"/>
      <c r="AU698" s="3"/>
      <c r="AV698" s="4"/>
      <c r="AW698" s="3"/>
      <c r="AX698" s="4"/>
      <c r="AY698" s="3"/>
      <c r="AZ698" s="4"/>
      <c r="BA698" s="3"/>
      <c r="BB698" s="4"/>
      <c r="BC698" s="3"/>
      <c r="BD698" s="4"/>
      <c r="BE698" s="3"/>
      <c r="BF698" s="4"/>
      <c r="BG698" s="3"/>
      <c r="BH698" s="4"/>
      <c r="BI698" s="3"/>
      <c r="BJ698" s="4"/>
      <c r="BK698" s="3"/>
      <c r="BL698" s="4"/>
      <c r="BM698" s="3"/>
      <c r="BN698" s="4"/>
      <c r="BO698" s="3"/>
      <c r="BP698" s="4"/>
      <c r="BQ698" s="3"/>
      <c r="BR698" s="4"/>
      <c r="BS698" s="3"/>
      <c r="BT698" s="4"/>
      <c r="BU698" s="3"/>
      <c r="BV698" s="4"/>
      <c r="BW698" s="3"/>
      <c r="BX698" s="4"/>
      <c r="BY698" s="3"/>
      <c r="BZ698" s="4"/>
      <c r="CA698" s="3"/>
      <c r="CB698" s="4"/>
      <c r="CC698" s="3"/>
      <c r="CD698" s="4"/>
    </row>
    <row r="699">
      <c r="A699" s="3"/>
      <c r="B699" s="4"/>
      <c r="C699" s="3"/>
      <c r="D699" s="4"/>
      <c r="E699" s="3"/>
      <c r="F699" s="4"/>
      <c r="G699" s="3"/>
      <c r="H699" s="4"/>
      <c r="I699" s="3"/>
      <c r="J699" s="4"/>
      <c r="K699" s="3"/>
      <c r="L699" s="4"/>
      <c r="M699" s="3"/>
      <c r="N699" s="4"/>
      <c r="O699" s="3"/>
      <c r="P699" s="4"/>
      <c r="Q699" s="3"/>
      <c r="R699" s="4"/>
      <c r="S699" s="3"/>
      <c r="T699" s="4"/>
      <c r="U699" s="3"/>
      <c r="V699" s="4"/>
      <c r="W699" s="3"/>
      <c r="X699" s="4"/>
      <c r="Y699" s="3"/>
      <c r="Z699" s="4"/>
      <c r="AA699" s="3"/>
      <c r="AB699" s="4"/>
      <c r="AC699" s="3"/>
      <c r="AD699" s="4"/>
      <c r="AE699" s="3"/>
      <c r="AF699" s="4"/>
      <c r="AG699" s="3"/>
      <c r="AH699" s="4"/>
      <c r="AI699" s="3"/>
      <c r="AJ699" s="4"/>
      <c r="AK699" s="3"/>
      <c r="AL699" s="4"/>
      <c r="AM699" s="3"/>
      <c r="AN699" s="4"/>
      <c r="AO699" s="3"/>
      <c r="AP699" s="4"/>
      <c r="AQ699" s="3"/>
      <c r="AR699" s="4"/>
      <c r="AS699" s="3"/>
      <c r="AT699" s="4"/>
      <c r="AU699" s="3"/>
      <c r="AV699" s="4"/>
      <c r="AW699" s="3"/>
      <c r="AX699" s="4"/>
      <c r="AY699" s="3"/>
      <c r="AZ699" s="4"/>
      <c r="BA699" s="3"/>
      <c r="BB699" s="4"/>
      <c r="BC699" s="3"/>
      <c r="BD699" s="4"/>
      <c r="BE699" s="3"/>
      <c r="BF699" s="4"/>
      <c r="BG699" s="3"/>
      <c r="BH699" s="4"/>
      <c r="BI699" s="3"/>
      <c r="BJ699" s="4"/>
      <c r="BK699" s="3"/>
      <c r="BL699" s="4"/>
      <c r="BM699" s="3"/>
      <c r="BN699" s="4"/>
      <c r="BO699" s="3"/>
      <c r="BP699" s="4"/>
      <c r="BQ699" s="3"/>
      <c r="BR699" s="4"/>
      <c r="BS699" s="3"/>
      <c r="BT699" s="4"/>
      <c r="BU699" s="3"/>
      <c r="BV699" s="4"/>
      <c r="BW699" s="3"/>
      <c r="BX699" s="4"/>
      <c r="BY699" s="3"/>
      <c r="BZ699" s="4"/>
      <c r="CA699" s="3"/>
      <c r="CB699" s="4"/>
      <c r="CC699" s="3"/>
      <c r="CD699" s="4"/>
    </row>
    <row r="700">
      <c r="A700" s="3"/>
      <c r="B700" s="4"/>
      <c r="C700" s="3"/>
      <c r="D700" s="4"/>
      <c r="E700" s="3"/>
      <c r="F700" s="4"/>
      <c r="G700" s="3"/>
      <c r="H700" s="4"/>
      <c r="I700" s="3"/>
      <c r="J700" s="4"/>
      <c r="K700" s="3"/>
      <c r="L700" s="4"/>
      <c r="M700" s="3"/>
      <c r="N700" s="4"/>
      <c r="O700" s="3"/>
      <c r="P700" s="4"/>
      <c r="Q700" s="3"/>
      <c r="R700" s="4"/>
      <c r="S700" s="3"/>
      <c r="T700" s="4"/>
      <c r="U700" s="3"/>
      <c r="V700" s="4"/>
      <c r="W700" s="3"/>
      <c r="X700" s="4"/>
      <c r="Y700" s="3"/>
      <c r="Z700" s="4"/>
      <c r="AA700" s="3"/>
      <c r="AB700" s="4"/>
      <c r="AC700" s="3"/>
      <c r="AD700" s="4"/>
      <c r="AE700" s="3"/>
      <c r="AF700" s="4"/>
      <c r="AG700" s="3"/>
      <c r="AH700" s="4"/>
      <c r="AI700" s="3"/>
      <c r="AJ700" s="4"/>
      <c r="AK700" s="3"/>
      <c r="AL700" s="4"/>
      <c r="AM700" s="3"/>
      <c r="AN700" s="4"/>
      <c r="AO700" s="3"/>
      <c r="AP700" s="4"/>
      <c r="AQ700" s="3"/>
      <c r="AR700" s="4"/>
      <c r="AS700" s="3"/>
      <c r="AT700" s="4"/>
      <c r="AU700" s="3"/>
      <c r="AV700" s="4"/>
      <c r="AW700" s="3"/>
      <c r="AX700" s="4"/>
      <c r="AY700" s="3"/>
      <c r="AZ700" s="4"/>
      <c r="BA700" s="3"/>
      <c r="BB700" s="4"/>
      <c r="BC700" s="3"/>
      <c r="BD700" s="4"/>
      <c r="BE700" s="3"/>
      <c r="BF700" s="4"/>
      <c r="BG700" s="3"/>
      <c r="BH700" s="4"/>
      <c r="BI700" s="3"/>
      <c r="BJ700" s="4"/>
      <c r="BK700" s="3"/>
      <c r="BL700" s="4"/>
      <c r="BM700" s="3"/>
      <c r="BN700" s="4"/>
      <c r="BO700" s="3"/>
      <c r="BP700" s="4"/>
      <c r="BQ700" s="3"/>
      <c r="BR700" s="4"/>
      <c r="BS700" s="3"/>
      <c r="BT700" s="4"/>
      <c r="BU700" s="3"/>
      <c r="BV700" s="4"/>
      <c r="BW700" s="3"/>
      <c r="BX700" s="4"/>
      <c r="BY700" s="3"/>
      <c r="BZ700" s="4"/>
      <c r="CA700" s="3"/>
      <c r="CB700" s="4"/>
      <c r="CC700" s="3"/>
      <c r="CD700" s="4"/>
    </row>
    <row r="701">
      <c r="A701" s="3"/>
      <c r="B701" s="4"/>
      <c r="C701" s="3"/>
      <c r="D701" s="4"/>
      <c r="E701" s="3"/>
      <c r="F701" s="4"/>
      <c r="G701" s="3"/>
      <c r="H701" s="4"/>
      <c r="I701" s="3"/>
      <c r="J701" s="4"/>
      <c r="K701" s="3"/>
      <c r="L701" s="4"/>
      <c r="M701" s="3"/>
      <c r="N701" s="4"/>
      <c r="O701" s="3"/>
      <c r="P701" s="4"/>
      <c r="Q701" s="3"/>
      <c r="R701" s="4"/>
      <c r="S701" s="3"/>
      <c r="T701" s="4"/>
      <c r="U701" s="3"/>
      <c r="V701" s="4"/>
      <c r="W701" s="3"/>
      <c r="X701" s="4"/>
      <c r="Y701" s="3"/>
      <c r="Z701" s="4"/>
      <c r="AA701" s="3"/>
      <c r="AB701" s="4"/>
      <c r="AC701" s="3"/>
      <c r="AD701" s="4"/>
      <c r="AE701" s="3"/>
      <c r="AF701" s="4"/>
      <c r="AG701" s="3"/>
      <c r="AH701" s="4"/>
      <c r="AI701" s="3"/>
      <c r="AJ701" s="4"/>
      <c r="AK701" s="3"/>
      <c r="AL701" s="4"/>
      <c r="AM701" s="3"/>
      <c r="AN701" s="4"/>
      <c r="AO701" s="3"/>
      <c r="AP701" s="4"/>
      <c r="AQ701" s="3"/>
      <c r="AR701" s="4"/>
      <c r="AS701" s="3"/>
      <c r="AT701" s="4"/>
      <c r="AU701" s="3"/>
      <c r="AV701" s="4"/>
      <c r="AW701" s="3"/>
      <c r="AX701" s="4"/>
      <c r="AY701" s="3"/>
      <c r="AZ701" s="4"/>
      <c r="BA701" s="3"/>
      <c r="BB701" s="4"/>
      <c r="BC701" s="3"/>
      <c r="BD701" s="4"/>
      <c r="BE701" s="3"/>
      <c r="BF701" s="4"/>
      <c r="BG701" s="3"/>
      <c r="BH701" s="4"/>
      <c r="BI701" s="3"/>
      <c r="BJ701" s="4"/>
      <c r="BK701" s="3"/>
      <c r="BL701" s="4"/>
      <c r="BM701" s="3"/>
      <c r="BN701" s="4"/>
      <c r="BO701" s="3"/>
      <c r="BP701" s="4"/>
      <c r="BQ701" s="3"/>
      <c r="BR701" s="4"/>
      <c r="BS701" s="3"/>
      <c r="BT701" s="4"/>
      <c r="BU701" s="3"/>
      <c r="BV701" s="4"/>
      <c r="BW701" s="3"/>
      <c r="BX701" s="4"/>
      <c r="BY701" s="3"/>
      <c r="BZ701" s="4"/>
      <c r="CA701" s="3"/>
      <c r="CB701" s="4"/>
      <c r="CC701" s="3"/>
      <c r="CD701" s="4"/>
    </row>
    <row r="702">
      <c r="A702" s="3"/>
      <c r="B702" s="4"/>
      <c r="C702" s="3"/>
      <c r="D702" s="4"/>
      <c r="E702" s="3"/>
      <c r="F702" s="4"/>
      <c r="G702" s="3"/>
      <c r="H702" s="4"/>
      <c r="I702" s="3"/>
      <c r="J702" s="4"/>
      <c r="K702" s="3"/>
      <c r="L702" s="4"/>
      <c r="M702" s="3"/>
      <c r="N702" s="4"/>
      <c r="O702" s="3"/>
      <c r="P702" s="4"/>
      <c r="Q702" s="3"/>
      <c r="R702" s="4"/>
      <c r="S702" s="3"/>
      <c r="T702" s="4"/>
      <c r="U702" s="3"/>
      <c r="V702" s="4"/>
      <c r="W702" s="3"/>
      <c r="X702" s="4"/>
      <c r="Y702" s="3"/>
      <c r="Z702" s="4"/>
      <c r="AA702" s="3"/>
      <c r="AB702" s="4"/>
      <c r="AC702" s="3"/>
      <c r="AD702" s="4"/>
      <c r="AE702" s="3"/>
      <c r="AF702" s="4"/>
      <c r="AG702" s="3"/>
      <c r="AH702" s="4"/>
      <c r="AI702" s="3"/>
      <c r="AJ702" s="4"/>
      <c r="AK702" s="3"/>
      <c r="AL702" s="4"/>
      <c r="AM702" s="3"/>
      <c r="AN702" s="4"/>
      <c r="AO702" s="3"/>
      <c r="AP702" s="4"/>
      <c r="AQ702" s="3"/>
      <c r="AR702" s="4"/>
      <c r="AS702" s="3"/>
      <c r="AT702" s="4"/>
      <c r="AU702" s="3"/>
      <c r="AV702" s="4"/>
      <c r="AW702" s="3"/>
      <c r="AX702" s="4"/>
      <c r="AY702" s="3"/>
      <c r="AZ702" s="4"/>
      <c r="BA702" s="3"/>
      <c r="BB702" s="4"/>
      <c r="BC702" s="3"/>
      <c r="BD702" s="4"/>
      <c r="BE702" s="3"/>
      <c r="BF702" s="4"/>
      <c r="BG702" s="3"/>
      <c r="BH702" s="4"/>
      <c r="BI702" s="3"/>
      <c r="BJ702" s="4"/>
      <c r="BK702" s="3"/>
      <c r="BL702" s="4"/>
      <c r="BM702" s="3"/>
      <c r="BN702" s="4"/>
      <c r="BO702" s="3"/>
      <c r="BP702" s="4"/>
      <c r="BQ702" s="3"/>
      <c r="BR702" s="4"/>
      <c r="BS702" s="3"/>
      <c r="BT702" s="4"/>
      <c r="BU702" s="3"/>
      <c r="BV702" s="4"/>
      <c r="BW702" s="3"/>
      <c r="BX702" s="4"/>
      <c r="BY702" s="3"/>
      <c r="BZ702" s="4"/>
      <c r="CA702" s="3"/>
      <c r="CB702" s="4"/>
      <c r="CC702" s="3"/>
      <c r="CD702" s="4"/>
    </row>
    <row r="703">
      <c r="A703" s="3"/>
      <c r="B703" s="4"/>
      <c r="C703" s="3"/>
      <c r="D703" s="4"/>
      <c r="E703" s="3"/>
      <c r="F703" s="4"/>
      <c r="G703" s="3"/>
      <c r="H703" s="4"/>
      <c r="I703" s="3"/>
      <c r="J703" s="4"/>
      <c r="K703" s="3"/>
      <c r="L703" s="4"/>
      <c r="M703" s="3"/>
      <c r="N703" s="4"/>
      <c r="O703" s="3"/>
      <c r="P703" s="4"/>
      <c r="Q703" s="3"/>
      <c r="R703" s="4"/>
      <c r="S703" s="3"/>
      <c r="T703" s="4"/>
      <c r="U703" s="3"/>
      <c r="V703" s="4"/>
      <c r="W703" s="3"/>
      <c r="X703" s="4"/>
      <c r="Y703" s="3"/>
      <c r="Z703" s="4"/>
      <c r="AA703" s="3"/>
      <c r="AB703" s="4"/>
      <c r="AC703" s="3"/>
      <c r="AD703" s="4"/>
      <c r="AE703" s="3"/>
      <c r="AF703" s="4"/>
      <c r="AG703" s="3"/>
      <c r="AH703" s="4"/>
      <c r="AI703" s="3"/>
      <c r="AJ703" s="4"/>
      <c r="AK703" s="3"/>
      <c r="AL703" s="4"/>
      <c r="AM703" s="3"/>
      <c r="AN703" s="4"/>
      <c r="AO703" s="3"/>
      <c r="AP703" s="4"/>
      <c r="AQ703" s="3"/>
      <c r="AR703" s="4"/>
      <c r="AS703" s="3"/>
      <c r="AT703" s="4"/>
      <c r="AU703" s="3"/>
      <c r="AV703" s="4"/>
      <c r="AW703" s="3"/>
      <c r="AX703" s="4"/>
      <c r="AY703" s="3"/>
      <c r="AZ703" s="4"/>
      <c r="BA703" s="3"/>
      <c r="BB703" s="4"/>
      <c r="BC703" s="3"/>
      <c r="BD703" s="4"/>
      <c r="BE703" s="3"/>
      <c r="BF703" s="4"/>
      <c r="BG703" s="3"/>
      <c r="BH703" s="4"/>
      <c r="BI703" s="3"/>
      <c r="BJ703" s="4"/>
      <c r="BK703" s="3"/>
      <c r="BL703" s="4"/>
      <c r="BM703" s="3"/>
      <c r="BN703" s="4"/>
      <c r="BO703" s="3"/>
      <c r="BP703" s="4"/>
      <c r="BQ703" s="3"/>
      <c r="BR703" s="4"/>
      <c r="BS703" s="3"/>
      <c r="BT703" s="4"/>
      <c r="BU703" s="3"/>
      <c r="BV703" s="4"/>
      <c r="BW703" s="3"/>
      <c r="BX703" s="4"/>
      <c r="BY703" s="3"/>
      <c r="BZ703" s="4"/>
      <c r="CA703" s="3"/>
      <c r="CB703" s="4"/>
      <c r="CC703" s="3"/>
      <c r="CD703" s="4"/>
    </row>
    <row r="704">
      <c r="A704" s="3"/>
      <c r="B704" s="4"/>
      <c r="C704" s="3"/>
      <c r="D704" s="4"/>
      <c r="E704" s="3"/>
      <c r="F704" s="4"/>
      <c r="G704" s="3"/>
      <c r="H704" s="4"/>
      <c r="I704" s="3"/>
      <c r="J704" s="4"/>
      <c r="K704" s="3"/>
      <c r="L704" s="4"/>
      <c r="M704" s="3"/>
      <c r="N704" s="4"/>
      <c r="O704" s="3"/>
      <c r="P704" s="4"/>
      <c r="Q704" s="3"/>
      <c r="R704" s="4"/>
      <c r="S704" s="3"/>
      <c r="T704" s="4"/>
      <c r="U704" s="3"/>
      <c r="V704" s="4"/>
      <c r="W704" s="3"/>
      <c r="X704" s="4"/>
      <c r="Y704" s="3"/>
      <c r="Z704" s="4"/>
      <c r="AA704" s="3"/>
      <c r="AB704" s="4"/>
      <c r="AC704" s="3"/>
      <c r="AD704" s="4"/>
      <c r="AE704" s="3"/>
      <c r="AF704" s="4"/>
      <c r="AG704" s="3"/>
      <c r="AH704" s="4"/>
      <c r="AI704" s="3"/>
      <c r="AJ704" s="4"/>
      <c r="AK704" s="3"/>
      <c r="AL704" s="4"/>
      <c r="AM704" s="3"/>
      <c r="AN704" s="4"/>
      <c r="AO704" s="3"/>
      <c r="AP704" s="4"/>
      <c r="AQ704" s="3"/>
      <c r="AR704" s="4"/>
      <c r="AS704" s="3"/>
      <c r="AT704" s="4"/>
      <c r="AU704" s="3"/>
      <c r="AV704" s="4"/>
      <c r="AW704" s="3"/>
      <c r="AX704" s="4"/>
      <c r="AY704" s="3"/>
      <c r="AZ704" s="4"/>
      <c r="BA704" s="3"/>
      <c r="BB704" s="4"/>
      <c r="BC704" s="3"/>
      <c r="BD704" s="4"/>
      <c r="BE704" s="3"/>
      <c r="BF704" s="4"/>
      <c r="BG704" s="3"/>
      <c r="BH704" s="4"/>
      <c r="BI704" s="3"/>
      <c r="BJ704" s="4"/>
      <c r="BK704" s="3"/>
      <c r="BL704" s="4"/>
      <c r="BM704" s="3"/>
      <c r="BN704" s="4"/>
      <c r="BO704" s="3"/>
      <c r="BP704" s="4"/>
      <c r="BQ704" s="3"/>
      <c r="BR704" s="4"/>
      <c r="BS704" s="3"/>
      <c r="BT704" s="4"/>
      <c r="BU704" s="3"/>
      <c r="BV704" s="4"/>
      <c r="BW704" s="3"/>
      <c r="BX704" s="4"/>
      <c r="BY704" s="3"/>
      <c r="BZ704" s="4"/>
      <c r="CA704" s="3"/>
      <c r="CB704" s="4"/>
      <c r="CC704" s="3"/>
      <c r="CD704" s="4"/>
    </row>
    <row r="705">
      <c r="A705" s="3"/>
      <c r="B705" s="4"/>
      <c r="C705" s="3"/>
      <c r="D705" s="4"/>
      <c r="E705" s="3"/>
      <c r="F705" s="4"/>
      <c r="G705" s="3"/>
      <c r="H705" s="4"/>
      <c r="I705" s="3"/>
      <c r="J705" s="4"/>
      <c r="K705" s="3"/>
      <c r="L705" s="4"/>
      <c r="M705" s="3"/>
      <c r="N705" s="4"/>
      <c r="O705" s="3"/>
      <c r="P705" s="4"/>
      <c r="Q705" s="3"/>
      <c r="R705" s="4"/>
      <c r="S705" s="3"/>
      <c r="T705" s="4"/>
      <c r="U705" s="3"/>
      <c r="V705" s="4"/>
      <c r="W705" s="3"/>
      <c r="X705" s="4"/>
      <c r="Y705" s="3"/>
      <c r="Z705" s="4"/>
      <c r="AA705" s="3"/>
      <c r="AB705" s="4"/>
      <c r="AC705" s="3"/>
      <c r="AD705" s="4"/>
      <c r="AE705" s="3"/>
      <c r="AF705" s="4"/>
      <c r="AG705" s="3"/>
      <c r="AH705" s="4"/>
      <c r="AI705" s="3"/>
      <c r="AJ705" s="4"/>
      <c r="AK705" s="3"/>
      <c r="AL705" s="4"/>
      <c r="AM705" s="3"/>
      <c r="AN705" s="4"/>
      <c r="AO705" s="3"/>
      <c r="AP705" s="4"/>
      <c r="AQ705" s="3"/>
      <c r="AR705" s="4"/>
      <c r="AS705" s="3"/>
      <c r="AT705" s="4"/>
      <c r="AU705" s="3"/>
      <c r="AV705" s="4"/>
      <c r="AW705" s="3"/>
      <c r="AX705" s="4"/>
      <c r="AY705" s="3"/>
      <c r="AZ705" s="4"/>
      <c r="BA705" s="3"/>
      <c r="BB705" s="4"/>
      <c r="BC705" s="3"/>
      <c r="BD705" s="4"/>
      <c r="BE705" s="3"/>
      <c r="BF705" s="4"/>
      <c r="BG705" s="3"/>
      <c r="BH705" s="4"/>
      <c r="BI705" s="3"/>
      <c r="BJ705" s="4"/>
      <c r="BK705" s="3"/>
      <c r="BL705" s="4"/>
      <c r="BM705" s="3"/>
      <c r="BN705" s="4"/>
      <c r="BO705" s="3"/>
      <c r="BP705" s="4"/>
      <c r="BQ705" s="3"/>
      <c r="BR705" s="4"/>
      <c r="BS705" s="3"/>
      <c r="BT705" s="4"/>
      <c r="BU705" s="3"/>
      <c r="BV705" s="4"/>
      <c r="BW705" s="3"/>
      <c r="BX705" s="4"/>
      <c r="BY705" s="3"/>
      <c r="BZ705" s="4"/>
      <c r="CA705" s="3"/>
      <c r="CB705" s="4"/>
      <c r="CC705" s="3"/>
      <c r="CD705" s="4"/>
    </row>
    <row r="706">
      <c r="A706" s="3"/>
      <c r="B706" s="4"/>
      <c r="C706" s="3"/>
      <c r="D706" s="4"/>
      <c r="E706" s="3"/>
      <c r="F706" s="4"/>
      <c r="G706" s="3"/>
      <c r="H706" s="4"/>
      <c r="I706" s="3"/>
      <c r="J706" s="4"/>
      <c r="K706" s="3"/>
      <c r="L706" s="4"/>
      <c r="M706" s="3"/>
      <c r="N706" s="4"/>
      <c r="O706" s="3"/>
      <c r="P706" s="4"/>
      <c r="Q706" s="3"/>
      <c r="R706" s="4"/>
      <c r="S706" s="3"/>
      <c r="T706" s="4"/>
      <c r="U706" s="3"/>
      <c r="V706" s="4"/>
      <c r="W706" s="3"/>
      <c r="X706" s="4"/>
      <c r="Y706" s="3"/>
      <c r="Z706" s="4"/>
      <c r="AA706" s="3"/>
      <c r="AB706" s="4"/>
      <c r="AC706" s="3"/>
      <c r="AD706" s="4"/>
      <c r="AE706" s="3"/>
      <c r="AF706" s="4"/>
      <c r="AG706" s="3"/>
      <c r="AH706" s="4"/>
      <c r="AI706" s="3"/>
      <c r="AJ706" s="4"/>
      <c r="AK706" s="3"/>
      <c r="AL706" s="4"/>
      <c r="AM706" s="3"/>
      <c r="AN706" s="4"/>
      <c r="AO706" s="3"/>
      <c r="AP706" s="4"/>
      <c r="AQ706" s="3"/>
      <c r="AR706" s="4"/>
      <c r="AS706" s="3"/>
      <c r="AT706" s="4"/>
      <c r="AU706" s="3"/>
      <c r="AV706" s="4"/>
      <c r="AW706" s="3"/>
      <c r="AX706" s="4"/>
      <c r="AY706" s="3"/>
      <c r="AZ706" s="4"/>
      <c r="BA706" s="3"/>
      <c r="BB706" s="4"/>
      <c r="BC706" s="3"/>
      <c r="BD706" s="4"/>
      <c r="BE706" s="3"/>
      <c r="BF706" s="4"/>
      <c r="BG706" s="3"/>
      <c r="BH706" s="4"/>
      <c r="BI706" s="3"/>
      <c r="BJ706" s="4"/>
      <c r="BK706" s="3"/>
      <c r="BL706" s="4"/>
      <c r="BM706" s="3"/>
      <c r="BN706" s="4"/>
      <c r="BO706" s="3"/>
      <c r="BP706" s="4"/>
      <c r="BQ706" s="3"/>
      <c r="BR706" s="4"/>
      <c r="BS706" s="3"/>
      <c r="BT706" s="4"/>
      <c r="BU706" s="3"/>
      <c r="BV706" s="4"/>
      <c r="BW706" s="3"/>
      <c r="BX706" s="4"/>
      <c r="BY706" s="3"/>
      <c r="BZ706" s="4"/>
      <c r="CA706" s="3"/>
      <c r="CB706" s="4"/>
      <c r="CC706" s="3"/>
      <c r="CD706" s="4"/>
    </row>
    <row r="707">
      <c r="A707" s="3"/>
      <c r="B707" s="4"/>
      <c r="C707" s="3"/>
      <c r="D707" s="4"/>
      <c r="E707" s="3"/>
      <c r="F707" s="4"/>
      <c r="G707" s="3"/>
      <c r="H707" s="4"/>
      <c r="I707" s="3"/>
      <c r="J707" s="4"/>
      <c r="K707" s="3"/>
      <c r="L707" s="4"/>
      <c r="M707" s="3"/>
      <c r="N707" s="4"/>
      <c r="O707" s="3"/>
      <c r="P707" s="4"/>
      <c r="Q707" s="3"/>
      <c r="R707" s="4"/>
      <c r="S707" s="3"/>
      <c r="T707" s="4"/>
      <c r="U707" s="3"/>
      <c r="V707" s="4"/>
      <c r="W707" s="3"/>
      <c r="X707" s="4"/>
      <c r="Y707" s="3"/>
      <c r="Z707" s="4"/>
      <c r="AA707" s="3"/>
      <c r="AB707" s="4"/>
      <c r="AC707" s="3"/>
      <c r="AD707" s="4"/>
      <c r="AE707" s="3"/>
      <c r="AF707" s="4"/>
      <c r="AG707" s="3"/>
      <c r="AH707" s="4"/>
      <c r="AI707" s="3"/>
      <c r="AJ707" s="4"/>
      <c r="AK707" s="3"/>
      <c r="AL707" s="4"/>
      <c r="AM707" s="3"/>
      <c r="AN707" s="4"/>
      <c r="AO707" s="3"/>
      <c r="AP707" s="4"/>
      <c r="AQ707" s="3"/>
      <c r="AR707" s="4"/>
      <c r="AS707" s="3"/>
      <c r="AT707" s="4"/>
      <c r="AU707" s="3"/>
      <c r="AV707" s="4"/>
      <c r="AW707" s="3"/>
      <c r="AX707" s="4"/>
      <c r="AY707" s="3"/>
      <c r="AZ707" s="4"/>
      <c r="BA707" s="3"/>
      <c r="BB707" s="4"/>
      <c r="BC707" s="3"/>
      <c r="BD707" s="4"/>
      <c r="BE707" s="3"/>
      <c r="BF707" s="4"/>
      <c r="BG707" s="3"/>
      <c r="BH707" s="4"/>
      <c r="BI707" s="3"/>
      <c r="BJ707" s="4"/>
      <c r="BK707" s="3"/>
      <c r="BL707" s="4"/>
      <c r="BM707" s="3"/>
      <c r="BN707" s="4"/>
      <c r="BO707" s="3"/>
      <c r="BP707" s="4"/>
      <c r="BQ707" s="3"/>
      <c r="BR707" s="4"/>
      <c r="BS707" s="3"/>
      <c r="BT707" s="4"/>
      <c r="BU707" s="3"/>
      <c r="BV707" s="4"/>
      <c r="BW707" s="3"/>
      <c r="BX707" s="4"/>
      <c r="BY707" s="3"/>
      <c r="BZ707" s="4"/>
      <c r="CA707" s="3"/>
      <c r="CB707" s="4"/>
      <c r="CC707" s="3"/>
      <c r="CD707" s="4"/>
    </row>
    <row r="708">
      <c r="A708" s="3"/>
      <c r="B708" s="4"/>
      <c r="C708" s="3"/>
      <c r="D708" s="4"/>
      <c r="E708" s="3"/>
      <c r="F708" s="4"/>
      <c r="G708" s="3"/>
      <c r="H708" s="4"/>
      <c r="I708" s="3"/>
      <c r="J708" s="4"/>
      <c r="K708" s="3"/>
      <c r="L708" s="4"/>
      <c r="M708" s="3"/>
      <c r="N708" s="4"/>
      <c r="O708" s="3"/>
      <c r="P708" s="4"/>
      <c r="Q708" s="3"/>
      <c r="R708" s="4"/>
      <c r="S708" s="3"/>
      <c r="T708" s="4"/>
      <c r="U708" s="3"/>
      <c r="V708" s="4"/>
      <c r="W708" s="3"/>
      <c r="X708" s="4"/>
      <c r="Y708" s="3"/>
      <c r="Z708" s="4"/>
      <c r="AA708" s="3"/>
      <c r="AB708" s="4"/>
      <c r="AC708" s="3"/>
      <c r="AD708" s="4"/>
      <c r="AE708" s="3"/>
      <c r="AF708" s="4"/>
      <c r="AG708" s="3"/>
      <c r="AH708" s="4"/>
      <c r="AI708" s="3"/>
      <c r="AJ708" s="4"/>
      <c r="AK708" s="3"/>
      <c r="AL708" s="4"/>
      <c r="AM708" s="3"/>
      <c r="AN708" s="4"/>
      <c r="AO708" s="3"/>
      <c r="AP708" s="4"/>
      <c r="AQ708" s="3"/>
      <c r="AR708" s="4"/>
      <c r="AS708" s="3"/>
      <c r="AT708" s="4"/>
      <c r="AU708" s="3"/>
      <c r="AV708" s="4"/>
      <c r="AW708" s="3"/>
      <c r="AX708" s="4"/>
      <c r="AY708" s="3"/>
      <c r="AZ708" s="4"/>
      <c r="BA708" s="3"/>
      <c r="BB708" s="4"/>
      <c r="BC708" s="3"/>
      <c r="BD708" s="4"/>
      <c r="BE708" s="3"/>
      <c r="BF708" s="4"/>
      <c r="BG708" s="3"/>
      <c r="BH708" s="4"/>
      <c r="BI708" s="3"/>
      <c r="BJ708" s="4"/>
      <c r="BK708" s="3"/>
      <c r="BL708" s="4"/>
      <c r="BM708" s="3"/>
      <c r="BN708" s="4"/>
      <c r="BO708" s="3"/>
      <c r="BP708" s="4"/>
      <c r="BQ708" s="3"/>
      <c r="BR708" s="4"/>
      <c r="BS708" s="3"/>
      <c r="BT708" s="4"/>
      <c r="BU708" s="3"/>
      <c r="BV708" s="4"/>
      <c r="BW708" s="3"/>
      <c r="BX708" s="4"/>
      <c r="BY708" s="3"/>
      <c r="BZ708" s="4"/>
      <c r="CA708" s="3"/>
      <c r="CB708" s="4"/>
      <c r="CC708" s="3"/>
      <c r="CD708" s="4"/>
    </row>
    <row r="709">
      <c r="A709" s="3"/>
      <c r="B709" s="4"/>
      <c r="C709" s="3"/>
      <c r="D709" s="4"/>
      <c r="E709" s="3"/>
      <c r="F709" s="4"/>
      <c r="G709" s="3"/>
      <c r="H709" s="4"/>
      <c r="I709" s="3"/>
      <c r="J709" s="4"/>
      <c r="K709" s="3"/>
      <c r="L709" s="4"/>
      <c r="M709" s="3"/>
      <c r="N709" s="4"/>
      <c r="O709" s="3"/>
      <c r="P709" s="4"/>
      <c r="Q709" s="3"/>
      <c r="R709" s="4"/>
      <c r="S709" s="3"/>
      <c r="T709" s="4"/>
      <c r="U709" s="3"/>
      <c r="V709" s="4"/>
      <c r="W709" s="3"/>
      <c r="X709" s="4"/>
      <c r="Y709" s="3"/>
      <c r="Z709" s="4"/>
      <c r="AA709" s="3"/>
      <c r="AB709" s="4"/>
      <c r="AC709" s="3"/>
      <c r="AD709" s="4"/>
      <c r="AE709" s="3"/>
      <c r="AF709" s="4"/>
      <c r="AG709" s="3"/>
      <c r="AH709" s="4"/>
      <c r="AI709" s="3"/>
      <c r="AJ709" s="4"/>
      <c r="AK709" s="3"/>
      <c r="AL709" s="4"/>
      <c r="AM709" s="3"/>
      <c r="AN709" s="4"/>
      <c r="AO709" s="3"/>
      <c r="AP709" s="4"/>
      <c r="AQ709" s="3"/>
      <c r="AR709" s="4"/>
      <c r="AS709" s="3"/>
      <c r="AT709" s="4"/>
      <c r="AU709" s="3"/>
      <c r="AV709" s="4"/>
      <c r="AW709" s="3"/>
      <c r="AX709" s="4"/>
      <c r="AY709" s="3"/>
      <c r="AZ709" s="4"/>
      <c r="BA709" s="3"/>
      <c r="BB709" s="4"/>
      <c r="BC709" s="3"/>
      <c r="BD709" s="4"/>
      <c r="BE709" s="3"/>
      <c r="BF709" s="4"/>
      <c r="BG709" s="3"/>
      <c r="BH709" s="4"/>
      <c r="BI709" s="3"/>
      <c r="BJ709" s="4"/>
      <c r="BK709" s="3"/>
      <c r="BL709" s="4"/>
      <c r="BM709" s="3"/>
      <c r="BN709" s="4"/>
      <c r="BO709" s="3"/>
      <c r="BP709" s="4"/>
      <c r="BQ709" s="3"/>
      <c r="BR709" s="4"/>
      <c r="BS709" s="3"/>
      <c r="BT709" s="4"/>
      <c r="BU709" s="3"/>
      <c r="BV709" s="4"/>
      <c r="BW709" s="3"/>
      <c r="BX709" s="4"/>
      <c r="BY709" s="3"/>
      <c r="BZ709" s="4"/>
      <c r="CA709" s="3"/>
      <c r="CB709" s="4"/>
      <c r="CC709" s="3"/>
      <c r="CD709" s="4"/>
    </row>
    <row r="710">
      <c r="A710" s="3"/>
      <c r="B710" s="4"/>
      <c r="C710" s="3"/>
      <c r="D710" s="4"/>
      <c r="E710" s="3"/>
      <c r="F710" s="4"/>
      <c r="G710" s="3"/>
      <c r="H710" s="4"/>
      <c r="I710" s="3"/>
      <c r="J710" s="4"/>
      <c r="K710" s="3"/>
      <c r="L710" s="4"/>
      <c r="M710" s="3"/>
      <c r="N710" s="4"/>
      <c r="O710" s="3"/>
      <c r="P710" s="4"/>
      <c r="Q710" s="3"/>
      <c r="R710" s="4"/>
      <c r="S710" s="3"/>
      <c r="T710" s="4"/>
      <c r="U710" s="3"/>
      <c r="V710" s="4"/>
      <c r="W710" s="3"/>
      <c r="X710" s="4"/>
      <c r="Y710" s="3"/>
      <c r="Z710" s="4"/>
      <c r="AA710" s="3"/>
      <c r="AB710" s="4"/>
      <c r="AC710" s="3"/>
      <c r="AD710" s="4"/>
      <c r="AE710" s="3"/>
      <c r="AF710" s="4"/>
      <c r="AG710" s="3"/>
      <c r="AH710" s="4"/>
      <c r="AI710" s="3"/>
      <c r="AJ710" s="4"/>
      <c r="AK710" s="3"/>
      <c r="AL710" s="4"/>
      <c r="AM710" s="3"/>
      <c r="AN710" s="4"/>
      <c r="AO710" s="3"/>
      <c r="AP710" s="4"/>
      <c r="AQ710" s="3"/>
      <c r="AR710" s="4"/>
      <c r="AS710" s="3"/>
      <c r="AT710" s="4"/>
      <c r="AU710" s="3"/>
      <c r="AV710" s="4"/>
      <c r="AW710" s="3"/>
      <c r="AX710" s="4"/>
      <c r="AY710" s="3"/>
      <c r="AZ710" s="4"/>
      <c r="BA710" s="3"/>
      <c r="BB710" s="4"/>
      <c r="BC710" s="3"/>
      <c r="BD710" s="4"/>
      <c r="BE710" s="3"/>
      <c r="BF710" s="4"/>
      <c r="BG710" s="3"/>
      <c r="BH710" s="4"/>
      <c r="BI710" s="3"/>
      <c r="BJ710" s="4"/>
      <c r="BK710" s="3"/>
      <c r="BL710" s="4"/>
      <c r="BM710" s="3"/>
      <c r="BN710" s="4"/>
      <c r="BO710" s="3"/>
      <c r="BP710" s="4"/>
      <c r="BQ710" s="3"/>
      <c r="BR710" s="4"/>
      <c r="BS710" s="3"/>
      <c r="BT710" s="4"/>
      <c r="BU710" s="3"/>
      <c r="BV710" s="4"/>
      <c r="BW710" s="3"/>
      <c r="BX710" s="4"/>
      <c r="BY710" s="3"/>
      <c r="BZ710" s="4"/>
      <c r="CA710" s="3"/>
      <c r="CB710" s="4"/>
      <c r="CC710" s="3"/>
      <c r="CD710" s="4"/>
    </row>
    <row r="711">
      <c r="A711" s="3"/>
      <c r="B711" s="4"/>
      <c r="C711" s="3"/>
      <c r="D711" s="4"/>
      <c r="E711" s="3"/>
      <c r="F711" s="4"/>
      <c r="G711" s="3"/>
      <c r="H711" s="4"/>
      <c r="I711" s="3"/>
      <c r="J711" s="4"/>
      <c r="K711" s="3"/>
      <c r="L711" s="4"/>
      <c r="M711" s="3"/>
      <c r="N711" s="4"/>
      <c r="O711" s="3"/>
      <c r="P711" s="4"/>
      <c r="Q711" s="3"/>
      <c r="R711" s="4"/>
      <c r="S711" s="3"/>
      <c r="T711" s="4"/>
      <c r="U711" s="3"/>
      <c r="V711" s="4"/>
      <c r="W711" s="3"/>
      <c r="X711" s="4"/>
      <c r="Y711" s="3"/>
      <c r="Z711" s="4"/>
      <c r="AA711" s="3"/>
      <c r="AB711" s="4"/>
      <c r="AC711" s="3"/>
      <c r="AD711" s="4"/>
      <c r="AE711" s="3"/>
      <c r="AF711" s="4"/>
      <c r="AG711" s="3"/>
      <c r="AH711" s="4"/>
      <c r="AI711" s="3"/>
      <c r="AJ711" s="4"/>
      <c r="AK711" s="3"/>
      <c r="AL711" s="4"/>
      <c r="AM711" s="3"/>
      <c r="AN711" s="4"/>
      <c r="AO711" s="3"/>
      <c r="AP711" s="4"/>
      <c r="AQ711" s="3"/>
      <c r="AR711" s="4"/>
      <c r="AS711" s="3"/>
      <c r="AT711" s="4"/>
      <c r="AU711" s="3"/>
      <c r="AV711" s="4"/>
      <c r="AW711" s="3"/>
      <c r="AX711" s="4"/>
      <c r="AY711" s="3"/>
      <c r="AZ711" s="4"/>
      <c r="BA711" s="3"/>
      <c r="BB711" s="4"/>
      <c r="BC711" s="3"/>
      <c r="BD711" s="4"/>
      <c r="BE711" s="3"/>
      <c r="BF711" s="4"/>
      <c r="BG711" s="3"/>
      <c r="BH711" s="4"/>
      <c r="BI711" s="3"/>
      <c r="BJ711" s="4"/>
      <c r="BK711" s="3"/>
      <c r="BL711" s="4"/>
      <c r="BM711" s="3"/>
      <c r="BN711" s="4"/>
      <c r="BO711" s="3"/>
      <c r="BP711" s="4"/>
      <c r="BQ711" s="3"/>
      <c r="BR711" s="4"/>
      <c r="BS711" s="3"/>
      <c r="BT711" s="4"/>
      <c r="BU711" s="3"/>
      <c r="BV711" s="4"/>
      <c r="BW711" s="3"/>
      <c r="BX711" s="4"/>
      <c r="BY711" s="3"/>
      <c r="BZ711" s="4"/>
      <c r="CA711" s="3"/>
      <c r="CB711" s="4"/>
      <c r="CC711" s="3"/>
      <c r="CD711" s="4"/>
    </row>
    <row r="712">
      <c r="A712" s="3"/>
      <c r="B712" s="4"/>
      <c r="C712" s="3"/>
      <c r="D712" s="4"/>
      <c r="E712" s="3"/>
      <c r="F712" s="4"/>
      <c r="G712" s="3"/>
      <c r="H712" s="4"/>
      <c r="I712" s="3"/>
      <c r="J712" s="4"/>
      <c r="K712" s="3"/>
      <c r="L712" s="4"/>
      <c r="M712" s="3"/>
      <c r="N712" s="4"/>
      <c r="O712" s="3"/>
      <c r="P712" s="4"/>
      <c r="Q712" s="3"/>
      <c r="R712" s="4"/>
      <c r="S712" s="3"/>
      <c r="T712" s="4"/>
      <c r="U712" s="3"/>
      <c r="V712" s="4"/>
      <c r="W712" s="3"/>
      <c r="X712" s="4"/>
      <c r="Y712" s="3"/>
      <c r="Z712" s="4"/>
      <c r="AA712" s="3"/>
      <c r="AB712" s="4"/>
      <c r="AC712" s="3"/>
      <c r="AD712" s="4"/>
      <c r="AE712" s="3"/>
      <c r="AF712" s="4"/>
      <c r="AG712" s="3"/>
      <c r="AH712" s="4"/>
      <c r="AI712" s="3"/>
      <c r="AJ712" s="4"/>
      <c r="AK712" s="3"/>
      <c r="AL712" s="4"/>
      <c r="AM712" s="3"/>
      <c r="AN712" s="4"/>
      <c r="AO712" s="3"/>
      <c r="AP712" s="4"/>
      <c r="AQ712" s="3"/>
      <c r="AR712" s="4"/>
      <c r="AS712" s="3"/>
      <c r="AT712" s="4"/>
      <c r="AU712" s="3"/>
      <c r="AV712" s="4"/>
      <c r="AW712" s="3"/>
      <c r="AX712" s="4"/>
      <c r="AY712" s="3"/>
      <c r="AZ712" s="4"/>
      <c r="BA712" s="3"/>
      <c r="BB712" s="4"/>
      <c r="BC712" s="3"/>
      <c r="BD712" s="4"/>
      <c r="BE712" s="3"/>
      <c r="BF712" s="4"/>
      <c r="BG712" s="3"/>
      <c r="BH712" s="4"/>
      <c r="BI712" s="3"/>
      <c r="BJ712" s="4"/>
      <c r="BK712" s="3"/>
      <c r="BL712" s="4"/>
      <c r="BM712" s="3"/>
      <c r="BN712" s="4"/>
      <c r="BO712" s="3"/>
      <c r="BP712" s="4"/>
      <c r="BQ712" s="3"/>
      <c r="BR712" s="4"/>
      <c r="BS712" s="3"/>
      <c r="BT712" s="4"/>
      <c r="BU712" s="3"/>
      <c r="BV712" s="4"/>
      <c r="BW712" s="3"/>
      <c r="BX712" s="4"/>
      <c r="BY712" s="3"/>
      <c r="BZ712" s="4"/>
      <c r="CA712" s="3"/>
      <c r="CB712" s="4"/>
      <c r="CC712" s="3"/>
      <c r="CD712" s="4"/>
    </row>
    <row r="713">
      <c r="A713" s="3"/>
      <c r="B713" s="4"/>
      <c r="C713" s="3"/>
      <c r="D713" s="4"/>
      <c r="E713" s="3"/>
      <c r="F713" s="4"/>
      <c r="G713" s="3"/>
      <c r="H713" s="4"/>
      <c r="I713" s="3"/>
      <c r="J713" s="4"/>
      <c r="K713" s="3"/>
      <c r="L713" s="4"/>
      <c r="M713" s="3"/>
      <c r="N713" s="4"/>
      <c r="O713" s="3"/>
      <c r="P713" s="4"/>
      <c r="Q713" s="3"/>
      <c r="R713" s="4"/>
      <c r="S713" s="3"/>
      <c r="T713" s="4"/>
      <c r="U713" s="3"/>
      <c r="V713" s="4"/>
      <c r="W713" s="3"/>
      <c r="X713" s="4"/>
      <c r="Y713" s="3"/>
      <c r="Z713" s="4"/>
      <c r="AA713" s="3"/>
      <c r="AB713" s="4"/>
      <c r="AC713" s="3"/>
      <c r="AD713" s="4"/>
      <c r="AE713" s="3"/>
      <c r="AF713" s="4"/>
      <c r="AG713" s="3"/>
      <c r="AH713" s="4"/>
      <c r="AI713" s="3"/>
      <c r="AJ713" s="4"/>
      <c r="AK713" s="3"/>
      <c r="AL713" s="4"/>
      <c r="AM713" s="3"/>
      <c r="AN713" s="4"/>
      <c r="AO713" s="3"/>
      <c r="AP713" s="4"/>
      <c r="AQ713" s="3"/>
      <c r="AR713" s="4"/>
      <c r="AS713" s="3"/>
      <c r="AT713" s="4"/>
      <c r="AU713" s="3"/>
      <c r="AV713" s="4"/>
      <c r="AW713" s="3"/>
      <c r="AX713" s="4"/>
      <c r="AY713" s="3"/>
      <c r="AZ713" s="4"/>
      <c r="BA713" s="3"/>
      <c r="BB713" s="4"/>
      <c r="BC713" s="3"/>
      <c r="BD713" s="4"/>
      <c r="BE713" s="3"/>
      <c r="BF713" s="4"/>
      <c r="BG713" s="3"/>
      <c r="BH713" s="4"/>
      <c r="BI713" s="3"/>
      <c r="BJ713" s="4"/>
      <c r="BK713" s="3"/>
      <c r="BL713" s="4"/>
      <c r="BM713" s="3"/>
      <c r="BN713" s="4"/>
      <c r="BO713" s="3"/>
      <c r="BP713" s="4"/>
      <c r="BQ713" s="3"/>
      <c r="BR713" s="4"/>
      <c r="BS713" s="3"/>
      <c r="BT713" s="4"/>
      <c r="BU713" s="3"/>
      <c r="BV713" s="4"/>
      <c r="BW713" s="3"/>
      <c r="BX713" s="4"/>
      <c r="BY713" s="3"/>
      <c r="BZ713" s="4"/>
      <c r="CA713" s="3"/>
      <c r="CB713" s="4"/>
      <c r="CC713" s="3"/>
      <c r="CD713" s="4"/>
    </row>
    <row r="714">
      <c r="A714" s="3"/>
      <c r="B714" s="4"/>
      <c r="C714" s="3"/>
      <c r="D714" s="4"/>
      <c r="E714" s="3"/>
      <c r="F714" s="4"/>
      <c r="G714" s="3"/>
      <c r="H714" s="4"/>
      <c r="I714" s="3"/>
      <c r="J714" s="4"/>
      <c r="K714" s="3"/>
      <c r="L714" s="4"/>
      <c r="M714" s="3"/>
      <c r="N714" s="4"/>
      <c r="O714" s="3"/>
      <c r="P714" s="4"/>
      <c r="Q714" s="3"/>
      <c r="R714" s="4"/>
      <c r="S714" s="3"/>
      <c r="T714" s="4"/>
      <c r="U714" s="3"/>
      <c r="V714" s="4"/>
      <c r="W714" s="3"/>
      <c r="X714" s="4"/>
      <c r="Y714" s="3"/>
      <c r="Z714" s="4"/>
      <c r="AA714" s="3"/>
      <c r="AB714" s="4"/>
      <c r="AC714" s="3"/>
      <c r="AD714" s="4"/>
      <c r="AE714" s="3"/>
      <c r="AF714" s="4"/>
      <c r="AG714" s="3"/>
      <c r="AH714" s="4"/>
      <c r="AI714" s="3"/>
      <c r="AJ714" s="4"/>
      <c r="AK714" s="3"/>
      <c r="AL714" s="4"/>
      <c r="AM714" s="3"/>
      <c r="AN714" s="4"/>
      <c r="AO714" s="3"/>
      <c r="AP714" s="4"/>
      <c r="AQ714" s="3"/>
      <c r="AR714" s="4"/>
      <c r="AS714" s="3"/>
      <c r="AT714" s="4"/>
      <c r="AU714" s="3"/>
      <c r="AV714" s="4"/>
      <c r="AW714" s="3"/>
      <c r="AX714" s="4"/>
      <c r="AY714" s="3"/>
      <c r="AZ714" s="4"/>
      <c r="BA714" s="3"/>
      <c r="BB714" s="4"/>
      <c r="BC714" s="3"/>
      <c r="BD714" s="4"/>
      <c r="BE714" s="3"/>
      <c r="BF714" s="4"/>
      <c r="BG714" s="3"/>
      <c r="BH714" s="4"/>
      <c r="BI714" s="3"/>
      <c r="BJ714" s="4"/>
      <c r="BK714" s="3"/>
      <c r="BL714" s="4"/>
      <c r="BM714" s="3"/>
      <c r="BN714" s="4"/>
      <c r="BO714" s="3"/>
      <c r="BP714" s="4"/>
      <c r="BQ714" s="3"/>
      <c r="BR714" s="4"/>
      <c r="BS714" s="3"/>
      <c r="BT714" s="4"/>
      <c r="BU714" s="3"/>
      <c r="BV714" s="4"/>
      <c r="BW714" s="3"/>
      <c r="BX714" s="4"/>
      <c r="BY714" s="3"/>
      <c r="BZ714" s="4"/>
      <c r="CA714" s="3"/>
      <c r="CB714" s="4"/>
      <c r="CC714" s="3"/>
      <c r="CD714" s="4"/>
    </row>
    <row r="715">
      <c r="A715" s="3"/>
      <c r="B715" s="4"/>
      <c r="C715" s="3"/>
      <c r="D715" s="4"/>
      <c r="E715" s="3"/>
      <c r="F715" s="4"/>
      <c r="G715" s="3"/>
      <c r="H715" s="4"/>
      <c r="I715" s="3"/>
      <c r="J715" s="4"/>
      <c r="K715" s="3"/>
      <c r="L715" s="4"/>
      <c r="M715" s="3"/>
      <c r="N715" s="4"/>
      <c r="O715" s="3"/>
      <c r="P715" s="4"/>
      <c r="Q715" s="3"/>
      <c r="R715" s="4"/>
      <c r="S715" s="3"/>
      <c r="T715" s="4"/>
      <c r="U715" s="3"/>
      <c r="V715" s="4"/>
      <c r="W715" s="3"/>
      <c r="X715" s="4"/>
      <c r="Y715" s="3"/>
      <c r="Z715" s="4"/>
      <c r="AA715" s="3"/>
      <c r="AB715" s="4"/>
      <c r="AC715" s="3"/>
      <c r="AD715" s="4"/>
      <c r="AE715" s="3"/>
      <c r="AF715" s="4"/>
      <c r="AG715" s="3"/>
      <c r="AH715" s="4"/>
      <c r="AI715" s="3"/>
      <c r="AJ715" s="4"/>
      <c r="AK715" s="3"/>
      <c r="AL715" s="4"/>
      <c r="AM715" s="3"/>
      <c r="AN715" s="4"/>
      <c r="AO715" s="3"/>
      <c r="AP715" s="4"/>
      <c r="AQ715" s="3"/>
      <c r="AR715" s="4"/>
      <c r="AS715" s="3"/>
      <c r="AT715" s="4"/>
      <c r="AU715" s="3"/>
      <c r="AV715" s="4"/>
      <c r="AW715" s="3"/>
      <c r="AX715" s="4"/>
      <c r="AY715" s="3"/>
      <c r="AZ715" s="4"/>
      <c r="BA715" s="3"/>
      <c r="BB715" s="4"/>
      <c r="BC715" s="3"/>
      <c r="BD715" s="4"/>
      <c r="BE715" s="3"/>
      <c r="BF715" s="4"/>
      <c r="BG715" s="3"/>
      <c r="BH715" s="4"/>
      <c r="BI715" s="3"/>
      <c r="BJ715" s="4"/>
      <c r="BK715" s="3"/>
      <c r="BL715" s="4"/>
      <c r="BM715" s="3"/>
      <c r="BN715" s="4"/>
      <c r="BO715" s="3"/>
      <c r="BP715" s="4"/>
      <c r="BQ715" s="3"/>
      <c r="BR715" s="4"/>
      <c r="BS715" s="3"/>
      <c r="BT715" s="4"/>
      <c r="BU715" s="3"/>
      <c r="BV715" s="4"/>
      <c r="BW715" s="3"/>
      <c r="BX715" s="4"/>
      <c r="BY715" s="3"/>
      <c r="BZ715" s="4"/>
      <c r="CA715" s="3"/>
      <c r="CB715" s="4"/>
      <c r="CC715" s="3"/>
      <c r="CD715" s="4"/>
    </row>
    <row r="716">
      <c r="A716" s="3"/>
      <c r="B716" s="4"/>
      <c r="C716" s="3"/>
      <c r="D716" s="4"/>
      <c r="E716" s="3"/>
      <c r="F716" s="4"/>
      <c r="G716" s="3"/>
      <c r="H716" s="4"/>
      <c r="I716" s="3"/>
      <c r="J716" s="4"/>
      <c r="K716" s="3"/>
      <c r="L716" s="4"/>
      <c r="M716" s="3"/>
      <c r="N716" s="4"/>
      <c r="O716" s="3"/>
      <c r="P716" s="4"/>
      <c r="Q716" s="3"/>
      <c r="R716" s="4"/>
      <c r="S716" s="3"/>
      <c r="T716" s="4"/>
      <c r="U716" s="3"/>
      <c r="V716" s="4"/>
      <c r="W716" s="3"/>
      <c r="X716" s="4"/>
      <c r="Y716" s="3"/>
      <c r="Z716" s="4"/>
      <c r="AA716" s="3"/>
      <c r="AB716" s="4"/>
      <c r="AC716" s="3"/>
      <c r="AD716" s="4"/>
      <c r="AE716" s="3"/>
      <c r="AF716" s="4"/>
      <c r="AG716" s="3"/>
      <c r="AH716" s="4"/>
      <c r="AI716" s="3"/>
      <c r="AJ716" s="4"/>
      <c r="AK716" s="3"/>
      <c r="AL716" s="4"/>
      <c r="AM716" s="3"/>
      <c r="AN716" s="4"/>
      <c r="AO716" s="3"/>
      <c r="AP716" s="4"/>
      <c r="AQ716" s="3"/>
      <c r="AR716" s="4"/>
      <c r="AS716" s="3"/>
      <c r="AT716" s="4"/>
      <c r="AU716" s="3"/>
      <c r="AV716" s="4"/>
      <c r="AW716" s="3"/>
      <c r="AX716" s="4"/>
      <c r="AY716" s="3"/>
      <c r="AZ716" s="4"/>
      <c r="BA716" s="3"/>
      <c r="BB716" s="4"/>
      <c r="BC716" s="3"/>
      <c r="BD716" s="4"/>
      <c r="BE716" s="3"/>
      <c r="BF716" s="4"/>
      <c r="BG716" s="3"/>
      <c r="BH716" s="4"/>
      <c r="BI716" s="3"/>
      <c r="BJ716" s="4"/>
      <c r="BK716" s="3"/>
      <c r="BL716" s="4"/>
      <c r="BM716" s="3"/>
      <c r="BN716" s="4"/>
      <c r="BO716" s="3"/>
      <c r="BP716" s="4"/>
      <c r="BQ716" s="3"/>
      <c r="BR716" s="4"/>
      <c r="BS716" s="3"/>
      <c r="BT716" s="4"/>
      <c r="BU716" s="3"/>
      <c r="BV716" s="4"/>
      <c r="BW716" s="3"/>
      <c r="BX716" s="4"/>
      <c r="BY716" s="3"/>
      <c r="BZ716" s="4"/>
      <c r="CA716" s="3"/>
      <c r="CB716" s="4"/>
      <c r="CC716" s="3"/>
      <c r="CD716" s="4"/>
    </row>
    <row r="717">
      <c r="A717" s="3"/>
      <c r="B717" s="4"/>
      <c r="C717" s="3"/>
      <c r="D717" s="4"/>
      <c r="E717" s="3"/>
      <c r="F717" s="4"/>
      <c r="G717" s="3"/>
      <c r="H717" s="4"/>
      <c r="I717" s="3"/>
      <c r="J717" s="4"/>
      <c r="K717" s="3"/>
      <c r="L717" s="4"/>
      <c r="M717" s="3"/>
      <c r="N717" s="4"/>
      <c r="O717" s="3"/>
      <c r="P717" s="4"/>
      <c r="Q717" s="3"/>
      <c r="R717" s="4"/>
      <c r="S717" s="3"/>
      <c r="T717" s="4"/>
      <c r="U717" s="3"/>
      <c r="V717" s="4"/>
      <c r="W717" s="3"/>
      <c r="X717" s="4"/>
      <c r="Y717" s="3"/>
      <c r="Z717" s="4"/>
      <c r="AA717" s="3"/>
      <c r="AB717" s="4"/>
      <c r="AC717" s="3"/>
      <c r="AD717" s="4"/>
      <c r="AE717" s="3"/>
      <c r="AF717" s="4"/>
      <c r="AG717" s="3"/>
      <c r="AH717" s="4"/>
      <c r="AI717" s="3"/>
      <c r="AJ717" s="4"/>
      <c r="AK717" s="3"/>
      <c r="AL717" s="4"/>
      <c r="AM717" s="3"/>
      <c r="AN717" s="4"/>
      <c r="AO717" s="3"/>
      <c r="AP717" s="4"/>
      <c r="AQ717" s="3"/>
      <c r="AR717" s="4"/>
      <c r="AS717" s="3"/>
      <c r="AT717" s="4"/>
      <c r="AU717" s="3"/>
      <c r="AV717" s="4"/>
      <c r="AW717" s="3"/>
      <c r="AX717" s="4"/>
      <c r="AY717" s="3"/>
      <c r="AZ717" s="4"/>
      <c r="BA717" s="3"/>
      <c r="BB717" s="4"/>
      <c r="BC717" s="3"/>
      <c r="BD717" s="4"/>
      <c r="BE717" s="3"/>
      <c r="BF717" s="4"/>
      <c r="BG717" s="3"/>
      <c r="BH717" s="4"/>
      <c r="BI717" s="3"/>
      <c r="BJ717" s="4"/>
      <c r="BK717" s="3"/>
      <c r="BL717" s="4"/>
      <c r="BM717" s="3"/>
      <c r="BN717" s="4"/>
      <c r="BO717" s="3"/>
      <c r="BP717" s="4"/>
      <c r="BQ717" s="3"/>
      <c r="BR717" s="4"/>
      <c r="BS717" s="3"/>
      <c r="BT717" s="4"/>
      <c r="BU717" s="3"/>
      <c r="BV717" s="4"/>
      <c r="BW717" s="3"/>
      <c r="BX717" s="4"/>
      <c r="BY717" s="3"/>
      <c r="BZ717" s="4"/>
      <c r="CA717" s="3"/>
      <c r="CB717" s="4"/>
      <c r="CC717" s="3"/>
      <c r="CD717" s="4"/>
    </row>
    <row r="718">
      <c r="A718" s="3"/>
      <c r="B718" s="4"/>
      <c r="C718" s="3"/>
      <c r="D718" s="4"/>
      <c r="E718" s="3"/>
      <c r="F718" s="4"/>
      <c r="G718" s="3"/>
      <c r="H718" s="4"/>
      <c r="I718" s="3"/>
      <c r="J718" s="4"/>
      <c r="K718" s="3"/>
      <c r="L718" s="4"/>
      <c r="M718" s="3"/>
      <c r="N718" s="4"/>
      <c r="O718" s="3"/>
      <c r="P718" s="4"/>
      <c r="Q718" s="3"/>
      <c r="R718" s="4"/>
      <c r="S718" s="3"/>
      <c r="T718" s="4"/>
      <c r="U718" s="3"/>
      <c r="V718" s="4"/>
      <c r="W718" s="3"/>
      <c r="X718" s="4"/>
      <c r="Y718" s="3"/>
      <c r="Z718" s="4"/>
      <c r="AA718" s="3"/>
      <c r="AB718" s="4"/>
      <c r="AC718" s="3"/>
      <c r="AD718" s="4"/>
      <c r="AE718" s="3"/>
      <c r="AF718" s="4"/>
      <c r="AG718" s="3"/>
      <c r="AH718" s="4"/>
      <c r="AI718" s="3"/>
      <c r="AJ718" s="4"/>
      <c r="AK718" s="3"/>
      <c r="AL718" s="4"/>
      <c r="AM718" s="3"/>
      <c r="AN718" s="4"/>
      <c r="AO718" s="3"/>
      <c r="AP718" s="4"/>
      <c r="AQ718" s="3"/>
      <c r="AR718" s="4"/>
      <c r="AS718" s="3"/>
      <c r="AT718" s="4"/>
      <c r="AU718" s="3"/>
      <c r="AV718" s="4"/>
      <c r="AW718" s="3"/>
      <c r="AX718" s="4"/>
      <c r="AY718" s="3"/>
      <c r="AZ718" s="4"/>
      <c r="BA718" s="3"/>
      <c r="BB718" s="4"/>
      <c r="BC718" s="3"/>
      <c r="BD718" s="4"/>
      <c r="BE718" s="3"/>
      <c r="BF718" s="4"/>
      <c r="BG718" s="3"/>
      <c r="BH718" s="4"/>
      <c r="BI718" s="3"/>
      <c r="BJ718" s="4"/>
      <c r="BK718" s="3"/>
      <c r="BL718" s="4"/>
      <c r="BM718" s="3"/>
      <c r="BN718" s="4"/>
      <c r="BO718" s="3"/>
      <c r="BP718" s="4"/>
      <c r="BQ718" s="3"/>
      <c r="BR718" s="4"/>
      <c r="BS718" s="3"/>
      <c r="BT718" s="4"/>
      <c r="BU718" s="3"/>
      <c r="BV718" s="4"/>
      <c r="BW718" s="3"/>
      <c r="BX718" s="4"/>
      <c r="BY718" s="3"/>
      <c r="BZ718" s="4"/>
      <c r="CA718" s="3"/>
      <c r="CB718" s="4"/>
      <c r="CC718" s="3"/>
      <c r="CD718" s="4"/>
    </row>
    <row r="719">
      <c r="A719" s="3"/>
      <c r="B719" s="4"/>
      <c r="C719" s="3"/>
      <c r="D719" s="4"/>
      <c r="E719" s="3"/>
      <c r="F719" s="4"/>
      <c r="G719" s="3"/>
      <c r="H719" s="4"/>
      <c r="I719" s="3"/>
      <c r="J719" s="4"/>
      <c r="K719" s="3"/>
      <c r="L719" s="4"/>
      <c r="M719" s="3"/>
      <c r="N719" s="4"/>
      <c r="O719" s="3"/>
      <c r="P719" s="4"/>
      <c r="Q719" s="3"/>
      <c r="R719" s="4"/>
      <c r="S719" s="3"/>
      <c r="T719" s="4"/>
      <c r="U719" s="3"/>
      <c r="V719" s="4"/>
      <c r="W719" s="3"/>
      <c r="X719" s="4"/>
      <c r="Y719" s="3"/>
      <c r="Z719" s="4"/>
      <c r="AA719" s="3"/>
      <c r="AB719" s="4"/>
      <c r="AC719" s="3"/>
      <c r="AD719" s="4"/>
      <c r="AE719" s="3"/>
      <c r="AF719" s="4"/>
      <c r="AG719" s="3"/>
      <c r="AH719" s="4"/>
      <c r="AI719" s="3"/>
      <c r="AJ719" s="4"/>
      <c r="AK719" s="3"/>
      <c r="AL719" s="4"/>
      <c r="AM719" s="3"/>
      <c r="AN719" s="4"/>
      <c r="AO719" s="3"/>
      <c r="AP719" s="4"/>
      <c r="AQ719" s="3"/>
      <c r="AR719" s="4"/>
      <c r="AS719" s="3"/>
      <c r="AT719" s="4"/>
      <c r="AU719" s="3"/>
      <c r="AV719" s="4"/>
      <c r="AW719" s="3"/>
      <c r="AX719" s="4"/>
      <c r="AY719" s="3"/>
      <c r="AZ719" s="4"/>
      <c r="BA719" s="3"/>
      <c r="BB719" s="4"/>
      <c r="BC719" s="3"/>
      <c r="BD719" s="4"/>
      <c r="BE719" s="3"/>
      <c r="BF719" s="4"/>
      <c r="BG719" s="3"/>
      <c r="BH719" s="4"/>
      <c r="BI719" s="3"/>
      <c r="BJ719" s="4"/>
      <c r="BK719" s="3"/>
      <c r="BL719" s="4"/>
      <c r="BM719" s="3"/>
      <c r="BN719" s="4"/>
      <c r="BO719" s="3"/>
      <c r="BP719" s="4"/>
      <c r="BQ719" s="3"/>
      <c r="BR719" s="4"/>
      <c r="BS719" s="3"/>
      <c r="BT719" s="4"/>
      <c r="BU719" s="3"/>
      <c r="BV719" s="4"/>
      <c r="BW719" s="3"/>
      <c r="BX719" s="4"/>
      <c r="BY719" s="3"/>
      <c r="BZ719" s="4"/>
      <c r="CA719" s="3"/>
      <c r="CB719" s="4"/>
      <c r="CC719" s="3"/>
      <c r="CD719" s="4"/>
    </row>
    <row r="720">
      <c r="A720" s="3"/>
      <c r="B720" s="4"/>
      <c r="C720" s="3"/>
      <c r="D720" s="4"/>
      <c r="E720" s="3"/>
      <c r="F720" s="4"/>
      <c r="G720" s="3"/>
      <c r="H720" s="4"/>
      <c r="I720" s="3"/>
      <c r="J720" s="4"/>
      <c r="K720" s="3"/>
      <c r="L720" s="4"/>
      <c r="M720" s="3"/>
      <c r="N720" s="4"/>
      <c r="O720" s="3"/>
      <c r="P720" s="4"/>
      <c r="Q720" s="3"/>
      <c r="R720" s="4"/>
      <c r="S720" s="3"/>
      <c r="T720" s="4"/>
      <c r="U720" s="3"/>
      <c r="V720" s="4"/>
      <c r="W720" s="3"/>
      <c r="X720" s="4"/>
      <c r="Y720" s="3"/>
      <c r="Z720" s="4"/>
      <c r="AA720" s="3"/>
      <c r="AB720" s="4"/>
      <c r="AC720" s="3"/>
      <c r="AD720" s="4"/>
      <c r="AE720" s="3"/>
      <c r="AF720" s="4"/>
      <c r="AG720" s="3"/>
      <c r="AH720" s="4"/>
      <c r="AI720" s="3"/>
      <c r="AJ720" s="4"/>
      <c r="AK720" s="3"/>
      <c r="AL720" s="4"/>
      <c r="AM720" s="3"/>
      <c r="AN720" s="4"/>
      <c r="AO720" s="3"/>
      <c r="AP720" s="4"/>
      <c r="AQ720" s="3"/>
      <c r="AR720" s="4"/>
      <c r="AS720" s="3"/>
      <c r="AT720" s="4"/>
      <c r="AU720" s="3"/>
      <c r="AV720" s="4"/>
      <c r="AW720" s="3"/>
      <c r="AX720" s="4"/>
      <c r="AY720" s="3"/>
      <c r="AZ720" s="4"/>
      <c r="BA720" s="3"/>
      <c r="BB720" s="4"/>
      <c r="BC720" s="3"/>
      <c r="BD720" s="4"/>
      <c r="BE720" s="3"/>
      <c r="BF720" s="4"/>
      <c r="BG720" s="3"/>
      <c r="BH720" s="4"/>
      <c r="BI720" s="3"/>
      <c r="BJ720" s="4"/>
      <c r="BK720" s="3"/>
      <c r="BL720" s="4"/>
      <c r="BM720" s="3"/>
      <c r="BN720" s="4"/>
      <c r="BO720" s="3"/>
      <c r="BP720" s="4"/>
      <c r="BQ720" s="3"/>
      <c r="BR720" s="4"/>
      <c r="BS720" s="3"/>
      <c r="BT720" s="4"/>
      <c r="BU720" s="3"/>
      <c r="BV720" s="4"/>
      <c r="BW720" s="3"/>
      <c r="BX720" s="4"/>
      <c r="BY720" s="3"/>
      <c r="BZ720" s="4"/>
      <c r="CA720" s="3"/>
      <c r="CB720" s="4"/>
      <c r="CC720" s="3"/>
      <c r="CD720" s="4"/>
    </row>
    <row r="721">
      <c r="A721" s="3"/>
      <c r="B721" s="4"/>
      <c r="C721" s="3"/>
      <c r="D721" s="4"/>
      <c r="E721" s="3"/>
      <c r="F721" s="4"/>
      <c r="G721" s="3"/>
      <c r="H721" s="4"/>
      <c r="I721" s="3"/>
      <c r="J721" s="4"/>
      <c r="K721" s="3"/>
      <c r="L721" s="4"/>
      <c r="M721" s="3"/>
      <c r="N721" s="4"/>
      <c r="O721" s="3"/>
      <c r="P721" s="4"/>
      <c r="Q721" s="3"/>
      <c r="R721" s="4"/>
      <c r="S721" s="3"/>
      <c r="T721" s="4"/>
      <c r="U721" s="3"/>
      <c r="V721" s="4"/>
      <c r="W721" s="3"/>
      <c r="X721" s="4"/>
      <c r="Y721" s="3"/>
      <c r="Z721" s="4"/>
      <c r="AA721" s="3"/>
      <c r="AB721" s="4"/>
      <c r="AC721" s="3"/>
      <c r="AD721" s="4"/>
      <c r="AE721" s="3"/>
      <c r="AF721" s="4"/>
      <c r="AG721" s="3"/>
      <c r="AH721" s="4"/>
      <c r="AI721" s="3"/>
      <c r="AJ721" s="4"/>
      <c r="AK721" s="3"/>
      <c r="AL721" s="4"/>
      <c r="AM721" s="3"/>
      <c r="AN721" s="4"/>
      <c r="AO721" s="3"/>
      <c r="AP721" s="4"/>
      <c r="AQ721" s="3"/>
      <c r="AR721" s="4"/>
      <c r="AS721" s="3"/>
      <c r="AT721" s="4"/>
      <c r="AU721" s="3"/>
      <c r="AV721" s="4"/>
      <c r="AW721" s="3"/>
      <c r="AX721" s="4"/>
      <c r="AY721" s="3"/>
      <c r="AZ721" s="4"/>
      <c r="BA721" s="3"/>
      <c r="BB721" s="4"/>
      <c r="BC721" s="3"/>
      <c r="BD721" s="4"/>
      <c r="BE721" s="3"/>
      <c r="BF721" s="4"/>
      <c r="BG721" s="3"/>
      <c r="BH721" s="4"/>
      <c r="BI721" s="3"/>
      <c r="BJ721" s="4"/>
      <c r="BK721" s="3"/>
      <c r="BL721" s="4"/>
      <c r="BM721" s="3"/>
      <c r="BN721" s="4"/>
      <c r="BO721" s="3"/>
      <c r="BP721" s="4"/>
      <c r="BQ721" s="3"/>
      <c r="BR721" s="4"/>
      <c r="BS721" s="3"/>
      <c r="BT721" s="4"/>
      <c r="BU721" s="3"/>
      <c r="BV721" s="4"/>
      <c r="BW721" s="3"/>
      <c r="BX721" s="4"/>
      <c r="BY721" s="3"/>
      <c r="BZ721" s="4"/>
      <c r="CA721" s="3"/>
      <c r="CB721" s="4"/>
      <c r="CC721" s="3"/>
      <c r="CD721" s="4"/>
    </row>
    <row r="722">
      <c r="A722" s="3"/>
      <c r="B722" s="4"/>
      <c r="C722" s="3"/>
      <c r="D722" s="4"/>
      <c r="E722" s="3"/>
      <c r="F722" s="4"/>
      <c r="G722" s="3"/>
      <c r="H722" s="4"/>
      <c r="I722" s="3"/>
      <c r="J722" s="4"/>
      <c r="K722" s="3"/>
      <c r="L722" s="4"/>
      <c r="M722" s="3"/>
      <c r="N722" s="4"/>
      <c r="O722" s="3"/>
      <c r="P722" s="4"/>
      <c r="Q722" s="3"/>
      <c r="R722" s="4"/>
      <c r="S722" s="3"/>
      <c r="T722" s="4"/>
      <c r="U722" s="3"/>
      <c r="V722" s="4"/>
      <c r="W722" s="3"/>
      <c r="X722" s="4"/>
      <c r="Y722" s="3"/>
      <c r="Z722" s="4"/>
      <c r="AA722" s="3"/>
      <c r="AB722" s="4"/>
      <c r="AC722" s="3"/>
      <c r="AD722" s="4"/>
      <c r="AE722" s="3"/>
      <c r="AF722" s="4"/>
      <c r="AG722" s="3"/>
      <c r="AH722" s="4"/>
      <c r="AI722" s="3"/>
      <c r="AJ722" s="4"/>
      <c r="AK722" s="3"/>
      <c r="AL722" s="4"/>
      <c r="AM722" s="3"/>
      <c r="AN722" s="4"/>
      <c r="AO722" s="3"/>
      <c r="AP722" s="4"/>
      <c r="AQ722" s="3"/>
      <c r="AR722" s="4"/>
      <c r="AS722" s="3"/>
      <c r="AT722" s="4"/>
      <c r="AU722" s="3"/>
      <c r="AV722" s="4"/>
      <c r="AW722" s="3"/>
      <c r="AX722" s="4"/>
      <c r="AY722" s="3"/>
      <c r="AZ722" s="4"/>
      <c r="BA722" s="3"/>
      <c r="BB722" s="4"/>
      <c r="BC722" s="3"/>
      <c r="BD722" s="4"/>
      <c r="BE722" s="3"/>
      <c r="BF722" s="4"/>
      <c r="BG722" s="3"/>
      <c r="BH722" s="4"/>
      <c r="BI722" s="3"/>
      <c r="BJ722" s="4"/>
      <c r="BK722" s="3"/>
      <c r="BL722" s="4"/>
      <c r="BM722" s="3"/>
      <c r="BN722" s="4"/>
      <c r="BO722" s="3"/>
      <c r="BP722" s="4"/>
      <c r="BQ722" s="3"/>
      <c r="BR722" s="4"/>
      <c r="BS722" s="3"/>
      <c r="BT722" s="4"/>
      <c r="BU722" s="3"/>
      <c r="BV722" s="4"/>
      <c r="BW722" s="3"/>
      <c r="BX722" s="4"/>
      <c r="BY722" s="3"/>
      <c r="BZ722" s="4"/>
      <c r="CA722" s="3"/>
      <c r="CB722" s="4"/>
      <c r="CC722" s="3"/>
      <c r="CD722" s="4"/>
    </row>
    <row r="723">
      <c r="A723" s="3"/>
      <c r="B723" s="4"/>
      <c r="C723" s="3"/>
      <c r="D723" s="4"/>
      <c r="E723" s="3"/>
      <c r="F723" s="4"/>
      <c r="G723" s="3"/>
      <c r="H723" s="4"/>
      <c r="I723" s="3"/>
      <c r="J723" s="4"/>
      <c r="K723" s="3"/>
      <c r="L723" s="4"/>
      <c r="M723" s="3"/>
      <c r="N723" s="4"/>
      <c r="O723" s="3"/>
      <c r="P723" s="4"/>
      <c r="Q723" s="3"/>
      <c r="R723" s="4"/>
      <c r="S723" s="3"/>
      <c r="T723" s="4"/>
      <c r="U723" s="3"/>
      <c r="V723" s="4"/>
      <c r="W723" s="3"/>
      <c r="X723" s="4"/>
      <c r="Y723" s="3"/>
      <c r="Z723" s="4"/>
      <c r="AA723" s="3"/>
      <c r="AB723" s="4"/>
      <c r="AC723" s="3"/>
      <c r="AD723" s="4"/>
      <c r="AE723" s="3"/>
      <c r="AF723" s="4"/>
      <c r="AG723" s="3"/>
      <c r="AH723" s="4"/>
      <c r="AI723" s="3"/>
      <c r="AJ723" s="4"/>
      <c r="AK723" s="3"/>
      <c r="AL723" s="4"/>
      <c r="AM723" s="3"/>
      <c r="AN723" s="4"/>
      <c r="AO723" s="3"/>
      <c r="AP723" s="4"/>
      <c r="AQ723" s="3"/>
      <c r="AR723" s="4"/>
      <c r="AS723" s="3"/>
      <c r="AT723" s="4"/>
      <c r="AU723" s="3"/>
      <c r="AV723" s="4"/>
      <c r="AW723" s="3"/>
      <c r="AX723" s="4"/>
      <c r="AY723" s="3"/>
      <c r="AZ723" s="4"/>
      <c r="BA723" s="3"/>
      <c r="BB723" s="4"/>
      <c r="BC723" s="3"/>
      <c r="BD723" s="4"/>
      <c r="BE723" s="3"/>
      <c r="BF723" s="4"/>
      <c r="BG723" s="3"/>
      <c r="BH723" s="4"/>
      <c r="BI723" s="3"/>
      <c r="BJ723" s="4"/>
      <c r="BK723" s="3"/>
      <c r="BL723" s="4"/>
      <c r="BM723" s="3"/>
      <c r="BN723" s="4"/>
      <c r="BO723" s="3"/>
      <c r="BP723" s="4"/>
      <c r="BQ723" s="3"/>
      <c r="BR723" s="4"/>
      <c r="BS723" s="3"/>
      <c r="BT723" s="4"/>
      <c r="BU723" s="3"/>
      <c r="BV723" s="4"/>
      <c r="BW723" s="3"/>
      <c r="BX723" s="4"/>
      <c r="BY723" s="3"/>
      <c r="BZ723" s="4"/>
      <c r="CA723" s="3"/>
      <c r="CB723" s="4"/>
      <c r="CC723" s="3"/>
      <c r="CD723" s="4"/>
    </row>
    <row r="724">
      <c r="A724" s="3"/>
      <c r="B724" s="4"/>
      <c r="C724" s="3"/>
      <c r="D724" s="4"/>
      <c r="E724" s="3"/>
      <c r="F724" s="4"/>
      <c r="G724" s="3"/>
      <c r="H724" s="4"/>
      <c r="I724" s="3"/>
      <c r="J724" s="4"/>
      <c r="K724" s="3"/>
      <c r="L724" s="4"/>
      <c r="M724" s="3"/>
      <c r="N724" s="4"/>
      <c r="O724" s="3"/>
      <c r="P724" s="4"/>
      <c r="Q724" s="3"/>
      <c r="R724" s="4"/>
      <c r="S724" s="3"/>
      <c r="T724" s="4"/>
      <c r="U724" s="3"/>
      <c r="V724" s="4"/>
      <c r="W724" s="3"/>
      <c r="X724" s="4"/>
      <c r="Y724" s="3"/>
      <c r="Z724" s="4"/>
      <c r="AA724" s="3"/>
      <c r="AB724" s="4"/>
      <c r="AC724" s="3"/>
      <c r="AD724" s="4"/>
      <c r="AE724" s="3"/>
      <c r="AF724" s="4"/>
      <c r="AG724" s="3"/>
      <c r="AH724" s="4"/>
      <c r="AI724" s="3"/>
      <c r="AJ724" s="4"/>
      <c r="AK724" s="3"/>
      <c r="AL724" s="4"/>
      <c r="AM724" s="3"/>
      <c r="AN724" s="4"/>
      <c r="AO724" s="3"/>
      <c r="AP724" s="4"/>
      <c r="AQ724" s="3"/>
      <c r="AR724" s="4"/>
      <c r="AS724" s="3"/>
      <c r="AT724" s="4"/>
      <c r="AU724" s="3"/>
      <c r="AV724" s="4"/>
      <c r="AW724" s="3"/>
      <c r="AX724" s="4"/>
      <c r="AY724" s="3"/>
      <c r="AZ724" s="4"/>
      <c r="BA724" s="3"/>
      <c r="BB724" s="4"/>
      <c r="BC724" s="3"/>
      <c r="BD724" s="4"/>
      <c r="BE724" s="3"/>
      <c r="BF724" s="4"/>
      <c r="BG724" s="3"/>
      <c r="BH724" s="4"/>
      <c r="BI724" s="3"/>
      <c r="BJ724" s="4"/>
      <c r="BK724" s="3"/>
      <c r="BL724" s="4"/>
      <c r="BM724" s="3"/>
      <c r="BN724" s="4"/>
      <c r="BO724" s="3"/>
      <c r="BP724" s="4"/>
      <c r="BQ724" s="3"/>
      <c r="BR724" s="4"/>
      <c r="BS724" s="3"/>
      <c r="BT724" s="4"/>
      <c r="BU724" s="3"/>
      <c r="BV724" s="4"/>
      <c r="BW724" s="3"/>
      <c r="BX724" s="4"/>
      <c r="BY724" s="3"/>
      <c r="BZ724" s="4"/>
      <c r="CA724" s="3"/>
      <c r="CB724" s="4"/>
      <c r="CC724" s="3"/>
      <c r="CD724" s="4"/>
    </row>
    <row r="725">
      <c r="A725" s="3"/>
      <c r="B725" s="4"/>
      <c r="C725" s="3"/>
      <c r="D725" s="4"/>
      <c r="E725" s="3"/>
      <c r="F725" s="4"/>
      <c r="G725" s="3"/>
      <c r="H725" s="4"/>
      <c r="I725" s="3"/>
      <c r="J725" s="4"/>
      <c r="K725" s="3"/>
      <c r="L725" s="4"/>
      <c r="M725" s="3"/>
      <c r="N725" s="4"/>
      <c r="O725" s="3"/>
      <c r="P725" s="4"/>
      <c r="Q725" s="3"/>
      <c r="R725" s="4"/>
      <c r="S725" s="3"/>
      <c r="T725" s="4"/>
      <c r="U725" s="3"/>
      <c r="V725" s="4"/>
      <c r="W725" s="3"/>
      <c r="X725" s="4"/>
      <c r="Y725" s="3"/>
      <c r="Z725" s="4"/>
      <c r="AA725" s="3"/>
      <c r="AB725" s="4"/>
      <c r="AC725" s="3"/>
      <c r="AD725" s="4"/>
      <c r="AE725" s="3"/>
      <c r="AF725" s="4"/>
      <c r="AG725" s="3"/>
      <c r="AH725" s="4"/>
      <c r="AI725" s="3"/>
      <c r="AJ725" s="4"/>
      <c r="AK725" s="3"/>
      <c r="AL725" s="4"/>
      <c r="AM725" s="3"/>
      <c r="AN725" s="4"/>
      <c r="AO725" s="3"/>
      <c r="AP725" s="4"/>
      <c r="AQ725" s="3"/>
      <c r="AR725" s="4"/>
      <c r="AS725" s="3"/>
      <c r="AT725" s="4"/>
      <c r="AU725" s="3"/>
      <c r="AV725" s="4"/>
      <c r="AW725" s="3"/>
      <c r="AX725" s="4"/>
      <c r="AY725" s="3"/>
      <c r="AZ725" s="4"/>
      <c r="BA725" s="3"/>
      <c r="BB725" s="4"/>
      <c r="BC725" s="3"/>
      <c r="BD725" s="4"/>
      <c r="BE725" s="3"/>
      <c r="BF725" s="4"/>
      <c r="BG725" s="3"/>
      <c r="BH725" s="4"/>
      <c r="BI725" s="3"/>
      <c r="BJ725" s="4"/>
      <c r="BK725" s="3"/>
      <c r="BL725" s="4"/>
      <c r="BM725" s="3"/>
      <c r="BN725" s="4"/>
      <c r="BO725" s="3"/>
      <c r="BP725" s="4"/>
      <c r="BQ725" s="3"/>
      <c r="BR725" s="4"/>
      <c r="BS725" s="3"/>
      <c r="BT725" s="4"/>
      <c r="BU725" s="3"/>
      <c r="BV725" s="4"/>
      <c r="BW725" s="3"/>
      <c r="BX725" s="4"/>
      <c r="BY725" s="3"/>
      <c r="BZ725" s="4"/>
      <c r="CA725" s="3"/>
      <c r="CB725" s="4"/>
      <c r="CC725" s="3"/>
      <c r="CD725" s="4"/>
    </row>
    <row r="726">
      <c r="A726" s="3"/>
      <c r="B726" s="4"/>
      <c r="C726" s="3"/>
      <c r="D726" s="4"/>
      <c r="E726" s="3"/>
      <c r="F726" s="4"/>
      <c r="G726" s="3"/>
      <c r="H726" s="4"/>
      <c r="I726" s="3"/>
      <c r="J726" s="4"/>
      <c r="K726" s="3"/>
      <c r="L726" s="4"/>
      <c r="M726" s="3"/>
      <c r="N726" s="4"/>
      <c r="O726" s="3"/>
      <c r="P726" s="4"/>
      <c r="Q726" s="3"/>
      <c r="R726" s="4"/>
      <c r="S726" s="3"/>
      <c r="T726" s="4"/>
      <c r="U726" s="3"/>
      <c r="V726" s="4"/>
      <c r="W726" s="3"/>
      <c r="X726" s="4"/>
      <c r="Y726" s="3"/>
      <c r="Z726" s="4"/>
      <c r="AA726" s="3"/>
      <c r="AB726" s="4"/>
      <c r="AC726" s="3"/>
      <c r="AD726" s="4"/>
      <c r="AE726" s="3"/>
      <c r="AF726" s="4"/>
      <c r="AG726" s="3"/>
      <c r="AH726" s="4"/>
      <c r="AI726" s="3"/>
      <c r="AJ726" s="4"/>
      <c r="AK726" s="3"/>
      <c r="AL726" s="4"/>
      <c r="AM726" s="3"/>
      <c r="AN726" s="4"/>
      <c r="AO726" s="3"/>
      <c r="AP726" s="4"/>
      <c r="AQ726" s="3"/>
      <c r="AR726" s="4"/>
      <c r="AS726" s="3"/>
      <c r="AT726" s="4"/>
      <c r="AU726" s="3"/>
      <c r="AV726" s="4"/>
      <c r="AW726" s="3"/>
      <c r="AX726" s="4"/>
      <c r="AY726" s="3"/>
      <c r="AZ726" s="4"/>
      <c r="BA726" s="3"/>
      <c r="BB726" s="4"/>
      <c r="BC726" s="3"/>
      <c r="BD726" s="4"/>
      <c r="BE726" s="3"/>
      <c r="BF726" s="4"/>
      <c r="BG726" s="3"/>
      <c r="BH726" s="4"/>
      <c r="BI726" s="3"/>
      <c r="BJ726" s="4"/>
      <c r="BK726" s="3"/>
      <c r="BL726" s="4"/>
      <c r="BM726" s="3"/>
      <c r="BN726" s="4"/>
      <c r="BO726" s="3"/>
      <c r="BP726" s="4"/>
      <c r="BQ726" s="3"/>
      <c r="BR726" s="4"/>
      <c r="BS726" s="3"/>
      <c r="BT726" s="4"/>
      <c r="BU726" s="3"/>
      <c r="BV726" s="4"/>
      <c r="BW726" s="3"/>
      <c r="BX726" s="4"/>
      <c r="BY726" s="3"/>
      <c r="BZ726" s="4"/>
      <c r="CA726" s="3"/>
      <c r="CB726" s="4"/>
      <c r="CC726" s="3"/>
      <c r="CD726" s="4"/>
    </row>
    <row r="727">
      <c r="A727" s="3"/>
      <c r="B727" s="4"/>
      <c r="C727" s="3"/>
      <c r="D727" s="4"/>
      <c r="E727" s="3"/>
      <c r="F727" s="4"/>
      <c r="G727" s="3"/>
      <c r="H727" s="4"/>
      <c r="I727" s="3"/>
      <c r="J727" s="4"/>
      <c r="K727" s="3"/>
      <c r="L727" s="4"/>
      <c r="M727" s="3"/>
      <c r="N727" s="4"/>
      <c r="O727" s="3"/>
      <c r="P727" s="4"/>
      <c r="Q727" s="3"/>
      <c r="R727" s="4"/>
      <c r="S727" s="3"/>
      <c r="T727" s="4"/>
      <c r="U727" s="3"/>
      <c r="V727" s="4"/>
      <c r="W727" s="3"/>
      <c r="X727" s="4"/>
      <c r="Y727" s="3"/>
      <c r="Z727" s="4"/>
      <c r="AA727" s="3"/>
      <c r="AB727" s="4"/>
      <c r="AC727" s="3"/>
      <c r="AD727" s="4"/>
      <c r="AE727" s="3"/>
      <c r="AF727" s="4"/>
      <c r="AG727" s="3"/>
      <c r="AH727" s="4"/>
      <c r="AI727" s="3"/>
      <c r="AJ727" s="4"/>
      <c r="AK727" s="3"/>
      <c r="AL727" s="4"/>
      <c r="AM727" s="3"/>
      <c r="AN727" s="4"/>
      <c r="AO727" s="3"/>
      <c r="AP727" s="4"/>
      <c r="AQ727" s="3"/>
      <c r="AR727" s="4"/>
      <c r="AS727" s="3"/>
      <c r="AT727" s="4"/>
      <c r="AU727" s="3"/>
      <c r="AV727" s="4"/>
      <c r="AW727" s="3"/>
      <c r="AX727" s="4"/>
      <c r="AY727" s="3"/>
      <c r="AZ727" s="4"/>
      <c r="BA727" s="3"/>
      <c r="BB727" s="4"/>
      <c r="BC727" s="3"/>
      <c r="BD727" s="4"/>
      <c r="BE727" s="3"/>
      <c r="BF727" s="4"/>
      <c r="BG727" s="3"/>
      <c r="BH727" s="4"/>
      <c r="BI727" s="3"/>
      <c r="BJ727" s="4"/>
      <c r="BK727" s="3"/>
      <c r="BL727" s="4"/>
      <c r="BM727" s="3"/>
      <c r="BN727" s="4"/>
      <c r="BO727" s="3"/>
      <c r="BP727" s="4"/>
      <c r="BQ727" s="3"/>
      <c r="BR727" s="4"/>
      <c r="BS727" s="3"/>
      <c r="BT727" s="4"/>
      <c r="BU727" s="3"/>
      <c r="BV727" s="4"/>
      <c r="BW727" s="3"/>
      <c r="BX727" s="4"/>
      <c r="BY727" s="3"/>
      <c r="BZ727" s="4"/>
      <c r="CA727" s="3"/>
      <c r="CB727" s="4"/>
      <c r="CC727" s="3"/>
      <c r="CD727" s="4"/>
    </row>
    <row r="728">
      <c r="A728" s="3"/>
      <c r="B728" s="4"/>
      <c r="C728" s="3"/>
      <c r="D728" s="4"/>
      <c r="E728" s="3"/>
      <c r="F728" s="4"/>
      <c r="G728" s="3"/>
      <c r="H728" s="4"/>
      <c r="I728" s="3"/>
      <c r="J728" s="4"/>
      <c r="K728" s="3"/>
      <c r="L728" s="4"/>
      <c r="M728" s="3"/>
      <c r="N728" s="4"/>
      <c r="O728" s="3"/>
      <c r="P728" s="4"/>
      <c r="Q728" s="3"/>
      <c r="R728" s="4"/>
      <c r="S728" s="3"/>
      <c r="T728" s="4"/>
      <c r="U728" s="3"/>
      <c r="V728" s="4"/>
      <c r="W728" s="3"/>
      <c r="X728" s="4"/>
      <c r="Y728" s="3"/>
      <c r="Z728" s="4"/>
      <c r="AA728" s="3"/>
      <c r="AB728" s="4"/>
      <c r="AC728" s="3"/>
      <c r="AD728" s="4"/>
      <c r="AE728" s="3"/>
      <c r="AF728" s="4"/>
      <c r="AG728" s="3"/>
      <c r="AH728" s="4"/>
      <c r="AI728" s="3"/>
      <c r="AJ728" s="4"/>
      <c r="AK728" s="3"/>
      <c r="AL728" s="4"/>
      <c r="AM728" s="3"/>
      <c r="AN728" s="4"/>
      <c r="AO728" s="3"/>
      <c r="AP728" s="4"/>
      <c r="AQ728" s="3"/>
      <c r="AR728" s="4"/>
      <c r="AS728" s="3"/>
      <c r="AT728" s="4"/>
      <c r="AU728" s="3"/>
      <c r="AV728" s="4"/>
      <c r="AW728" s="3"/>
      <c r="AX728" s="4"/>
      <c r="AY728" s="3"/>
      <c r="AZ728" s="4"/>
      <c r="BA728" s="3"/>
      <c r="BB728" s="4"/>
      <c r="BC728" s="3"/>
      <c r="BD728" s="4"/>
      <c r="BE728" s="3"/>
      <c r="BF728" s="4"/>
      <c r="BG728" s="3"/>
      <c r="BH728" s="4"/>
      <c r="BI728" s="3"/>
      <c r="BJ728" s="4"/>
      <c r="BK728" s="3"/>
      <c r="BL728" s="4"/>
      <c r="BM728" s="3"/>
      <c r="BN728" s="4"/>
      <c r="BO728" s="3"/>
      <c r="BP728" s="4"/>
      <c r="BQ728" s="3"/>
      <c r="BR728" s="4"/>
      <c r="BS728" s="3"/>
      <c r="BT728" s="4"/>
      <c r="BU728" s="3"/>
      <c r="BV728" s="4"/>
      <c r="BW728" s="3"/>
      <c r="BX728" s="4"/>
      <c r="BY728" s="3"/>
      <c r="BZ728" s="4"/>
      <c r="CA728" s="3"/>
      <c r="CB728" s="4"/>
      <c r="CC728" s="3"/>
      <c r="CD728" s="4"/>
    </row>
    <row r="729">
      <c r="A729" s="3"/>
      <c r="B729" s="4"/>
      <c r="C729" s="3"/>
      <c r="D729" s="4"/>
      <c r="E729" s="3"/>
      <c r="F729" s="4"/>
      <c r="G729" s="3"/>
      <c r="H729" s="4"/>
      <c r="I729" s="3"/>
      <c r="J729" s="4"/>
      <c r="K729" s="3"/>
      <c r="L729" s="4"/>
      <c r="M729" s="3"/>
      <c r="N729" s="4"/>
      <c r="O729" s="3"/>
      <c r="P729" s="4"/>
      <c r="Q729" s="3"/>
      <c r="R729" s="4"/>
      <c r="S729" s="3"/>
      <c r="T729" s="4"/>
      <c r="U729" s="3"/>
      <c r="V729" s="4"/>
      <c r="W729" s="3"/>
      <c r="X729" s="4"/>
      <c r="Y729" s="3"/>
      <c r="Z729" s="4"/>
      <c r="AA729" s="3"/>
      <c r="AB729" s="4"/>
      <c r="AC729" s="3"/>
      <c r="AD729" s="4"/>
      <c r="AE729" s="3"/>
      <c r="AF729" s="4"/>
      <c r="AG729" s="3"/>
      <c r="AH729" s="4"/>
      <c r="AI729" s="3"/>
      <c r="AJ729" s="4"/>
      <c r="AK729" s="3"/>
      <c r="AL729" s="4"/>
      <c r="AM729" s="3"/>
      <c r="AN729" s="4"/>
      <c r="AO729" s="3"/>
      <c r="AP729" s="4"/>
      <c r="AQ729" s="3"/>
      <c r="AR729" s="4"/>
      <c r="AS729" s="3"/>
      <c r="AT729" s="4"/>
      <c r="AU729" s="3"/>
      <c r="AV729" s="4"/>
      <c r="AW729" s="3"/>
      <c r="AX729" s="4"/>
      <c r="AY729" s="3"/>
      <c r="AZ729" s="4"/>
      <c r="BA729" s="3"/>
      <c r="BB729" s="4"/>
      <c r="BC729" s="3"/>
      <c r="BD729" s="4"/>
      <c r="BE729" s="3"/>
      <c r="BF729" s="4"/>
      <c r="BG729" s="3"/>
      <c r="BH729" s="4"/>
      <c r="BI729" s="3"/>
      <c r="BJ729" s="4"/>
      <c r="BK729" s="3"/>
      <c r="BL729" s="4"/>
      <c r="BM729" s="3"/>
      <c r="BN729" s="4"/>
      <c r="BO729" s="3"/>
      <c r="BP729" s="4"/>
      <c r="BQ729" s="3"/>
      <c r="BR729" s="4"/>
      <c r="BS729" s="3"/>
      <c r="BT729" s="4"/>
      <c r="BU729" s="3"/>
      <c r="BV729" s="4"/>
      <c r="BW729" s="3"/>
      <c r="BX729" s="4"/>
      <c r="BY729" s="3"/>
      <c r="BZ729" s="4"/>
      <c r="CA729" s="3"/>
      <c r="CB729" s="4"/>
      <c r="CC729" s="3"/>
      <c r="CD729" s="4"/>
    </row>
    <row r="730">
      <c r="A730" s="3"/>
      <c r="B730" s="4"/>
      <c r="C730" s="3"/>
      <c r="D730" s="4"/>
      <c r="E730" s="3"/>
      <c r="F730" s="4"/>
      <c r="G730" s="3"/>
      <c r="H730" s="4"/>
      <c r="I730" s="3"/>
      <c r="J730" s="4"/>
      <c r="K730" s="3"/>
      <c r="L730" s="4"/>
      <c r="M730" s="3"/>
      <c r="N730" s="4"/>
      <c r="O730" s="3"/>
      <c r="P730" s="4"/>
      <c r="Q730" s="3"/>
      <c r="R730" s="4"/>
      <c r="S730" s="3"/>
      <c r="T730" s="4"/>
      <c r="U730" s="3"/>
      <c r="V730" s="4"/>
      <c r="W730" s="3"/>
      <c r="X730" s="4"/>
      <c r="Y730" s="3"/>
      <c r="Z730" s="4"/>
      <c r="AA730" s="3"/>
      <c r="AB730" s="4"/>
      <c r="AC730" s="3"/>
      <c r="AD730" s="4"/>
      <c r="AE730" s="3"/>
      <c r="AF730" s="4"/>
      <c r="AG730" s="3"/>
      <c r="AH730" s="4"/>
      <c r="AI730" s="3"/>
      <c r="AJ730" s="4"/>
      <c r="AK730" s="3"/>
      <c r="AL730" s="4"/>
      <c r="AM730" s="3"/>
      <c r="AN730" s="4"/>
      <c r="AO730" s="3"/>
      <c r="AP730" s="4"/>
      <c r="AQ730" s="3"/>
      <c r="AR730" s="4"/>
      <c r="AS730" s="3"/>
      <c r="AT730" s="4"/>
      <c r="AU730" s="3"/>
      <c r="AV730" s="4"/>
      <c r="AW730" s="3"/>
      <c r="AX730" s="4"/>
      <c r="AY730" s="3"/>
      <c r="AZ730" s="4"/>
      <c r="BA730" s="3"/>
      <c r="BB730" s="4"/>
      <c r="BC730" s="3"/>
      <c r="BD730" s="4"/>
      <c r="BE730" s="3"/>
      <c r="BF730" s="4"/>
      <c r="BG730" s="3"/>
      <c r="BH730" s="4"/>
      <c r="BI730" s="3"/>
      <c r="BJ730" s="4"/>
      <c r="BK730" s="3"/>
      <c r="BL730" s="4"/>
      <c r="BM730" s="3"/>
      <c r="BN730" s="4"/>
      <c r="BO730" s="3"/>
      <c r="BP730" s="4"/>
      <c r="BQ730" s="3"/>
      <c r="BR730" s="4"/>
      <c r="BS730" s="3"/>
      <c r="BT730" s="4"/>
      <c r="BU730" s="3"/>
      <c r="BV730" s="4"/>
      <c r="BW730" s="3"/>
      <c r="BX730" s="4"/>
      <c r="BY730" s="3"/>
      <c r="BZ730" s="4"/>
      <c r="CA730" s="3"/>
      <c r="CB730" s="4"/>
      <c r="CC730" s="3"/>
      <c r="CD730" s="4"/>
    </row>
    <row r="731">
      <c r="A731" s="3"/>
      <c r="B731" s="4"/>
      <c r="C731" s="3"/>
      <c r="D731" s="4"/>
      <c r="E731" s="3"/>
      <c r="F731" s="4"/>
      <c r="G731" s="3"/>
      <c r="H731" s="4"/>
      <c r="I731" s="3"/>
      <c r="J731" s="4"/>
      <c r="K731" s="3"/>
      <c r="L731" s="4"/>
      <c r="M731" s="3"/>
      <c r="N731" s="4"/>
      <c r="O731" s="3"/>
      <c r="P731" s="4"/>
      <c r="Q731" s="3"/>
      <c r="R731" s="4"/>
      <c r="S731" s="3"/>
      <c r="T731" s="4"/>
      <c r="U731" s="3"/>
      <c r="V731" s="4"/>
      <c r="W731" s="3"/>
      <c r="X731" s="4"/>
      <c r="Y731" s="3"/>
      <c r="Z731" s="4"/>
      <c r="AA731" s="3"/>
      <c r="AB731" s="4"/>
      <c r="AC731" s="3"/>
      <c r="AD731" s="4"/>
      <c r="AE731" s="3"/>
      <c r="AF731" s="4"/>
      <c r="AG731" s="3"/>
      <c r="AH731" s="4"/>
      <c r="AI731" s="3"/>
      <c r="AJ731" s="4"/>
      <c r="AK731" s="3"/>
      <c r="AL731" s="4"/>
      <c r="AM731" s="3"/>
      <c r="AN731" s="4"/>
      <c r="AO731" s="3"/>
      <c r="AP731" s="4"/>
      <c r="AQ731" s="3"/>
      <c r="AR731" s="4"/>
      <c r="AS731" s="3"/>
      <c r="AT731" s="4"/>
      <c r="AU731" s="3"/>
      <c r="AV731" s="4"/>
      <c r="AW731" s="3"/>
      <c r="AX731" s="4"/>
      <c r="AY731" s="3"/>
      <c r="AZ731" s="4"/>
      <c r="BA731" s="3"/>
      <c r="BB731" s="4"/>
      <c r="BC731" s="3"/>
      <c r="BD731" s="4"/>
      <c r="BE731" s="3"/>
      <c r="BF731" s="4"/>
      <c r="BG731" s="3"/>
      <c r="BH731" s="4"/>
      <c r="BI731" s="3"/>
      <c r="BJ731" s="4"/>
      <c r="BK731" s="3"/>
      <c r="BL731" s="4"/>
      <c r="BM731" s="3"/>
      <c r="BN731" s="4"/>
      <c r="BO731" s="3"/>
      <c r="BP731" s="4"/>
      <c r="BQ731" s="3"/>
      <c r="BR731" s="4"/>
      <c r="BS731" s="3"/>
      <c r="BT731" s="4"/>
      <c r="BU731" s="3"/>
      <c r="BV731" s="4"/>
      <c r="BW731" s="3"/>
      <c r="BX731" s="4"/>
      <c r="BY731" s="3"/>
      <c r="BZ731" s="4"/>
      <c r="CA731" s="3"/>
      <c r="CB731" s="4"/>
      <c r="CC731" s="3"/>
      <c r="CD731" s="4"/>
    </row>
    <row r="732">
      <c r="A732" s="3"/>
      <c r="B732" s="4"/>
      <c r="C732" s="3"/>
      <c r="D732" s="4"/>
      <c r="E732" s="3"/>
      <c r="F732" s="4"/>
      <c r="G732" s="3"/>
      <c r="H732" s="4"/>
      <c r="I732" s="3"/>
      <c r="J732" s="4"/>
      <c r="K732" s="3"/>
      <c r="L732" s="4"/>
      <c r="M732" s="3"/>
      <c r="N732" s="4"/>
      <c r="O732" s="3"/>
      <c r="P732" s="4"/>
      <c r="Q732" s="3"/>
      <c r="R732" s="4"/>
      <c r="S732" s="3"/>
      <c r="T732" s="4"/>
      <c r="U732" s="3"/>
      <c r="V732" s="4"/>
      <c r="W732" s="3"/>
      <c r="X732" s="4"/>
      <c r="Y732" s="3"/>
      <c r="Z732" s="4"/>
      <c r="AA732" s="3"/>
      <c r="AB732" s="4"/>
      <c r="AC732" s="3"/>
      <c r="AD732" s="4"/>
      <c r="AE732" s="3"/>
      <c r="AF732" s="4"/>
      <c r="AG732" s="3"/>
      <c r="AH732" s="4"/>
      <c r="AI732" s="3"/>
      <c r="AJ732" s="4"/>
      <c r="AK732" s="3"/>
      <c r="AL732" s="4"/>
      <c r="AM732" s="3"/>
      <c r="AN732" s="4"/>
      <c r="AO732" s="3"/>
      <c r="AP732" s="4"/>
      <c r="AQ732" s="3"/>
      <c r="AR732" s="4"/>
      <c r="AS732" s="3"/>
      <c r="AT732" s="4"/>
      <c r="AU732" s="3"/>
      <c r="AV732" s="4"/>
      <c r="AW732" s="3"/>
      <c r="AX732" s="4"/>
      <c r="AY732" s="3"/>
      <c r="AZ732" s="4"/>
      <c r="BA732" s="3"/>
      <c r="BB732" s="4"/>
      <c r="BC732" s="3"/>
      <c r="BD732" s="4"/>
      <c r="BE732" s="3"/>
      <c r="BF732" s="4"/>
      <c r="BG732" s="3"/>
      <c r="BH732" s="4"/>
      <c r="BI732" s="3"/>
      <c r="BJ732" s="4"/>
      <c r="BK732" s="3"/>
      <c r="BL732" s="4"/>
      <c r="BM732" s="3"/>
      <c r="BN732" s="4"/>
      <c r="BO732" s="3"/>
      <c r="BP732" s="4"/>
      <c r="BQ732" s="3"/>
      <c r="BR732" s="4"/>
      <c r="BS732" s="3"/>
      <c r="BT732" s="4"/>
      <c r="BU732" s="3"/>
      <c r="BV732" s="4"/>
      <c r="BW732" s="3"/>
      <c r="BX732" s="4"/>
      <c r="BY732" s="3"/>
      <c r="BZ732" s="4"/>
      <c r="CA732" s="3"/>
      <c r="CB732" s="4"/>
      <c r="CC732" s="3"/>
      <c r="CD732" s="4"/>
    </row>
    <row r="733">
      <c r="A733" s="3"/>
      <c r="B733" s="4"/>
      <c r="C733" s="3"/>
      <c r="D733" s="4"/>
      <c r="E733" s="3"/>
      <c r="F733" s="4"/>
      <c r="G733" s="3"/>
      <c r="H733" s="4"/>
      <c r="I733" s="3"/>
      <c r="J733" s="4"/>
      <c r="K733" s="3"/>
      <c r="L733" s="4"/>
      <c r="M733" s="3"/>
      <c r="N733" s="4"/>
      <c r="O733" s="3"/>
      <c r="P733" s="4"/>
      <c r="Q733" s="3"/>
      <c r="R733" s="4"/>
      <c r="S733" s="3"/>
      <c r="T733" s="4"/>
      <c r="U733" s="3"/>
      <c r="V733" s="4"/>
      <c r="W733" s="3"/>
      <c r="X733" s="4"/>
      <c r="Y733" s="3"/>
      <c r="Z733" s="4"/>
      <c r="AA733" s="3"/>
      <c r="AB733" s="4"/>
      <c r="AC733" s="3"/>
      <c r="AD733" s="4"/>
      <c r="AE733" s="3"/>
      <c r="AF733" s="4"/>
      <c r="AG733" s="3"/>
      <c r="AH733" s="4"/>
      <c r="AI733" s="3"/>
      <c r="AJ733" s="4"/>
      <c r="AK733" s="3"/>
      <c r="AL733" s="4"/>
      <c r="AM733" s="3"/>
      <c r="AN733" s="4"/>
      <c r="AO733" s="3"/>
      <c r="AP733" s="4"/>
      <c r="AQ733" s="3"/>
      <c r="AR733" s="4"/>
      <c r="AS733" s="3"/>
      <c r="AT733" s="4"/>
      <c r="AU733" s="3"/>
      <c r="AV733" s="4"/>
      <c r="AW733" s="3"/>
      <c r="AX733" s="4"/>
      <c r="AY733" s="3"/>
      <c r="AZ733" s="4"/>
      <c r="BA733" s="3"/>
      <c r="BB733" s="4"/>
      <c r="BC733" s="3"/>
      <c r="BD733" s="4"/>
      <c r="BE733" s="3"/>
      <c r="BF733" s="4"/>
      <c r="BG733" s="3"/>
      <c r="BH733" s="4"/>
      <c r="BI733" s="3"/>
      <c r="BJ733" s="4"/>
      <c r="BK733" s="3"/>
      <c r="BL733" s="4"/>
      <c r="BM733" s="3"/>
      <c r="BN733" s="4"/>
      <c r="BO733" s="3"/>
      <c r="BP733" s="4"/>
      <c r="BQ733" s="3"/>
      <c r="BR733" s="4"/>
      <c r="BS733" s="3"/>
      <c r="BT733" s="4"/>
      <c r="BU733" s="3"/>
      <c r="BV733" s="4"/>
      <c r="BW733" s="3"/>
      <c r="BX733" s="4"/>
      <c r="BY733" s="3"/>
      <c r="BZ733" s="4"/>
      <c r="CA733" s="3"/>
      <c r="CB733" s="4"/>
      <c r="CC733" s="3"/>
      <c r="CD733" s="4"/>
    </row>
    <row r="734">
      <c r="A734" s="3"/>
      <c r="B734" s="4"/>
      <c r="C734" s="3"/>
      <c r="D734" s="4"/>
      <c r="E734" s="3"/>
      <c r="F734" s="4"/>
      <c r="G734" s="3"/>
      <c r="H734" s="4"/>
      <c r="I734" s="3"/>
      <c r="J734" s="4"/>
      <c r="K734" s="3"/>
      <c r="L734" s="4"/>
      <c r="M734" s="3"/>
      <c r="N734" s="4"/>
      <c r="O734" s="3"/>
      <c r="P734" s="4"/>
      <c r="Q734" s="3"/>
      <c r="R734" s="4"/>
      <c r="S734" s="3"/>
      <c r="T734" s="4"/>
      <c r="U734" s="3"/>
      <c r="V734" s="4"/>
      <c r="W734" s="3"/>
      <c r="X734" s="4"/>
      <c r="Y734" s="3"/>
      <c r="Z734" s="4"/>
      <c r="AA734" s="3"/>
      <c r="AB734" s="4"/>
      <c r="AC734" s="3"/>
      <c r="AD734" s="4"/>
      <c r="AE734" s="3"/>
      <c r="AF734" s="4"/>
      <c r="AG734" s="3"/>
      <c r="AH734" s="4"/>
      <c r="AI734" s="3"/>
      <c r="AJ734" s="4"/>
      <c r="AK734" s="3"/>
      <c r="AL734" s="4"/>
      <c r="AM734" s="3"/>
      <c r="AN734" s="4"/>
      <c r="AO734" s="3"/>
      <c r="AP734" s="4"/>
      <c r="AQ734" s="3"/>
      <c r="AR734" s="4"/>
      <c r="AS734" s="3"/>
      <c r="AT734" s="4"/>
      <c r="AU734" s="3"/>
      <c r="AV734" s="4"/>
      <c r="AW734" s="3"/>
      <c r="AX734" s="4"/>
      <c r="AY734" s="3"/>
      <c r="AZ734" s="4"/>
      <c r="BA734" s="3"/>
      <c r="BB734" s="4"/>
      <c r="BC734" s="3"/>
      <c r="BD734" s="4"/>
      <c r="BE734" s="3"/>
      <c r="BF734" s="4"/>
      <c r="BG734" s="3"/>
      <c r="BH734" s="4"/>
      <c r="BI734" s="3"/>
      <c r="BJ734" s="4"/>
      <c r="BK734" s="3"/>
      <c r="BL734" s="4"/>
      <c r="BM734" s="3"/>
      <c r="BN734" s="4"/>
      <c r="BO734" s="3"/>
      <c r="BP734" s="4"/>
      <c r="BQ734" s="3"/>
      <c r="BR734" s="4"/>
      <c r="BS734" s="3"/>
      <c r="BT734" s="4"/>
      <c r="BU734" s="3"/>
      <c r="BV734" s="4"/>
      <c r="BW734" s="3"/>
      <c r="BX734" s="4"/>
      <c r="BY734" s="3"/>
      <c r="BZ734" s="4"/>
      <c r="CA734" s="3"/>
      <c r="CB734" s="4"/>
      <c r="CC734" s="3"/>
      <c r="CD734" s="4"/>
    </row>
    <row r="735">
      <c r="A735" s="3"/>
      <c r="B735" s="4"/>
      <c r="C735" s="3"/>
      <c r="D735" s="4"/>
      <c r="E735" s="3"/>
      <c r="F735" s="4"/>
      <c r="G735" s="3"/>
      <c r="H735" s="4"/>
      <c r="I735" s="3"/>
      <c r="J735" s="4"/>
      <c r="K735" s="3"/>
      <c r="L735" s="4"/>
      <c r="M735" s="3"/>
      <c r="N735" s="4"/>
      <c r="O735" s="3"/>
      <c r="P735" s="4"/>
      <c r="Q735" s="3"/>
      <c r="R735" s="4"/>
      <c r="S735" s="3"/>
      <c r="T735" s="4"/>
      <c r="U735" s="3"/>
      <c r="V735" s="4"/>
      <c r="W735" s="3"/>
      <c r="X735" s="4"/>
      <c r="Y735" s="3"/>
      <c r="Z735" s="4"/>
      <c r="AA735" s="3"/>
      <c r="AB735" s="4"/>
      <c r="AC735" s="3"/>
      <c r="AD735" s="4"/>
      <c r="AE735" s="3"/>
      <c r="AF735" s="4"/>
      <c r="AG735" s="3"/>
      <c r="AH735" s="4"/>
      <c r="AI735" s="3"/>
      <c r="AJ735" s="4"/>
      <c r="AK735" s="3"/>
      <c r="AL735" s="4"/>
      <c r="AM735" s="3"/>
      <c r="AN735" s="4"/>
      <c r="AO735" s="3"/>
      <c r="AP735" s="4"/>
      <c r="AQ735" s="3"/>
      <c r="AR735" s="4"/>
      <c r="AS735" s="3"/>
      <c r="AT735" s="4"/>
      <c r="AU735" s="3"/>
      <c r="AV735" s="4"/>
      <c r="AW735" s="3"/>
      <c r="AX735" s="4"/>
      <c r="AY735" s="3"/>
      <c r="AZ735" s="4"/>
      <c r="BA735" s="3"/>
      <c r="BB735" s="4"/>
      <c r="BC735" s="3"/>
      <c r="BD735" s="4"/>
      <c r="BE735" s="3"/>
      <c r="BF735" s="4"/>
      <c r="BG735" s="3"/>
      <c r="BH735" s="4"/>
      <c r="BI735" s="3"/>
      <c r="BJ735" s="4"/>
      <c r="BK735" s="3"/>
      <c r="BL735" s="4"/>
      <c r="BM735" s="3"/>
      <c r="BN735" s="4"/>
      <c r="BO735" s="3"/>
      <c r="BP735" s="4"/>
      <c r="BQ735" s="3"/>
      <c r="BR735" s="4"/>
      <c r="BS735" s="3"/>
      <c r="BT735" s="4"/>
      <c r="BU735" s="3"/>
      <c r="BV735" s="4"/>
      <c r="BW735" s="3"/>
      <c r="BX735" s="4"/>
      <c r="BY735" s="3"/>
      <c r="BZ735" s="4"/>
      <c r="CA735" s="3"/>
      <c r="CB735" s="4"/>
      <c r="CC735" s="3"/>
      <c r="CD735" s="4"/>
    </row>
    <row r="736">
      <c r="A736" s="3"/>
      <c r="B736" s="4"/>
      <c r="C736" s="3"/>
      <c r="D736" s="4"/>
      <c r="E736" s="3"/>
      <c r="F736" s="4"/>
      <c r="G736" s="3"/>
      <c r="H736" s="4"/>
      <c r="I736" s="3"/>
      <c r="J736" s="4"/>
      <c r="K736" s="3"/>
      <c r="L736" s="4"/>
      <c r="M736" s="3"/>
      <c r="N736" s="4"/>
      <c r="O736" s="3"/>
      <c r="P736" s="4"/>
      <c r="Q736" s="3"/>
      <c r="R736" s="4"/>
      <c r="S736" s="3"/>
      <c r="T736" s="4"/>
      <c r="U736" s="3"/>
      <c r="V736" s="4"/>
      <c r="W736" s="3"/>
      <c r="X736" s="4"/>
      <c r="Y736" s="3"/>
      <c r="Z736" s="4"/>
      <c r="AA736" s="3"/>
      <c r="AB736" s="4"/>
      <c r="AC736" s="3"/>
      <c r="AD736" s="4"/>
      <c r="AE736" s="3"/>
      <c r="AF736" s="4"/>
      <c r="AG736" s="3"/>
      <c r="AH736" s="4"/>
      <c r="AI736" s="3"/>
      <c r="AJ736" s="4"/>
      <c r="AK736" s="3"/>
      <c r="AL736" s="4"/>
      <c r="AM736" s="3"/>
      <c r="AN736" s="4"/>
      <c r="AO736" s="3"/>
      <c r="AP736" s="4"/>
      <c r="AQ736" s="3"/>
      <c r="AR736" s="4"/>
      <c r="AS736" s="3"/>
      <c r="AT736" s="4"/>
      <c r="AU736" s="3"/>
      <c r="AV736" s="4"/>
      <c r="AW736" s="3"/>
      <c r="AX736" s="4"/>
      <c r="AY736" s="3"/>
      <c r="AZ736" s="4"/>
      <c r="BA736" s="3"/>
      <c r="BB736" s="4"/>
      <c r="BC736" s="3"/>
      <c r="BD736" s="4"/>
      <c r="BE736" s="3"/>
      <c r="BF736" s="4"/>
      <c r="BG736" s="3"/>
      <c r="BH736" s="4"/>
      <c r="BI736" s="3"/>
      <c r="BJ736" s="4"/>
      <c r="BK736" s="3"/>
      <c r="BL736" s="4"/>
      <c r="BM736" s="3"/>
      <c r="BN736" s="4"/>
      <c r="BO736" s="3"/>
      <c r="BP736" s="4"/>
      <c r="BQ736" s="3"/>
      <c r="BR736" s="4"/>
      <c r="BS736" s="3"/>
      <c r="BT736" s="4"/>
      <c r="BU736" s="3"/>
      <c r="BV736" s="4"/>
      <c r="BW736" s="3"/>
      <c r="BX736" s="4"/>
      <c r="BY736" s="3"/>
      <c r="BZ736" s="4"/>
      <c r="CA736" s="3"/>
      <c r="CB736" s="4"/>
      <c r="CC736" s="3"/>
      <c r="CD736" s="4"/>
    </row>
    <row r="737">
      <c r="A737" s="3"/>
      <c r="B737" s="4"/>
      <c r="C737" s="3"/>
      <c r="D737" s="4"/>
      <c r="E737" s="3"/>
      <c r="F737" s="4"/>
      <c r="G737" s="3"/>
      <c r="H737" s="4"/>
      <c r="I737" s="3"/>
      <c r="J737" s="4"/>
      <c r="K737" s="3"/>
      <c r="L737" s="4"/>
      <c r="M737" s="3"/>
      <c r="N737" s="4"/>
      <c r="O737" s="3"/>
      <c r="P737" s="4"/>
      <c r="Q737" s="3"/>
      <c r="R737" s="4"/>
      <c r="S737" s="3"/>
      <c r="T737" s="4"/>
      <c r="U737" s="3"/>
      <c r="V737" s="4"/>
      <c r="W737" s="3"/>
      <c r="X737" s="4"/>
      <c r="Y737" s="3"/>
      <c r="Z737" s="4"/>
      <c r="AA737" s="3"/>
      <c r="AB737" s="4"/>
      <c r="AC737" s="3"/>
      <c r="AD737" s="4"/>
      <c r="AE737" s="3"/>
      <c r="AF737" s="4"/>
      <c r="AG737" s="3"/>
      <c r="AH737" s="4"/>
      <c r="AI737" s="3"/>
      <c r="AJ737" s="4"/>
      <c r="AK737" s="3"/>
      <c r="AL737" s="4"/>
      <c r="AM737" s="3"/>
      <c r="AN737" s="4"/>
      <c r="AO737" s="3"/>
      <c r="AP737" s="4"/>
      <c r="AQ737" s="3"/>
      <c r="AR737" s="4"/>
      <c r="AS737" s="3"/>
      <c r="AT737" s="4"/>
      <c r="AU737" s="3"/>
      <c r="AV737" s="4"/>
      <c r="AW737" s="3"/>
      <c r="AX737" s="4"/>
      <c r="AY737" s="3"/>
      <c r="AZ737" s="4"/>
      <c r="BA737" s="3"/>
      <c r="BB737" s="4"/>
      <c r="BC737" s="3"/>
      <c r="BD737" s="4"/>
      <c r="BE737" s="3"/>
      <c r="BF737" s="4"/>
      <c r="BG737" s="3"/>
      <c r="BH737" s="4"/>
      <c r="BI737" s="3"/>
      <c r="BJ737" s="4"/>
      <c r="BK737" s="3"/>
      <c r="BL737" s="4"/>
      <c r="BM737" s="3"/>
      <c r="BN737" s="4"/>
      <c r="BO737" s="3"/>
      <c r="BP737" s="4"/>
      <c r="BQ737" s="3"/>
      <c r="BR737" s="4"/>
      <c r="BS737" s="3"/>
      <c r="BT737" s="4"/>
      <c r="BU737" s="3"/>
      <c r="BV737" s="4"/>
      <c r="BW737" s="3"/>
      <c r="BX737" s="4"/>
      <c r="BY737" s="3"/>
      <c r="BZ737" s="4"/>
      <c r="CA737" s="3"/>
      <c r="CB737" s="4"/>
      <c r="CC737" s="3"/>
      <c r="CD737" s="4"/>
    </row>
    <row r="738">
      <c r="A738" s="3"/>
      <c r="B738" s="4"/>
      <c r="C738" s="3"/>
      <c r="D738" s="4"/>
      <c r="E738" s="3"/>
      <c r="F738" s="4"/>
      <c r="G738" s="3"/>
      <c r="H738" s="4"/>
      <c r="I738" s="3"/>
      <c r="J738" s="4"/>
      <c r="K738" s="3"/>
      <c r="L738" s="4"/>
      <c r="M738" s="3"/>
      <c r="N738" s="4"/>
      <c r="O738" s="3"/>
      <c r="P738" s="4"/>
      <c r="Q738" s="3"/>
      <c r="R738" s="4"/>
      <c r="S738" s="3"/>
      <c r="T738" s="4"/>
      <c r="U738" s="3"/>
      <c r="V738" s="4"/>
      <c r="W738" s="3"/>
      <c r="X738" s="4"/>
      <c r="Y738" s="3"/>
      <c r="Z738" s="4"/>
      <c r="AA738" s="3"/>
      <c r="AB738" s="4"/>
      <c r="AC738" s="3"/>
      <c r="AD738" s="4"/>
      <c r="AE738" s="3"/>
      <c r="AF738" s="4"/>
      <c r="AG738" s="3"/>
      <c r="AH738" s="4"/>
      <c r="AI738" s="3"/>
      <c r="AJ738" s="4"/>
      <c r="AK738" s="3"/>
      <c r="AL738" s="4"/>
      <c r="AM738" s="3"/>
      <c r="AN738" s="4"/>
      <c r="AO738" s="3"/>
      <c r="AP738" s="4"/>
      <c r="AQ738" s="3"/>
      <c r="AR738" s="4"/>
      <c r="AS738" s="3"/>
      <c r="AT738" s="4"/>
      <c r="AU738" s="3"/>
      <c r="AV738" s="4"/>
      <c r="AW738" s="3"/>
      <c r="AX738" s="4"/>
      <c r="AY738" s="3"/>
      <c r="AZ738" s="4"/>
      <c r="BA738" s="3"/>
      <c r="BB738" s="4"/>
      <c r="BC738" s="3"/>
      <c r="BD738" s="4"/>
      <c r="BE738" s="3"/>
      <c r="BF738" s="4"/>
      <c r="BG738" s="3"/>
      <c r="BH738" s="4"/>
      <c r="BI738" s="3"/>
      <c r="BJ738" s="4"/>
      <c r="BK738" s="3"/>
      <c r="BL738" s="4"/>
      <c r="BM738" s="3"/>
      <c r="BN738" s="4"/>
      <c r="BO738" s="3"/>
      <c r="BP738" s="4"/>
      <c r="BQ738" s="3"/>
      <c r="BR738" s="4"/>
      <c r="BS738" s="3"/>
      <c r="BT738" s="4"/>
      <c r="BU738" s="3"/>
      <c r="BV738" s="4"/>
      <c r="BW738" s="3"/>
      <c r="BX738" s="4"/>
      <c r="BY738" s="3"/>
      <c r="BZ738" s="4"/>
      <c r="CA738" s="3"/>
      <c r="CB738" s="4"/>
      <c r="CC738" s="3"/>
      <c r="CD738" s="4"/>
    </row>
    <row r="739">
      <c r="A739" s="3"/>
      <c r="B739" s="4"/>
      <c r="C739" s="3"/>
      <c r="D739" s="4"/>
      <c r="E739" s="3"/>
      <c r="F739" s="4"/>
      <c r="G739" s="3"/>
      <c r="H739" s="4"/>
      <c r="I739" s="3"/>
      <c r="J739" s="4"/>
      <c r="K739" s="3"/>
      <c r="L739" s="4"/>
      <c r="M739" s="3"/>
      <c r="N739" s="4"/>
      <c r="O739" s="3"/>
      <c r="P739" s="4"/>
      <c r="Q739" s="3"/>
      <c r="R739" s="4"/>
      <c r="S739" s="3"/>
      <c r="T739" s="4"/>
      <c r="U739" s="3"/>
      <c r="V739" s="4"/>
      <c r="W739" s="3"/>
      <c r="X739" s="4"/>
      <c r="Y739" s="3"/>
      <c r="Z739" s="4"/>
      <c r="AA739" s="3"/>
      <c r="AB739" s="4"/>
      <c r="AC739" s="3"/>
      <c r="AD739" s="4"/>
      <c r="AE739" s="3"/>
      <c r="AF739" s="4"/>
      <c r="AG739" s="3"/>
      <c r="AH739" s="4"/>
      <c r="AI739" s="3"/>
      <c r="AJ739" s="4"/>
      <c r="AK739" s="3"/>
      <c r="AL739" s="4"/>
      <c r="AM739" s="3"/>
      <c r="AN739" s="4"/>
      <c r="AO739" s="3"/>
      <c r="AP739" s="4"/>
      <c r="AQ739" s="3"/>
      <c r="AR739" s="4"/>
      <c r="AS739" s="3"/>
      <c r="AT739" s="4"/>
      <c r="AU739" s="3"/>
      <c r="AV739" s="4"/>
      <c r="AW739" s="3"/>
      <c r="AX739" s="4"/>
      <c r="AY739" s="3"/>
      <c r="AZ739" s="4"/>
      <c r="BA739" s="3"/>
      <c r="BB739" s="4"/>
      <c r="BC739" s="3"/>
      <c r="BD739" s="4"/>
      <c r="BE739" s="3"/>
      <c r="BF739" s="4"/>
      <c r="BG739" s="3"/>
      <c r="BH739" s="4"/>
      <c r="BI739" s="3"/>
      <c r="BJ739" s="4"/>
      <c r="BK739" s="3"/>
      <c r="BL739" s="4"/>
      <c r="BM739" s="3"/>
      <c r="BN739" s="4"/>
      <c r="BO739" s="3"/>
      <c r="BP739" s="4"/>
      <c r="BQ739" s="3"/>
      <c r="BR739" s="4"/>
      <c r="BS739" s="3"/>
      <c r="BT739" s="4"/>
      <c r="BU739" s="3"/>
      <c r="BV739" s="4"/>
      <c r="BW739" s="3"/>
      <c r="BX739" s="4"/>
      <c r="BY739" s="3"/>
      <c r="BZ739" s="4"/>
      <c r="CA739" s="3"/>
      <c r="CB739" s="4"/>
      <c r="CC739" s="3"/>
      <c r="CD739" s="4"/>
    </row>
    <row r="740">
      <c r="A740" s="3"/>
      <c r="B740" s="4"/>
      <c r="C740" s="3"/>
      <c r="D740" s="4"/>
      <c r="E740" s="3"/>
      <c r="F740" s="4"/>
      <c r="G740" s="3"/>
      <c r="H740" s="4"/>
      <c r="I740" s="3"/>
      <c r="J740" s="4"/>
      <c r="K740" s="3"/>
      <c r="L740" s="4"/>
      <c r="M740" s="3"/>
      <c r="N740" s="4"/>
      <c r="O740" s="3"/>
      <c r="P740" s="4"/>
      <c r="Q740" s="3"/>
      <c r="R740" s="4"/>
      <c r="S740" s="3"/>
      <c r="T740" s="4"/>
      <c r="U740" s="3"/>
      <c r="V740" s="4"/>
      <c r="W740" s="3"/>
      <c r="X740" s="4"/>
      <c r="Y740" s="3"/>
      <c r="Z740" s="4"/>
      <c r="AA740" s="3"/>
      <c r="AB740" s="4"/>
      <c r="AC740" s="3"/>
      <c r="AD740" s="4"/>
      <c r="AE740" s="3"/>
      <c r="AF740" s="4"/>
      <c r="AG740" s="3"/>
      <c r="AH740" s="4"/>
      <c r="AI740" s="3"/>
      <c r="AJ740" s="4"/>
      <c r="AK740" s="3"/>
      <c r="AL740" s="4"/>
      <c r="AM740" s="3"/>
      <c r="AN740" s="4"/>
      <c r="AO740" s="3"/>
      <c r="AP740" s="4"/>
      <c r="AQ740" s="3"/>
      <c r="AR740" s="4"/>
      <c r="AS740" s="3"/>
      <c r="AT740" s="4"/>
      <c r="AU740" s="3"/>
      <c r="AV740" s="4"/>
      <c r="AW740" s="3"/>
      <c r="AX740" s="4"/>
      <c r="AY740" s="3"/>
      <c r="AZ740" s="4"/>
      <c r="BA740" s="3"/>
      <c r="BB740" s="4"/>
      <c r="BC740" s="3"/>
      <c r="BD740" s="4"/>
      <c r="BE740" s="3"/>
      <c r="BF740" s="4"/>
      <c r="BG740" s="3"/>
      <c r="BH740" s="4"/>
      <c r="BI740" s="3"/>
      <c r="BJ740" s="4"/>
      <c r="BK740" s="3"/>
      <c r="BL740" s="4"/>
      <c r="BM740" s="3"/>
      <c r="BN740" s="4"/>
      <c r="BO740" s="3"/>
      <c r="BP740" s="4"/>
      <c r="BQ740" s="3"/>
      <c r="BR740" s="4"/>
      <c r="BS740" s="3"/>
      <c r="BT740" s="4"/>
      <c r="BU740" s="3"/>
      <c r="BV740" s="4"/>
      <c r="BW740" s="3"/>
      <c r="BX740" s="4"/>
      <c r="BY740" s="3"/>
      <c r="BZ740" s="4"/>
      <c r="CA740" s="3"/>
      <c r="CB740" s="4"/>
      <c r="CC740" s="3"/>
      <c r="CD740" s="4"/>
    </row>
    <row r="741">
      <c r="A741" s="3"/>
      <c r="B741" s="4"/>
      <c r="C741" s="3"/>
      <c r="D741" s="4"/>
      <c r="E741" s="3"/>
      <c r="F741" s="4"/>
      <c r="G741" s="3"/>
      <c r="H741" s="4"/>
      <c r="I741" s="3"/>
      <c r="J741" s="4"/>
      <c r="K741" s="3"/>
      <c r="L741" s="4"/>
      <c r="M741" s="3"/>
      <c r="N741" s="4"/>
      <c r="O741" s="3"/>
      <c r="P741" s="4"/>
      <c r="Q741" s="3"/>
      <c r="R741" s="4"/>
      <c r="S741" s="3"/>
      <c r="T741" s="4"/>
      <c r="U741" s="3"/>
      <c r="V741" s="4"/>
      <c r="W741" s="3"/>
      <c r="X741" s="4"/>
      <c r="Y741" s="3"/>
      <c r="Z741" s="4"/>
      <c r="AA741" s="3"/>
      <c r="AB741" s="4"/>
      <c r="AC741" s="3"/>
      <c r="AD741" s="4"/>
      <c r="AE741" s="3"/>
      <c r="AF741" s="4"/>
      <c r="AG741" s="3"/>
      <c r="AH741" s="4"/>
      <c r="AI741" s="3"/>
      <c r="AJ741" s="4"/>
      <c r="AK741" s="3"/>
      <c r="AL741" s="4"/>
      <c r="AM741" s="3"/>
      <c r="AN741" s="4"/>
      <c r="AO741" s="3"/>
      <c r="AP741" s="4"/>
      <c r="AQ741" s="3"/>
      <c r="AR741" s="4"/>
      <c r="AS741" s="3"/>
      <c r="AT741" s="4"/>
      <c r="AU741" s="3"/>
      <c r="AV741" s="4"/>
      <c r="AW741" s="3"/>
      <c r="AX741" s="4"/>
      <c r="AY741" s="3"/>
      <c r="AZ741" s="4"/>
      <c r="BA741" s="3"/>
      <c r="BB741" s="4"/>
      <c r="BC741" s="3"/>
      <c r="BD741" s="4"/>
      <c r="BE741" s="3"/>
      <c r="BF741" s="4"/>
      <c r="BG741" s="3"/>
      <c r="BH741" s="4"/>
      <c r="BI741" s="3"/>
      <c r="BJ741" s="4"/>
      <c r="BK741" s="3"/>
      <c r="BL741" s="4"/>
      <c r="BM741" s="3"/>
      <c r="BN741" s="4"/>
      <c r="BO741" s="3"/>
      <c r="BP741" s="4"/>
      <c r="BQ741" s="3"/>
      <c r="BR741" s="4"/>
      <c r="BS741" s="3"/>
      <c r="BT741" s="4"/>
      <c r="BU741" s="3"/>
      <c r="BV741" s="4"/>
      <c r="BW741" s="3"/>
      <c r="BX741" s="4"/>
      <c r="BY741" s="3"/>
      <c r="BZ741" s="4"/>
      <c r="CA741" s="3"/>
      <c r="CB741" s="4"/>
      <c r="CC741" s="3"/>
      <c r="CD741" s="4"/>
    </row>
    <row r="742">
      <c r="A742" s="3"/>
      <c r="B742" s="4"/>
      <c r="C742" s="3"/>
      <c r="D742" s="4"/>
      <c r="E742" s="3"/>
      <c r="F742" s="4"/>
      <c r="G742" s="3"/>
      <c r="H742" s="4"/>
      <c r="I742" s="3"/>
      <c r="J742" s="4"/>
      <c r="K742" s="3"/>
      <c r="L742" s="4"/>
      <c r="M742" s="3"/>
      <c r="N742" s="4"/>
      <c r="O742" s="3"/>
      <c r="P742" s="4"/>
      <c r="Q742" s="3"/>
      <c r="R742" s="4"/>
      <c r="S742" s="3"/>
      <c r="T742" s="4"/>
      <c r="U742" s="3"/>
      <c r="V742" s="4"/>
      <c r="W742" s="3"/>
      <c r="X742" s="4"/>
      <c r="Y742" s="3"/>
      <c r="Z742" s="4"/>
      <c r="AA742" s="3"/>
      <c r="AB742" s="4"/>
      <c r="AC742" s="3"/>
      <c r="AD742" s="4"/>
      <c r="AE742" s="3"/>
      <c r="AF742" s="4"/>
      <c r="AG742" s="3"/>
      <c r="AH742" s="4"/>
      <c r="AI742" s="3"/>
      <c r="AJ742" s="4"/>
      <c r="AK742" s="3"/>
      <c r="AL742" s="4"/>
      <c r="AM742" s="3"/>
      <c r="AN742" s="4"/>
      <c r="AO742" s="3"/>
      <c r="AP742" s="4"/>
      <c r="AQ742" s="3"/>
      <c r="AR742" s="4"/>
      <c r="AS742" s="3"/>
      <c r="AT742" s="4"/>
      <c r="AU742" s="3"/>
      <c r="AV742" s="4"/>
      <c r="AW742" s="3"/>
      <c r="AX742" s="4"/>
      <c r="AY742" s="3"/>
      <c r="AZ742" s="4"/>
      <c r="BA742" s="3"/>
      <c r="BB742" s="4"/>
      <c r="BC742" s="3"/>
      <c r="BD742" s="4"/>
      <c r="BE742" s="3"/>
      <c r="BF742" s="4"/>
      <c r="BG742" s="3"/>
      <c r="BH742" s="4"/>
      <c r="BI742" s="3"/>
      <c r="BJ742" s="4"/>
      <c r="BK742" s="3"/>
      <c r="BL742" s="4"/>
      <c r="BM742" s="3"/>
      <c r="BN742" s="4"/>
      <c r="BO742" s="3"/>
      <c r="BP742" s="4"/>
      <c r="BQ742" s="3"/>
      <c r="BR742" s="4"/>
      <c r="BS742" s="3"/>
      <c r="BT742" s="4"/>
      <c r="BU742" s="3"/>
      <c r="BV742" s="4"/>
      <c r="BW742" s="3"/>
      <c r="BX742" s="4"/>
      <c r="BY742" s="3"/>
      <c r="BZ742" s="4"/>
      <c r="CA742" s="3"/>
      <c r="CB742" s="4"/>
      <c r="CC742" s="3"/>
      <c r="CD742" s="4"/>
    </row>
    <row r="743">
      <c r="A743" s="3"/>
      <c r="B743" s="4"/>
      <c r="C743" s="3"/>
      <c r="D743" s="4"/>
      <c r="E743" s="3"/>
      <c r="F743" s="4"/>
      <c r="G743" s="3"/>
      <c r="H743" s="4"/>
      <c r="I743" s="3"/>
      <c r="J743" s="4"/>
      <c r="K743" s="3"/>
      <c r="L743" s="4"/>
      <c r="M743" s="3"/>
      <c r="N743" s="4"/>
      <c r="O743" s="3"/>
      <c r="P743" s="4"/>
      <c r="Q743" s="3"/>
      <c r="R743" s="4"/>
      <c r="S743" s="3"/>
      <c r="T743" s="4"/>
      <c r="U743" s="3"/>
      <c r="V743" s="4"/>
      <c r="W743" s="3"/>
      <c r="X743" s="4"/>
      <c r="Y743" s="3"/>
      <c r="Z743" s="4"/>
      <c r="AA743" s="3"/>
      <c r="AB743" s="4"/>
      <c r="AC743" s="3"/>
      <c r="AD743" s="4"/>
      <c r="AE743" s="3"/>
      <c r="AF743" s="4"/>
      <c r="AG743" s="3"/>
      <c r="AH743" s="4"/>
      <c r="AI743" s="3"/>
      <c r="AJ743" s="4"/>
      <c r="AK743" s="3"/>
      <c r="AL743" s="4"/>
      <c r="AM743" s="3"/>
      <c r="AN743" s="4"/>
      <c r="AO743" s="3"/>
      <c r="AP743" s="4"/>
      <c r="AQ743" s="3"/>
      <c r="AR743" s="4"/>
      <c r="AS743" s="3"/>
      <c r="AT743" s="4"/>
      <c r="AU743" s="3"/>
      <c r="AV743" s="4"/>
      <c r="AW743" s="3"/>
      <c r="AX743" s="4"/>
      <c r="AY743" s="3"/>
      <c r="AZ743" s="4"/>
      <c r="BA743" s="3"/>
      <c r="BB743" s="4"/>
      <c r="BC743" s="3"/>
      <c r="BD743" s="4"/>
      <c r="BE743" s="3"/>
      <c r="BF743" s="4"/>
      <c r="BG743" s="3"/>
      <c r="BH743" s="4"/>
      <c r="BI743" s="3"/>
      <c r="BJ743" s="4"/>
      <c r="BK743" s="3"/>
      <c r="BL743" s="4"/>
      <c r="BM743" s="3"/>
      <c r="BN743" s="4"/>
      <c r="BO743" s="3"/>
      <c r="BP743" s="4"/>
      <c r="BQ743" s="3"/>
      <c r="BR743" s="4"/>
      <c r="BS743" s="3"/>
      <c r="BT743" s="4"/>
      <c r="BU743" s="3"/>
      <c r="BV743" s="4"/>
      <c r="BW743" s="3"/>
      <c r="BX743" s="4"/>
      <c r="BY743" s="3"/>
      <c r="BZ743" s="4"/>
      <c r="CA743" s="3"/>
      <c r="CB743" s="4"/>
      <c r="CC743" s="3"/>
      <c r="CD743" s="4"/>
    </row>
    <row r="744">
      <c r="A744" s="3"/>
      <c r="B744" s="4"/>
      <c r="C744" s="3"/>
      <c r="D744" s="4"/>
      <c r="E744" s="3"/>
      <c r="F744" s="4"/>
      <c r="G744" s="3"/>
      <c r="H744" s="4"/>
      <c r="I744" s="3"/>
      <c r="J744" s="4"/>
      <c r="K744" s="3"/>
      <c r="L744" s="4"/>
      <c r="M744" s="3"/>
      <c r="N744" s="4"/>
      <c r="O744" s="3"/>
      <c r="P744" s="4"/>
      <c r="Q744" s="3"/>
      <c r="R744" s="4"/>
      <c r="S744" s="3"/>
      <c r="T744" s="4"/>
      <c r="U744" s="3"/>
      <c r="V744" s="4"/>
      <c r="W744" s="3"/>
      <c r="X744" s="4"/>
      <c r="Y744" s="3"/>
      <c r="Z744" s="4"/>
      <c r="AA744" s="3"/>
      <c r="AB744" s="4"/>
      <c r="AC744" s="3"/>
      <c r="AD744" s="4"/>
      <c r="AE744" s="3"/>
      <c r="AF744" s="4"/>
      <c r="AG744" s="3"/>
      <c r="AH744" s="4"/>
      <c r="AI744" s="3"/>
      <c r="AJ744" s="4"/>
      <c r="AK744" s="3"/>
      <c r="AL744" s="4"/>
      <c r="AM744" s="3"/>
      <c r="AN744" s="4"/>
      <c r="AO744" s="3"/>
      <c r="AP744" s="4"/>
      <c r="AQ744" s="3"/>
      <c r="AR744" s="4"/>
      <c r="AS744" s="3"/>
      <c r="AT744" s="4"/>
      <c r="AU744" s="3"/>
      <c r="AV744" s="4"/>
      <c r="AW744" s="3"/>
      <c r="AX744" s="4"/>
      <c r="AY744" s="3"/>
      <c r="AZ744" s="4"/>
      <c r="BA744" s="3"/>
      <c r="BB744" s="4"/>
      <c r="BC744" s="3"/>
      <c r="BD744" s="4"/>
      <c r="BE744" s="3"/>
      <c r="BF744" s="4"/>
      <c r="BG744" s="3"/>
      <c r="BH744" s="4"/>
      <c r="BI744" s="3"/>
      <c r="BJ744" s="4"/>
      <c r="BK744" s="3"/>
      <c r="BL744" s="4"/>
      <c r="BM744" s="3"/>
      <c r="BN744" s="4"/>
      <c r="BO744" s="3"/>
      <c r="BP744" s="4"/>
      <c r="BQ744" s="3"/>
      <c r="BR744" s="4"/>
      <c r="BS744" s="3"/>
      <c r="BT744" s="4"/>
      <c r="BU744" s="3"/>
      <c r="BV744" s="4"/>
      <c r="BW744" s="3"/>
      <c r="BX744" s="4"/>
      <c r="BY744" s="3"/>
      <c r="BZ744" s="4"/>
      <c r="CA744" s="3"/>
      <c r="CB744" s="4"/>
      <c r="CC744" s="3"/>
      <c r="CD744" s="4"/>
    </row>
    <row r="745">
      <c r="A745" s="3"/>
      <c r="B745" s="4"/>
      <c r="C745" s="3"/>
      <c r="D745" s="4"/>
      <c r="E745" s="3"/>
      <c r="F745" s="4"/>
      <c r="G745" s="3"/>
      <c r="H745" s="4"/>
      <c r="I745" s="3"/>
      <c r="J745" s="4"/>
      <c r="K745" s="3"/>
      <c r="L745" s="4"/>
      <c r="M745" s="3"/>
      <c r="N745" s="4"/>
      <c r="O745" s="3"/>
      <c r="P745" s="4"/>
      <c r="Q745" s="3"/>
      <c r="R745" s="4"/>
      <c r="S745" s="3"/>
      <c r="T745" s="4"/>
      <c r="U745" s="3"/>
      <c r="V745" s="4"/>
      <c r="W745" s="3"/>
      <c r="X745" s="4"/>
      <c r="Y745" s="3"/>
      <c r="Z745" s="4"/>
      <c r="AA745" s="3"/>
      <c r="AB745" s="4"/>
      <c r="AC745" s="3"/>
      <c r="AD745" s="4"/>
      <c r="AE745" s="3"/>
      <c r="AF745" s="4"/>
      <c r="AG745" s="3"/>
      <c r="AH745" s="4"/>
      <c r="AI745" s="3"/>
      <c r="AJ745" s="4"/>
      <c r="AK745" s="3"/>
      <c r="AL745" s="4"/>
      <c r="AM745" s="3"/>
      <c r="AN745" s="4"/>
      <c r="AO745" s="3"/>
      <c r="AP745" s="4"/>
      <c r="AQ745" s="3"/>
      <c r="AR745" s="4"/>
      <c r="AS745" s="3"/>
      <c r="AT745" s="4"/>
      <c r="AU745" s="3"/>
      <c r="AV745" s="4"/>
      <c r="AW745" s="3"/>
      <c r="AX745" s="4"/>
      <c r="AY745" s="3"/>
      <c r="AZ745" s="4"/>
      <c r="BA745" s="3"/>
      <c r="BB745" s="4"/>
      <c r="BC745" s="3"/>
      <c r="BD745" s="4"/>
      <c r="BE745" s="3"/>
      <c r="BF745" s="4"/>
      <c r="BG745" s="3"/>
      <c r="BH745" s="4"/>
      <c r="BI745" s="3"/>
      <c r="BJ745" s="4"/>
      <c r="BK745" s="3"/>
      <c r="BL745" s="4"/>
      <c r="BM745" s="3"/>
      <c r="BN745" s="4"/>
      <c r="BO745" s="3"/>
      <c r="BP745" s="4"/>
      <c r="BQ745" s="3"/>
      <c r="BR745" s="4"/>
      <c r="BS745" s="3"/>
      <c r="BT745" s="4"/>
      <c r="BU745" s="3"/>
      <c r="BV745" s="4"/>
      <c r="BW745" s="3"/>
      <c r="BX745" s="4"/>
      <c r="BY745" s="3"/>
      <c r="BZ745" s="4"/>
      <c r="CA745" s="3"/>
      <c r="CB745" s="4"/>
      <c r="CC745" s="3"/>
      <c r="CD745" s="4"/>
    </row>
    <row r="746">
      <c r="A746" s="3"/>
      <c r="B746" s="4"/>
      <c r="C746" s="3"/>
      <c r="D746" s="4"/>
      <c r="E746" s="3"/>
      <c r="F746" s="4"/>
      <c r="G746" s="3"/>
      <c r="H746" s="4"/>
      <c r="I746" s="3"/>
      <c r="J746" s="4"/>
      <c r="K746" s="3"/>
      <c r="L746" s="4"/>
      <c r="M746" s="3"/>
      <c r="N746" s="4"/>
      <c r="O746" s="3"/>
      <c r="P746" s="4"/>
      <c r="Q746" s="3"/>
      <c r="R746" s="4"/>
      <c r="S746" s="3"/>
      <c r="T746" s="4"/>
      <c r="U746" s="3"/>
      <c r="V746" s="4"/>
      <c r="W746" s="3"/>
      <c r="X746" s="4"/>
      <c r="Y746" s="3"/>
      <c r="Z746" s="4"/>
      <c r="AA746" s="3"/>
      <c r="AB746" s="4"/>
      <c r="AC746" s="3"/>
      <c r="AD746" s="4"/>
      <c r="AE746" s="3"/>
      <c r="AF746" s="4"/>
      <c r="AG746" s="3"/>
      <c r="AH746" s="4"/>
      <c r="AI746" s="3"/>
      <c r="AJ746" s="4"/>
      <c r="AK746" s="3"/>
      <c r="AL746" s="4"/>
      <c r="AM746" s="3"/>
      <c r="AN746" s="4"/>
      <c r="AO746" s="3"/>
      <c r="AP746" s="4"/>
      <c r="AQ746" s="3"/>
      <c r="AR746" s="4"/>
      <c r="AS746" s="3"/>
      <c r="AT746" s="4"/>
      <c r="AU746" s="3"/>
      <c r="AV746" s="4"/>
      <c r="AW746" s="3"/>
      <c r="AX746" s="4"/>
      <c r="AY746" s="3"/>
      <c r="AZ746" s="4"/>
      <c r="BA746" s="3"/>
      <c r="BB746" s="4"/>
      <c r="BC746" s="3"/>
      <c r="BD746" s="4"/>
      <c r="BE746" s="3"/>
      <c r="BF746" s="4"/>
      <c r="BG746" s="3"/>
      <c r="BH746" s="4"/>
      <c r="BI746" s="3"/>
      <c r="BJ746" s="4"/>
      <c r="BK746" s="3"/>
      <c r="BL746" s="4"/>
      <c r="BM746" s="3"/>
      <c r="BN746" s="4"/>
      <c r="BO746" s="3"/>
      <c r="BP746" s="4"/>
      <c r="BQ746" s="3"/>
      <c r="BR746" s="4"/>
      <c r="BS746" s="3"/>
      <c r="BT746" s="4"/>
      <c r="BU746" s="3"/>
      <c r="BV746" s="4"/>
      <c r="BW746" s="3"/>
      <c r="BX746" s="4"/>
      <c r="BY746" s="3"/>
      <c r="BZ746" s="4"/>
      <c r="CA746" s="3"/>
      <c r="CB746" s="4"/>
      <c r="CC746" s="3"/>
      <c r="CD746" s="4"/>
    </row>
    <row r="747">
      <c r="A747" s="3"/>
      <c r="B747" s="4"/>
      <c r="C747" s="3"/>
      <c r="D747" s="4"/>
      <c r="E747" s="3"/>
      <c r="F747" s="4"/>
      <c r="G747" s="3"/>
      <c r="H747" s="4"/>
      <c r="I747" s="3"/>
      <c r="J747" s="4"/>
      <c r="K747" s="3"/>
      <c r="L747" s="4"/>
      <c r="M747" s="3"/>
      <c r="N747" s="4"/>
      <c r="O747" s="3"/>
      <c r="P747" s="4"/>
      <c r="Q747" s="3"/>
      <c r="R747" s="4"/>
      <c r="S747" s="3"/>
      <c r="T747" s="4"/>
      <c r="U747" s="3"/>
      <c r="V747" s="4"/>
      <c r="W747" s="3"/>
      <c r="X747" s="4"/>
      <c r="Y747" s="3"/>
      <c r="Z747" s="4"/>
      <c r="AA747" s="3"/>
      <c r="AB747" s="4"/>
      <c r="AC747" s="3"/>
      <c r="AD747" s="4"/>
      <c r="AE747" s="3"/>
      <c r="AF747" s="4"/>
      <c r="AG747" s="3"/>
      <c r="AH747" s="4"/>
      <c r="AI747" s="3"/>
      <c r="AJ747" s="4"/>
      <c r="AK747" s="3"/>
      <c r="AL747" s="4"/>
      <c r="AM747" s="3"/>
      <c r="AN747" s="4"/>
      <c r="AO747" s="3"/>
      <c r="AP747" s="4"/>
      <c r="AQ747" s="3"/>
      <c r="AR747" s="4"/>
      <c r="AS747" s="3"/>
      <c r="AT747" s="4"/>
      <c r="AU747" s="3"/>
      <c r="AV747" s="4"/>
      <c r="AW747" s="3"/>
      <c r="AX747" s="4"/>
      <c r="AY747" s="3"/>
      <c r="AZ747" s="4"/>
      <c r="BA747" s="3"/>
      <c r="BB747" s="4"/>
      <c r="BC747" s="3"/>
      <c r="BD747" s="4"/>
      <c r="BE747" s="3"/>
      <c r="BF747" s="4"/>
      <c r="BG747" s="3"/>
      <c r="BH747" s="4"/>
      <c r="BI747" s="3"/>
      <c r="BJ747" s="4"/>
      <c r="BK747" s="3"/>
      <c r="BL747" s="4"/>
      <c r="BM747" s="3"/>
      <c r="BN747" s="4"/>
      <c r="BO747" s="3"/>
      <c r="BP747" s="4"/>
      <c r="BQ747" s="3"/>
      <c r="BR747" s="4"/>
      <c r="BS747" s="3"/>
      <c r="BT747" s="4"/>
      <c r="BU747" s="3"/>
      <c r="BV747" s="4"/>
      <c r="BW747" s="3"/>
      <c r="BX747" s="4"/>
      <c r="BY747" s="3"/>
      <c r="BZ747" s="4"/>
      <c r="CA747" s="3"/>
      <c r="CB747" s="4"/>
      <c r="CC747" s="3"/>
      <c r="CD747" s="4"/>
    </row>
    <row r="748">
      <c r="A748" s="3"/>
      <c r="B748" s="4"/>
      <c r="C748" s="3"/>
      <c r="D748" s="4"/>
      <c r="E748" s="3"/>
      <c r="F748" s="4"/>
      <c r="G748" s="3"/>
      <c r="H748" s="4"/>
      <c r="I748" s="3"/>
      <c r="J748" s="4"/>
      <c r="K748" s="3"/>
      <c r="L748" s="4"/>
      <c r="M748" s="3"/>
      <c r="N748" s="4"/>
      <c r="O748" s="3"/>
      <c r="P748" s="4"/>
      <c r="Q748" s="3"/>
      <c r="R748" s="4"/>
      <c r="S748" s="3"/>
      <c r="T748" s="4"/>
      <c r="U748" s="3"/>
      <c r="V748" s="4"/>
      <c r="W748" s="3"/>
      <c r="X748" s="4"/>
      <c r="Y748" s="3"/>
      <c r="Z748" s="4"/>
      <c r="AA748" s="3"/>
      <c r="AB748" s="4"/>
      <c r="AC748" s="3"/>
      <c r="AD748" s="4"/>
      <c r="AE748" s="3"/>
      <c r="AF748" s="4"/>
      <c r="AG748" s="3"/>
      <c r="AH748" s="4"/>
      <c r="AI748" s="3"/>
      <c r="AJ748" s="4"/>
      <c r="AK748" s="3"/>
      <c r="AL748" s="4"/>
      <c r="AM748" s="3"/>
      <c r="AN748" s="4"/>
      <c r="AO748" s="3"/>
      <c r="AP748" s="4"/>
      <c r="AQ748" s="3"/>
      <c r="AR748" s="4"/>
      <c r="AS748" s="3"/>
      <c r="AT748" s="4"/>
      <c r="AU748" s="3"/>
      <c r="AV748" s="4"/>
      <c r="AW748" s="3"/>
      <c r="AX748" s="4"/>
      <c r="AY748" s="3"/>
      <c r="AZ748" s="4"/>
      <c r="BA748" s="3"/>
      <c r="BB748" s="4"/>
      <c r="BC748" s="3"/>
      <c r="BD748" s="4"/>
      <c r="BE748" s="3"/>
      <c r="BF748" s="4"/>
      <c r="BG748" s="3"/>
      <c r="BH748" s="4"/>
      <c r="BI748" s="3"/>
      <c r="BJ748" s="4"/>
      <c r="BK748" s="3"/>
      <c r="BL748" s="4"/>
      <c r="BM748" s="3"/>
      <c r="BN748" s="4"/>
      <c r="BO748" s="3"/>
      <c r="BP748" s="4"/>
      <c r="BQ748" s="3"/>
      <c r="BR748" s="4"/>
      <c r="BS748" s="3"/>
      <c r="BT748" s="4"/>
      <c r="BU748" s="3"/>
      <c r="BV748" s="4"/>
      <c r="BW748" s="3"/>
      <c r="BX748" s="4"/>
      <c r="BY748" s="3"/>
      <c r="BZ748" s="4"/>
      <c r="CA748" s="3"/>
      <c r="CB748" s="4"/>
      <c r="CC748" s="3"/>
      <c r="CD748" s="4"/>
    </row>
    <row r="749">
      <c r="A749" s="3"/>
      <c r="B749" s="4"/>
      <c r="C749" s="3"/>
      <c r="D749" s="4"/>
      <c r="E749" s="3"/>
      <c r="F749" s="4"/>
      <c r="G749" s="3"/>
      <c r="H749" s="4"/>
      <c r="I749" s="3"/>
      <c r="J749" s="4"/>
      <c r="K749" s="3"/>
      <c r="L749" s="4"/>
      <c r="M749" s="3"/>
      <c r="N749" s="4"/>
      <c r="O749" s="3"/>
      <c r="P749" s="4"/>
      <c r="Q749" s="3"/>
      <c r="R749" s="4"/>
      <c r="S749" s="3"/>
      <c r="T749" s="4"/>
      <c r="U749" s="3"/>
      <c r="V749" s="4"/>
      <c r="W749" s="3"/>
      <c r="X749" s="4"/>
      <c r="Y749" s="3"/>
      <c r="Z749" s="4"/>
      <c r="AA749" s="3"/>
      <c r="AB749" s="4"/>
      <c r="AC749" s="3"/>
      <c r="AD749" s="4"/>
      <c r="AE749" s="3"/>
      <c r="AF749" s="4"/>
      <c r="AG749" s="3"/>
      <c r="AH749" s="4"/>
      <c r="AI749" s="3"/>
      <c r="AJ749" s="4"/>
      <c r="AK749" s="3"/>
      <c r="AL749" s="4"/>
      <c r="AM749" s="3"/>
      <c r="AN749" s="4"/>
      <c r="AO749" s="3"/>
      <c r="AP749" s="4"/>
      <c r="AQ749" s="3"/>
      <c r="AR749" s="4"/>
      <c r="AS749" s="3"/>
      <c r="AT749" s="4"/>
      <c r="AU749" s="3"/>
      <c r="AV749" s="4"/>
      <c r="AW749" s="3"/>
      <c r="AX749" s="4"/>
      <c r="AY749" s="3"/>
      <c r="AZ749" s="4"/>
      <c r="BA749" s="3"/>
      <c r="BB749" s="4"/>
      <c r="BC749" s="3"/>
      <c r="BD749" s="4"/>
      <c r="BE749" s="3"/>
      <c r="BF749" s="4"/>
      <c r="BG749" s="3"/>
      <c r="BH749" s="4"/>
      <c r="BI749" s="3"/>
      <c r="BJ749" s="4"/>
      <c r="BK749" s="3"/>
      <c r="BL749" s="4"/>
      <c r="BM749" s="3"/>
      <c r="BN749" s="4"/>
      <c r="BO749" s="3"/>
      <c r="BP749" s="4"/>
      <c r="BQ749" s="3"/>
      <c r="BR749" s="4"/>
      <c r="BS749" s="3"/>
      <c r="BT749" s="4"/>
      <c r="BU749" s="3"/>
      <c r="BV749" s="4"/>
      <c r="BW749" s="3"/>
      <c r="BX749" s="4"/>
      <c r="BY749" s="3"/>
      <c r="BZ749" s="4"/>
      <c r="CA749" s="3"/>
      <c r="CB749" s="4"/>
      <c r="CC749" s="3"/>
      <c r="CD749" s="4"/>
    </row>
    <row r="750">
      <c r="A750" s="3"/>
      <c r="B750" s="4"/>
      <c r="C750" s="3"/>
      <c r="D750" s="4"/>
      <c r="E750" s="3"/>
      <c r="F750" s="4"/>
      <c r="G750" s="3"/>
      <c r="H750" s="4"/>
      <c r="I750" s="3"/>
      <c r="J750" s="4"/>
      <c r="K750" s="3"/>
      <c r="L750" s="4"/>
      <c r="M750" s="3"/>
      <c r="N750" s="4"/>
      <c r="O750" s="3"/>
      <c r="P750" s="4"/>
      <c r="Q750" s="3"/>
      <c r="R750" s="4"/>
      <c r="S750" s="3"/>
      <c r="T750" s="4"/>
      <c r="U750" s="3"/>
      <c r="V750" s="4"/>
      <c r="W750" s="3"/>
      <c r="X750" s="4"/>
      <c r="Y750" s="3"/>
      <c r="Z750" s="4"/>
      <c r="AA750" s="3"/>
      <c r="AB750" s="4"/>
      <c r="AC750" s="3"/>
      <c r="AD750" s="4"/>
      <c r="AE750" s="3"/>
      <c r="AF750" s="4"/>
      <c r="AG750" s="3"/>
      <c r="AH750" s="4"/>
      <c r="AI750" s="3"/>
      <c r="AJ750" s="4"/>
      <c r="AK750" s="3"/>
      <c r="AL750" s="4"/>
      <c r="AM750" s="3"/>
      <c r="AN750" s="4"/>
      <c r="AO750" s="3"/>
      <c r="AP750" s="4"/>
      <c r="AQ750" s="3"/>
      <c r="AR750" s="4"/>
      <c r="AS750" s="3"/>
      <c r="AT750" s="4"/>
      <c r="AU750" s="3"/>
      <c r="AV750" s="4"/>
      <c r="AW750" s="3"/>
      <c r="AX750" s="4"/>
      <c r="AY750" s="3"/>
      <c r="AZ750" s="4"/>
      <c r="BA750" s="3"/>
      <c r="BB750" s="4"/>
      <c r="BC750" s="3"/>
      <c r="BD750" s="4"/>
      <c r="BE750" s="3"/>
      <c r="BF750" s="4"/>
      <c r="BG750" s="3"/>
      <c r="BH750" s="4"/>
      <c r="BI750" s="3"/>
      <c r="BJ750" s="4"/>
      <c r="BK750" s="3"/>
      <c r="BL750" s="4"/>
      <c r="BM750" s="3"/>
      <c r="BN750" s="4"/>
      <c r="BO750" s="3"/>
      <c r="BP750" s="4"/>
      <c r="BQ750" s="3"/>
      <c r="BR750" s="4"/>
      <c r="BS750" s="3"/>
      <c r="BT750" s="4"/>
      <c r="BU750" s="3"/>
      <c r="BV750" s="4"/>
      <c r="BW750" s="3"/>
      <c r="BX750" s="4"/>
      <c r="BY750" s="3"/>
      <c r="BZ750" s="4"/>
      <c r="CA750" s="3"/>
      <c r="CB750" s="4"/>
      <c r="CC750" s="3"/>
      <c r="CD750" s="4"/>
    </row>
    <row r="751">
      <c r="A751" s="3"/>
      <c r="B751" s="4"/>
      <c r="C751" s="3"/>
      <c r="D751" s="4"/>
      <c r="E751" s="3"/>
      <c r="F751" s="4"/>
      <c r="G751" s="3"/>
      <c r="H751" s="4"/>
      <c r="I751" s="3"/>
      <c r="J751" s="4"/>
      <c r="K751" s="3"/>
      <c r="L751" s="4"/>
      <c r="M751" s="3"/>
      <c r="N751" s="4"/>
      <c r="O751" s="3"/>
      <c r="P751" s="4"/>
      <c r="Q751" s="3"/>
      <c r="R751" s="4"/>
      <c r="S751" s="3"/>
      <c r="T751" s="4"/>
      <c r="U751" s="3"/>
      <c r="V751" s="4"/>
      <c r="W751" s="3"/>
      <c r="X751" s="4"/>
      <c r="Y751" s="3"/>
      <c r="Z751" s="4"/>
      <c r="AA751" s="3"/>
      <c r="AB751" s="4"/>
      <c r="AC751" s="3"/>
      <c r="AD751" s="4"/>
      <c r="AE751" s="3"/>
      <c r="AF751" s="4"/>
      <c r="AG751" s="3"/>
      <c r="AH751" s="4"/>
      <c r="AI751" s="3"/>
      <c r="AJ751" s="4"/>
      <c r="AK751" s="3"/>
      <c r="AL751" s="4"/>
      <c r="AM751" s="3"/>
      <c r="AN751" s="4"/>
      <c r="AO751" s="3"/>
      <c r="AP751" s="4"/>
      <c r="AQ751" s="3"/>
      <c r="AR751" s="4"/>
      <c r="AS751" s="3"/>
      <c r="AT751" s="4"/>
      <c r="AU751" s="3"/>
      <c r="AV751" s="4"/>
      <c r="AW751" s="3"/>
      <c r="AX751" s="4"/>
      <c r="AY751" s="3"/>
      <c r="AZ751" s="4"/>
      <c r="BA751" s="3"/>
      <c r="BB751" s="4"/>
      <c r="BC751" s="3"/>
      <c r="BD751" s="4"/>
      <c r="BE751" s="3"/>
      <c r="BF751" s="4"/>
      <c r="BG751" s="3"/>
      <c r="BH751" s="4"/>
      <c r="BI751" s="3"/>
      <c r="BJ751" s="4"/>
      <c r="BK751" s="3"/>
      <c r="BL751" s="4"/>
      <c r="BM751" s="3"/>
      <c r="BN751" s="4"/>
      <c r="BO751" s="3"/>
      <c r="BP751" s="4"/>
      <c r="BQ751" s="3"/>
      <c r="BR751" s="4"/>
      <c r="BS751" s="3"/>
      <c r="BT751" s="4"/>
      <c r="BU751" s="3"/>
      <c r="BV751" s="4"/>
      <c r="BW751" s="3"/>
      <c r="BX751" s="4"/>
      <c r="BY751" s="3"/>
      <c r="BZ751" s="4"/>
      <c r="CA751" s="3"/>
      <c r="CB751" s="4"/>
      <c r="CC751" s="3"/>
      <c r="CD751" s="4"/>
    </row>
    <row r="752">
      <c r="A752" s="3"/>
      <c r="B752" s="4"/>
      <c r="C752" s="3"/>
      <c r="D752" s="4"/>
      <c r="E752" s="3"/>
      <c r="F752" s="4"/>
      <c r="G752" s="3"/>
      <c r="H752" s="4"/>
      <c r="I752" s="3"/>
      <c r="J752" s="4"/>
      <c r="K752" s="3"/>
      <c r="L752" s="4"/>
      <c r="M752" s="3"/>
      <c r="N752" s="4"/>
      <c r="O752" s="3"/>
      <c r="P752" s="4"/>
      <c r="Q752" s="3"/>
      <c r="R752" s="4"/>
      <c r="S752" s="3"/>
      <c r="T752" s="4"/>
      <c r="U752" s="3"/>
      <c r="V752" s="4"/>
      <c r="W752" s="3"/>
      <c r="X752" s="4"/>
      <c r="Y752" s="3"/>
      <c r="Z752" s="4"/>
      <c r="AA752" s="3"/>
      <c r="AB752" s="4"/>
      <c r="AC752" s="3"/>
      <c r="AD752" s="4"/>
      <c r="AE752" s="3"/>
      <c r="AF752" s="4"/>
      <c r="AG752" s="3"/>
      <c r="AH752" s="4"/>
      <c r="AI752" s="3"/>
      <c r="AJ752" s="4"/>
      <c r="AK752" s="3"/>
      <c r="AL752" s="4"/>
      <c r="AM752" s="3"/>
      <c r="AN752" s="4"/>
      <c r="AO752" s="3"/>
      <c r="AP752" s="4"/>
      <c r="AQ752" s="3"/>
      <c r="AR752" s="4"/>
      <c r="AS752" s="3"/>
      <c r="AT752" s="4"/>
      <c r="AU752" s="3"/>
      <c r="AV752" s="4"/>
      <c r="AW752" s="3"/>
      <c r="AX752" s="4"/>
      <c r="AY752" s="3"/>
      <c r="AZ752" s="4"/>
      <c r="BA752" s="3"/>
      <c r="BB752" s="4"/>
      <c r="BC752" s="3"/>
      <c r="BD752" s="4"/>
      <c r="BE752" s="3"/>
      <c r="BF752" s="4"/>
      <c r="BG752" s="3"/>
      <c r="BH752" s="4"/>
      <c r="BI752" s="3"/>
      <c r="BJ752" s="4"/>
      <c r="BK752" s="3"/>
      <c r="BL752" s="4"/>
      <c r="BM752" s="3"/>
      <c r="BN752" s="4"/>
      <c r="BO752" s="3"/>
      <c r="BP752" s="4"/>
      <c r="BQ752" s="3"/>
      <c r="BR752" s="4"/>
      <c r="BS752" s="3"/>
      <c r="BT752" s="4"/>
      <c r="BU752" s="3"/>
      <c r="BV752" s="4"/>
      <c r="BW752" s="3"/>
      <c r="BX752" s="4"/>
      <c r="BY752" s="3"/>
      <c r="BZ752" s="4"/>
      <c r="CA752" s="3"/>
      <c r="CB752" s="4"/>
      <c r="CC752" s="3"/>
      <c r="CD752" s="4"/>
    </row>
    <row r="753">
      <c r="A753" s="3"/>
      <c r="B753" s="4"/>
      <c r="C753" s="3"/>
      <c r="D753" s="4"/>
      <c r="E753" s="3"/>
      <c r="F753" s="4"/>
      <c r="G753" s="3"/>
      <c r="H753" s="4"/>
      <c r="I753" s="3"/>
      <c r="J753" s="4"/>
      <c r="K753" s="3"/>
      <c r="L753" s="4"/>
      <c r="M753" s="3"/>
      <c r="N753" s="4"/>
      <c r="O753" s="3"/>
      <c r="P753" s="4"/>
      <c r="Q753" s="3"/>
      <c r="R753" s="4"/>
      <c r="S753" s="3"/>
      <c r="T753" s="4"/>
      <c r="U753" s="3"/>
      <c r="V753" s="4"/>
      <c r="W753" s="3"/>
      <c r="X753" s="4"/>
      <c r="Y753" s="3"/>
      <c r="Z753" s="4"/>
      <c r="AA753" s="3"/>
      <c r="AB753" s="4"/>
      <c r="AC753" s="3"/>
      <c r="AD753" s="4"/>
      <c r="AE753" s="3"/>
      <c r="AF753" s="4"/>
      <c r="AG753" s="3"/>
      <c r="AH753" s="4"/>
      <c r="AI753" s="3"/>
      <c r="AJ753" s="4"/>
      <c r="AK753" s="3"/>
      <c r="AL753" s="4"/>
      <c r="AM753" s="3"/>
      <c r="AN753" s="4"/>
      <c r="AO753" s="3"/>
      <c r="AP753" s="4"/>
      <c r="AQ753" s="3"/>
      <c r="AR753" s="4"/>
      <c r="AS753" s="3"/>
      <c r="AT753" s="4"/>
      <c r="AU753" s="3"/>
      <c r="AV753" s="4"/>
      <c r="AW753" s="3"/>
      <c r="AX753" s="4"/>
      <c r="AY753" s="3"/>
      <c r="AZ753" s="4"/>
      <c r="BA753" s="3"/>
      <c r="BB753" s="4"/>
      <c r="BC753" s="3"/>
      <c r="BD753" s="4"/>
      <c r="BE753" s="3"/>
      <c r="BF753" s="4"/>
      <c r="BG753" s="3"/>
      <c r="BH753" s="4"/>
      <c r="BI753" s="3"/>
      <c r="BJ753" s="4"/>
      <c r="BK753" s="3"/>
      <c r="BL753" s="4"/>
      <c r="BM753" s="3"/>
      <c r="BN753" s="4"/>
      <c r="BO753" s="3"/>
      <c r="BP753" s="4"/>
      <c r="BQ753" s="3"/>
      <c r="BR753" s="4"/>
      <c r="BS753" s="3"/>
      <c r="BT753" s="4"/>
      <c r="BU753" s="3"/>
      <c r="BV753" s="4"/>
      <c r="BW753" s="3"/>
      <c r="BX753" s="4"/>
      <c r="BY753" s="3"/>
      <c r="BZ753" s="4"/>
      <c r="CA753" s="3"/>
      <c r="CB753" s="4"/>
      <c r="CC753" s="3"/>
      <c r="CD753" s="4"/>
    </row>
    <row r="754">
      <c r="A754" s="3"/>
      <c r="B754" s="4"/>
      <c r="C754" s="3"/>
      <c r="D754" s="4"/>
      <c r="E754" s="3"/>
      <c r="F754" s="4"/>
      <c r="G754" s="3"/>
      <c r="H754" s="4"/>
      <c r="I754" s="3"/>
      <c r="J754" s="4"/>
      <c r="K754" s="3"/>
      <c r="L754" s="4"/>
      <c r="M754" s="3"/>
      <c r="N754" s="4"/>
      <c r="O754" s="3"/>
      <c r="P754" s="4"/>
      <c r="Q754" s="3"/>
      <c r="R754" s="4"/>
      <c r="S754" s="3"/>
      <c r="T754" s="4"/>
      <c r="U754" s="3"/>
      <c r="V754" s="4"/>
      <c r="W754" s="3"/>
      <c r="X754" s="4"/>
      <c r="Y754" s="3"/>
      <c r="Z754" s="4"/>
      <c r="AA754" s="3"/>
      <c r="AB754" s="4"/>
      <c r="AC754" s="3"/>
      <c r="AD754" s="4"/>
      <c r="AE754" s="3"/>
      <c r="AF754" s="4"/>
      <c r="AG754" s="3"/>
      <c r="AH754" s="4"/>
      <c r="AI754" s="3"/>
      <c r="AJ754" s="4"/>
      <c r="AK754" s="3"/>
      <c r="AL754" s="4"/>
      <c r="AM754" s="3"/>
      <c r="AN754" s="4"/>
      <c r="AO754" s="3"/>
      <c r="AP754" s="4"/>
      <c r="AQ754" s="3"/>
      <c r="AR754" s="4"/>
      <c r="AS754" s="3"/>
      <c r="AT754" s="4"/>
      <c r="AU754" s="3"/>
      <c r="AV754" s="4"/>
      <c r="AW754" s="3"/>
      <c r="AX754" s="4"/>
      <c r="AY754" s="3"/>
      <c r="AZ754" s="4"/>
      <c r="BA754" s="3"/>
      <c r="BB754" s="4"/>
      <c r="BC754" s="3"/>
      <c r="BD754" s="4"/>
      <c r="BE754" s="3"/>
      <c r="BF754" s="4"/>
      <c r="BG754" s="3"/>
      <c r="BH754" s="4"/>
      <c r="BI754" s="3"/>
      <c r="BJ754" s="4"/>
      <c r="BK754" s="3"/>
      <c r="BL754" s="4"/>
      <c r="BM754" s="3"/>
      <c r="BN754" s="4"/>
      <c r="BO754" s="3"/>
      <c r="BP754" s="4"/>
      <c r="BQ754" s="3"/>
      <c r="BR754" s="4"/>
      <c r="BS754" s="3"/>
      <c r="BT754" s="4"/>
      <c r="BU754" s="3"/>
      <c r="BV754" s="4"/>
      <c r="BW754" s="3"/>
      <c r="BX754" s="4"/>
      <c r="BY754" s="3"/>
      <c r="BZ754" s="4"/>
      <c r="CA754" s="3"/>
      <c r="CB754" s="4"/>
      <c r="CC754" s="3"/>
      <c r="CD754" s="4"/>
    </row>
    <row r="755">
      <c r="A755" s="3"/>
      <c r="B755" s="4"/>
      <c r="C755" s="3"/>
      <c r="D755" s="4"/>
      <c r="E755" s="3"/>
      <c r="F755" s="4"/>
      <c r="G755" s="3"/>
      <c r="H755" s="4"/>
      <c r="I755" s="3"/>
      <c r="J755" s="4"/>
      <c r="K755" s="3"/>
      <c r="L755" s="4"/>
      <c r="M755" s="3"/>
      <c r="N755" s="4"/>
      <c r="O755" s="3"/>
      <c r="P755" s="4"/>
      <c r="Q755" s="3"/>
      <c r="R755" s="4"/>
      <c r="S755" s="3"/>
      <c r="T755" s="4"/>
      <c r="U755" s="3"/>
      <c r="V755" s="4"/>
      <c r="W755" s="3"/>
      <c r="X755" s="4"/>
      <c r="Y755" s="3"/>
      <c r="Z755" s="4"/>
      <c r="AA755" s="3"/>
      <c r="AB755" s="4"/>
      <c r="AC755" s="3"/>
      <c r="AD755" s="4"/>
      <c r="AE755" s="3"/>
      <c r="AF755" s="4"/>
      <c r="AG755" s="3"/>
      <c r="AH755" s="4"/>
      <c r="AI755" s="3"/>
      <c r="AJ755" s="4"/>
      <c r="AK755" s="3"/>
      <c r="AL755" s="4"/>
      <c r="AM755" s="3"/>
      <c r="AN755" s="4"/>
      <c r="AO755" s="3"/>
      <c r="AP755" s="4"/>
      <c r="AQ755" s="3"/>
      <c r="AR755" s="4"/>
      <c r="AS755" s="3"/>
      <c r="AT755" s="4"/>
      <c r="AU755" s="3"/>
      <c r="AV755" s="4"/>
      <c r="AW755" s="3"/>
      <c r="AX755" s="4"/>
      <c r="AY755" s="3"/>
      <c r="AZ755" s="4"/>
      <c r="BA755" s="3"/>
      <c r="BB755" s="4"/>
      <c r="BC755" s="3"/>
      <c r="BD755" s="4"/>
      <c r="BE755" s="3"/>
      <c r="BF755" s="4"/>
      <c r="BG755" s="3"/>
      <c r="BH755" s="4"/>
      <c r="BI755" s="3"/>
      <c r="BJ755" s="4"/>
      <c r="BK755" s="3"/>
      <c r="BL755" s="4"/>
      <c r="BM755" s="3"/>
      <c r="BN755" s="4"/>
      <c r="BO755" s="3"/>
      <c r="BP755" s="4"/>
      <c r="BQ755" s="3"/>
      <c r="BR755" s="4"/>
      <c r="BS755" s="3"/>
      <c r="BT755" s="4"/>
      <c r="BU755" s="3"/>
      <c r="BV755" s="4"/>
      <c r="BW755" s="3"/>
      <c r="BX755" s="4"/>
      <c r="BY755" s="3"/>
      <c r="BZ755" s="4"/>
      <c r="CA755" s="3"/>
      <c r="CB755" s="4"/>
      <c r="CC755" s="3"/>
      <c r="CD755" s="4"/>
    </row>
    <row r="756">
      <c r="A756" s="3"/>
      <c r="B756" s="4"/>
      <c r="C756" s="3"/>
      <c r="D756" s="4"/>
      <c r="E756" s="3"/>
      <c r="F756" s="4"/>
      <c r="G756" s="3"/>
      <c r="H756" s="4"/>
      <c r="I756" s="3"/>
      <c r="J756" s="4"/>
      <c r="K756" s="3"/>
      <c r="L756" s="4"/>
      <c r="M756" s="3"/>
      <c r="N756" s="4"/>
      <c r="O756" s="3"/>
      <c r="P756" s="4"/>
      <c r="Q756" s="3"/>
      <c r="R756" s="4"/>
      <c r="S756" s="3"/>
      <c r="T756" s="4"/>
      <c r="U756" s="3"/>
      <c r="V756" s="4"/>
      <c r="W756" s="3"/>
      <c r="X756" s="4"/>
      <c r="Y756" s="3"/>
      <c r="Z756" s="4"/>
      <c r="AA756" s="3"/>
      <c r="AB756" s="4"/>
      <c r="AC756" s="3"/>
      <c r="AD756" s="4"/>
      <c r="AE756" s="3"/>
      <c r="AF756" s="4"/>
      <c r="AG756" s="3"/>
      <c r="AH756" s="4"/>
      <c r="AI756" s="3"/>
      <c r="AJ756" s="4"/>
      <c r="AK756" s="3"/>
      <c r="AL756" s="4"/>
      <c r="AM756" s="3"/>
      <c r="AN756" s="4"/>
      <c r="AO756" s="3"/>
      <c r="AP756" s="4"/>
      <c r="AQ756" s="3"/>
      <c r="AR756" s="4"/>
      <c r="AS756" s="3"/>
      <c r="AT756" s="4"/>
      <c r="AU756" s="3"/>
      <c r="AV756" s="4"/>
      <c r="AW756" s="3"/>
      <c r="AX756" s="4"/>
      <c r="AY756" s="3"/>
      <c r="AZ756" s="4"/>
      <c r="BA756" s="3"/>
      <c r="BB756" s="4"/>
      <c r="BC756" s="3"/>
      <c r="BD756" s="4"/>
      <c r="BE756" s="3"/>
      <c r="BF756" s="4"/>
      <c r="BG756" s="3"/>
      <c r="BH756" s="4"/>
      <c r="BI756" s="3"/>
      <c r="BJ756" s="4"/>
      <c r="BK756" s="3"/>
      <c r="BL756" s="4"/>
      <c r="BM756" s="3"/>
      <c r="BN756" s="4"/>
      <c r="BO756" s="3"/>
      <c r="BP756" s="4"/>
      <c r="BQ756" s="3"/>
      <c r="BR756" s="4"/>
      <c r="BS756" s="3"/>
      <c r="BT756" s="4"/>
      <c r="BU756" s="3"/>
      <c r="BV756" s="4"/>
      <c r="BW756" s="3"/>
      <c r="BX756" s="4"/>
      <c r="BY756" s="3"/>
      <c r="BZ756" s="4"/>
      <c r="CA756" s="3"/>
      <c r="CB756" s="4"/>
      <c r="CC756" s="3"/>
      <c r="CD756" s="4"/>
    </row>
    <row r="757">
      <c r="A757" s="3"/>
      <c r="B757" s="4"/>
      <c r="C757" s="3"/>
      <c r="D757" s="4"/>
      <c r="E757" s="3"/>
      <c r="F757" s="4"/>
      <c r="G757" s="3"/>
      <c r="H757" s="4"/>
      <c r="I757" s="3"/>
      <c r="J757" s="4"/>
      <c r="K757" s="3"/>
      <c r="L757" s="4"/>
      <c r="M757" s="3"/>
      <c r="N757" s="4"/>
      <c r="O757" s="3"/>
      <c r="P757" s="4"/>
      <c r="Q757" s="3"/>
      <c r="R757" s="4"/>
      <c r="S757" s="3"/>
      <c r="T757" s="4"/>
      <c r="U757" s="3"/>
      <c r="V757" s="4"/>
      <c r="W757" s="3"/>
      <c r="X757" s="4"/>
      <c r="Y757" s="3"/>
      <c r="Z757" s="4"/>
      <c r="AA757" s="3"/>
      <c r="AB757" s="4"/>
      <c r="AC757" s="3"/>
      <c r="AD757" s="4"/>
      <c r="AE757" s="3"/>
      <c r="AF757" s="4"/>
      <c r="AG757" s="3"/>
      <c r="AH757" s="4"/>
      <c r="AI757" s="3"/>
      <c r="AJ757" s="4"/>
      <c r="AK757" s="3"/>
      <c r="AL757" s="4"/>
      <c r="AM757" s="3"/>
      <c r="AN757" s="4"/>
      <c r="AO757" s="3"/>
      <c r="AP757" s="4"/>
      <c r="AQ757" s="3"/>
      <c r="AR757" s="4"/>
      <c r="AS757" s="3"/>
      <c r="AT757" s="4"/>
      <c r="AU757" s="3"/>
      <c r="AV757" s="4"/>
      <c r="AW757" s="3"/>
      <c r="AX757" s="4"/>
      <c r="AY757" s="3"/>
      <c r="AZ757" s="4"/>
      <c r="BA757" s="3"/>
      <c r="BB757" s="4"/>
      <c r="BC757" s="3"/>
      <c r="BD757" s="4"/>
      <c r="BE757" s="3"/>
      <c r="BF757" s="4"/>
      <c r="BG757" s="3"/>
      <c r="BH757" s="4"/>
      <c r="BI757" s="3"/>
      <c r="BJ757" s="4"/>
      <c r="BK757" s="3"/>
      <c r="BL757" s="4"/>
      <c r="BM757" s="3"/>
      <c r="BN757" s="4"/>
      <c r="BO757" s="3"/>
      <c r="BP757" s="4"/>
      <c r="BQ757" s="3"/>
      <c r="BR757" s="4"/>
      <c r="BS757" s="3"/>
      <c r="BT757" s="4"/>
      <c r="BU757" s="3"/>
      <c r="BV757" s="4"/>
      <c r="BW757" s="3"/>
      <c r="BX757" s="4"/>
      <c r="BY757" s="3"/>
      <c r="BZ757" s="4"/>
      <c r="CA757" s="3"/>
      <c r="CB757" s="4"/>
      <c r="CC757" s="3"/>
      <c r="CD757" s="4"/>
    </row>
    <row r="758">
      <c r="A758" s="3"/>
      <c r="B758" s="4"/>
      <c r="C758" s="3"/>
      <c r="D758" s="4"/>
      <c r="E758" s="3"/>
      <c r="F758" s="4"/>
      <c r="G758" s="3"/>
      <c r="H758" s="4"/>
      <c r="I758" s="3"/>
      <c r="J758" s="4"/>
      <c r="K758" s="3"/>
      <c r="L758" s="4"/>
      <c r="M758" s="3"/>
      <c r="N758" s="4"/>
      <c r="O758" s="3"/>
      <c r="P758" s="4"/>
      <c r="Q758" s="3"/>
      <c r="R758" s="4"/>
      <c r="S758" s="3"/>
      <c r="T758" s="4"/>
      <c r="U758" s="3"/>
      <c r="V758" s="4"/>
      <c r="W758" s="3"/>
      <c r="X758" s="4"/>
      <c r="Y758" s="3"/>
      <c r="Z758" s="4"/>
      <c r="AA758" s="3"/>
      <c r="AB758" s="4"/>
      <c r="AC758" s="3"/>
      <c r="AD758" s="4"/>
      <c r="AE758" s="3"/>
      <c r="AF758" s="4"/>
      <c r="AG758" s="3"/>
      <c r="AH758" s="4"/>
      <c r="AI758" s="3"/>
      <c r="AJ758" s="4"/>
      <c r="AK758" s="3"/>
      <c r="AL758" s="4"/>
      <c r="AM758" s="3"/>
      <c r="AN758" s="4"/>
      <c r="AO758" s="3"/>
      <c r="AP758" s="4"/>
      <c r="AQ758" s="3"/>
      <c r="AR758" s="4"/>
      <c r="AS758" s="3"/>
      <c r="AT758" s="4"/>
      <c r="AU758" s="3"/>
      <c r="AV758" s="4"/>
      <c r="AW758" s="3"/>
      <c r="AX758" s="4"/>
      <c r="AY758" s="3"/>
      <c r="AZ758" s="4"/>
      <c r="BA758" s="3"/>
      <c r="BB758" s="4"/>
      <c r="BC758" s="3"/>
      <c r="BD758" s="4"/>
      <c r="BE758" s="3"/>
      <c r="BF758" s="4"/>
      <c r="BG758" s="3"/>
      <c r="BH758" s="4"/>
      <c r="BI758" s="3"/>
      <c r="BJ758" s="4"/>
      <c r="BK758" s="3"/>
      <c r="BL758" s="4"/>
      <c r="BM758" s="3"/>
      <c r="BN758" s="4"/>
      <c r="BO758" s="3"/>
      <c r="BP758" s="4"/>
      <c r="BQ758" s="3"/>
      <c r="BR758" s="4"/>
      <c r="BS758" s="3"/>
      <c r="BT758" s="4"/>
      <c r="BU758" s="3"/>
      <c r="BV758" s="4"/>
      <c r="BW758" s="3"/>
      <c r="BX758" s="4"/>
      <c r="BY758" s="3"/>
      <c r="BZ758" s="4"/>
      <c r="CA758" s="3"/>
      <c r="CB758" s="4"/>
      <c r="CC758" s="3"/>
      <c r="CD758" s="4"/>
    </row>
    <row r="759">
      <c r="A759" s="3"/>
      <c r="B759" s="4"/>
      <c r="C759" s="3"/>
      <c r="D759" s="4"/>
      <c r="E759" s="3"/>
      <c r="F759" s="4"/>
      <c r="G759" s="3"/>
      <c r="H759" s="4"/>
      <c r="I759" s="3"/>
      <c r="J759" s="4"/>
      <c r="K759" s="3"/>
      <c r="L759" s="4"/>
      <c r="M759" s="3"/>
      <c r="N759" s="4"/>
      <c r="O759" s="3"/>
      <c r="P759" s="4"/>
      <c r="Q759" s="3"/>
      <c r="R759" s="4"/>
      <c r="S759" s="3"/>
      <c r="T759" s="4"/>
      <c r="U759" s="3"/>
      <c r="V759" s="4"/>
      <c r="W759" s="3"/>
      <c r="X759" s="4"/>
      <c r="Y759" s="3"/>
      <c r="Z759" s="4"/>
      <c r="AA759" s="3"/>
      <c r="AB759" s="4"/>
      <c r="AC759" s="3"/>
      <c r="AD759" s="4"/>
      <c r="AE759" s="3"/>
      <c r="AF759" s="4"/>
      <c r="AG759" s="3"/>
      <c r="AH759" s="4"/>
      <c r="AI759" s="3"/>
      <c r="AJ759" s="4"/>
      <c r="AK759" s="3"/>
      <c r="AL759" s="4"/>
      <c r="AM759" s="3"/>
      <c r="AN759" s="4"/>
      <c r="AO759" s="3"/>
      <c r="AP759" s="4"/>
      <c r="AQ759" s="3"/>
      <c r="AR759" s="4"/>
      <c r="AS759" s="3"/>
      <c r="AT759" s="4"/>
      <c r="AU759" s="3"/>
      <c r="AV759" s="4"/>
      <c r="AW759" s="3"/>
      <c r="AX759" s="4"/>
      <c r="AY759" s="3"/>
      <c r="AZ759" s="4"/>
      <c r="BA759" s="3"/>
      <c r="BB759" s="4"/>
      <c r="BC759" s="3"/>
      <c r="BD759" s="4"/>
      <c r="BE759" s="3"/>
      <c r="BF759" s="4"/>
      <c r="BG759" s="3"/>
      <c r="BH759" s="4"/>
      <c r="BI759" s="3"/>
      <c r="BJ759" s="4"/>
      <c r="BK759" s="3"/>
      <c r="BL759" s="4"/>
      <c r="BM759" s="3"/>
      <c r="BN759" s="4"/>
      <c r="BO759" s="3"/>
      <c r="BP759" s="4"/>
      <c r="BQ759" s="3"/>
      <c r="BR759" s="4"/>
      <c r="BS759" s="3"/>
      <c r="BT759" s="4"/>
      <c r="BU759" s="3"/>
      <c r="BV759" s="4"/>
      <c r="BW759" s="3"/>
      <c r="BX759" s="4"/>
      <c r="BY759" s="3"/>
      <c r="BZ759" s="4"/>
      <c r="CA759" s="3"/>
      <c r="CB759" s="4"/>
      <c r="CC759" s="3"/>
      <c r="CD759" s="4"/>
    </row>
    <row r="760">
      <c r="A760" s="3"/>
      <c r="B760" s="4"/>
      <c r="C760" s="3"/>
      <c r="D760" s="4"/>
      <c r="E760" s="3"/>
      <c r="F760" s="4"/>
      <c r="G760" s="3"/>
      <c r="H760" s="4"/>
      <c r="I760" s="3"/>
      <c r="J760" s="4"/>
      <c r="K760" s="3"/>
      <c r="L760" s="4"/>
      <c r="M760" s="3"/>
      <c r="N760" s="4"/>
      <c r="O760" s="3"/>
      <c r="P760" s="4"/>
      <c r="Q760" s="3"/>
      <c r="R760" s="4"/>
      <c r="S760" s="3"/>
      <c r="T760" s="4"/>
      <c r="U760" s="3"/>
      <c r="V760" s="4"/>
      <c r="W760" s="3"/>
      <c r="X760" s="4"/>
      <c r="Y760" s="3"/>
      <c r="Z760" s="4"/>
      <c r="AA760" s="3"/>
      <c r="AB760" s="4"/>
      <c r="AC760" s="3"/>
      <c r="AD760" s="4"/>
      <c r="AE760" s="3"/>
      <c r="AF760" s="4"/>
      <c r="AG760" s="3"/>
      <c r="AH760" s="4"/>
      <c r="AI760" s="3"/>
      <c r="AJ760" s="4"/>
      <c r="AK760" s="3"/>
      <c r="AL760" s="4"/>
      <c r="AM760" s="3"/>
      <c r="AN760" s="4"/>
      <c r="AO760" s="3"/>
      <c r="AP760" s="4"/>
      <c r="AQ760" s="3"/>
      <c r="AR760" s="4"/>
      <c r="AS760" s="3"/>
      <c r="AT760" s="4"/>
      <c r="AU760" s="3"/>
      <c r="AV760" s="4"/>
      <c r="AW760" s="3"/>
      <c r="AX760" s="4"/>
      <c r="AY760" s="3"/>
      <c r="AZ760" s="4"/>
      <c r="BA760" s="3"/>
      <c r="BB760" s="4"/>
      <c r="BC760" s="3"/>
      <c r="BD760" s="4"/>
      <c r="BE760" s="3"/>
      <c r="BF760" s="4"/>
      <c r="BG760" s="3"/>
      <c r="BH760" s="4"/>
      <c r="BI760" s="3"/>
      <c r="BJ760" s="4"/>
      <c r="BK760" s="3"/>
      <c r="BL760" s="4"/>
      <c r="BM760" s="3"/>
      <c r="BN760" s="4"/>
      <c r="BO760" s="3"/>
      <c r="BP760" s="4"/>
      <c r="BQ760" s="3"/>
      <c r="BR760" s="4"/>
      <c r="BS760" s="3"/>
      <c r="BT760" s="4"/>
      <c r="BU760" s="3"/>
      <c r="BV760" s="4"/>
      <c r="BW760" s="3"/>
      <c r="BX760" s="4"/>
      <c r="BY760" s="3"/>
      <c r="BZ760" s="4"/>
      <c r="CA760" s="3"/>
      <c r="CB760" s="4"/>
      <c r="CC760" s="3"/>
      <c r="CD760" s="4"/>
    </row>
    <row r="761">
      <c r="A761" s="3"/>
      <c r="B761" s="4"/>
      <c r="C761" s="3"/>
      <c r="D761" s="4"/>
      <c r="E761" s="3"/>
      <c r="F761" s="4"/>
      <c r="G761" s="3"/>
      <c r="H761" s="4"/>
      <c r="I761" s="3"/>
      <c r="J761" s="4"/>
      <c r="K761" s="3"/>
      <c r="L761" s="4"/>
      <c r="M761" s="3"/>
      <c r="N761" s="4"/>
      <c r="O761" s="3"/>
      <c r="P761" s="4"/>
      <c r="Q761" s="3"/>
      <c r="R761" s="4"/>
      <c r="S761" s="3"/>
      <c r="T761" s="4"/>
      <c r="U761" s="3"/>
      <c r="V761" s="4"/>
      <c r="W761" s="3"/>
      <c r="X761" s="4"/>
      <c r="Y761" s="3"/>
      <c r="Z761" s="4"/>
      <c r="AA761" s="3"/>
      <c r="AB761" s="4"/>
      <c r="AC761" s="3"/>
      <c r="AD761" s="4"/>
      <c r="AE761" s="3"/>
      <c r="AF761" s="4"/>
      <c r="AG761" s="3"/>
      <c r="AH761" s="4"/>
      <c r="AI761" s="3"/>
      <c r="AJ761" s="4"/>
      <c r="AK761" s="3"/>
      <c r="AL761" s="4"/>
      <c r="AM761" s="3"/>
      <c r="AN761" s="4"/>
      <c r="AO761" s="3"/>
      <c r="AP761" s="4"/>
      <c r="AQ761" s="3"/>
      <c r="AR761" s="4"/>
      <c r="AS761" s="3"/>
      <c r="AT761" s="4"/>
      <c r="AU761" s="3"/>
      <c r="AV761" s="4"/>
      <c r="AW761" s="3"/>
      <c r="AX761" s="4"/>
      <c r="AY761" s="3"/>
      <c r="AZ761" s="4"/>
      <c r="BA761" s="3"/>
      <c r="BB761" s="4"/>
      <c r="BC761" s="3"/>
      <c r="BD761" s="4"/>
      <c r="BE761" s="3"/>
      <c r="BF761" s="4"/>
      <c r="BG761" s="3"/>
      <c r="BH761" s="4"/>
      <c r="BI761" s="3"/>
      <c r="BJ761" s="4"/>
      <c r="BK761" s="3"/>
      <c r="BL761" s="4"/>
      <c r="BM761" s="3"/>
      <c r="BN761" s="4"/>
      <c r="BO761" s="3"/>
      <c r="BP761" s="4"/>
      <c r="BQ761" s="3"/>
      <c r="BR761" s="4"/>
      <c r="BS761" s="3"/>
      <c r="BT761" s="4"/>
      <c r="BU761" s="3"/>
      <c r="BV761" s="4"/>
      <c r="BW761" s="3"/>
      <c r="BX761" s="4"/>
      <c r="BY761" s="3"/>
      <c r="BZ761" s="4"/>
      <c r="CA761" s="3"/>
      <c r="CB761" s="4"/>
      <c r="CC761" s="3"/>
      <c r="CD761" s="4"/>
    </row>
    <row r="762">
      <c r="A762" s="3"/>
      <c r="B762" s="4"/>
      <c r="C762" s="3"/>
      <c r="D762" s="4"/>
      <c r="E762" s="3"/>
      <c r="F762" s="4"/>
      <c r="G762" s="3"/>
      <c r="H762" s="4"/>
      <c r="I762" s="3"/>
      <c r="J762" s="4"/>
      <c r="K762" s="3"/>
      <c r="L762" s="4"/>
      <c r="M762" s="3"/>
      <c r="N762" s="4"/>
      <c r="O762" s="3"/>
      <c r="P762" s="4"/>
      <c r="Q762" s="3"/>
      <c r="R762" s="4"/>
      <c r="S762" s="3"/>
      <c r="T762" s="4"/>
      <c r="U762" s="3"/>
      <c r="V762" s="4"/>
      <c r="W762" s="3"/>
      <c r="X762" s="4"/>
      <c r="Y762" s="3"/>
      <c r="Z762" s="4"/>
      <c r="AA762" s="3"/>
      <c r="AB762" s="4"/>
      <c r="AC762" s="3"/>
      <c r="AD762" s="4"/>
      <c r="AE762" s="3"/>
      <c r="AF762" s="4"/>
      <c r="AG762" s="3"/>
      <c r="AH762" s="4"/>
      <c r="AI762" s="3"/>
      <c r="AJ762" s="4"/>
      <c r="AK762" s="3"/>
      <c r="AL762" s="4"/>
      <c r="AM762" s="3"/>
      <c r="AN762" s="4"/>
      <c r="AO762" s="3"/>
      <c r="AP762" s="4"/>
      <c r="AQ762" s="3"/>
      <c r="AR762" s="4"/>
      <c r="AS762" s="3"/>
      <c r="AT762" s="4"/>
      <c r="AU762" s="3"/>
      <c r="AV762" s="4"/>
      <c r="AW762" s="3"/>
      <c r="AX762" s="4"/>
      <c r="AY762" s="3"/>
      <c r="AZ762" s="4"/>
      <c r="BA762" s="3"/>
      <c r="BB762" s="4"/>
      <c r="BC762" s="3"/>
      <c r="BD762" s="4"/>
      <c r="BE762" s="3"/>
      <c r="BF762" s="4"/>
      <c r="BG762" s="3"/>
      <c r="BH762" s="4"/>
      <c r="BI762" s="3"/>
      <c r="BJ762" s="4"/>
      <c r="BK762" s="3"/>
      <c r="BL762" s="4"/>
      <c r="BM762" s="3"/>
      <c r="BN762" s="4"/>
      <c r="BO762" s="3"/>
      <c r="BP762" s="4"/>
      <c r="BQ762" s="3"/>
      <c r="BR762" s="4"/>
      <c r="BS762" s="3"/>
      <c r="BT762" s="4"/>
      <c r="BU762" s="3"/>
      <c r="BV762" s="4"/>
      <c r="BW762" s="3"/>
      <c r="BX762" s="4"/>
      <c r="BY762" s="3"/>
      <c r="BZ762" s="4"/>
      <c r="CA762" s="3"/>
      <c r="CB762" s="4"/>
      <c r="CC762" s="3"/>
      <c r="CD762" s="4"/>
    </row>
    <row r="763">
      <c r="A763" s="3"/>
      <c r="B763" s="4"/>
      <c r="C763" s="3"/>
      <c r="D763" s="4"/>
      <c r="E763" s="3"/>
      <c r="F763" s="4"/>
      <c r="G763" s="3"/>
      <c r="H763" s="4"/>
      <c r="I763" s="3"/>
      <c r="J763" s="4"/>
      <c r="K763" s="3"/>
      <c r="L763" s="4"/>
      <c r="M763" s="3"/>
      <c r="N763" s="4"/>
      <c r="O763" s="3"/>
      <c r="P763" s="4"/>
      <c r="Q763" s="3"/>
      <c r="R763" s="4"/>
      <c r="S763" s="3"/>
      <c r="T763" s="4"/>
      <c r="U763" s="3"/>
      <c r="V763" s="4"/>
      <c r="W763" s="3"/>
      <c r="X763" s="4"/>
      <c r="Y763" s="3"/>
      <c r="Z763" s="4"/>
      <c r="AA763" s="3"/>
      <c r="AB763" s="4"/>
      <c r="AC763" s="3"/>
      <c r="AD763" s="4"/>
      <c r="AE763" s="3"/>
      <c r="AF763" s="4"/>
      <c r="AG763" s="3"/>
      <c r="AH763" s="4"/>
      <c r="AI763" s="3"/>
      <c r="AJ763" s="4"/>
      <c r="AK763" s="3"/>
      <c r="AL763" s="4"/>
      <c r="AM763" s="3"/>
      <c r="AN763" s="4"/>
      <c r="AO763" s="3"/>
      <c r="AP763" s="4"/>
      <c r="AQ763" s="3"/>
      <c r="AR763" s="4"/>
      <c r="AS763" s="3"/>
      <c r="AT763" s="4"/>
      <c r="AU763" s="3"/>
      <c r="AV763" s="4"/>
      <c r="AW763" s="3"/>
      <c r="AX763" s="4"/>
      <c r="AY763" s="3"/>
      <c r="AZ763" s="4"/>
      <c r="BA763" s="3"/>
      <c r="BB763" s="4"/>
      <c r="BC763" s="3"/>
      <c r="BD763" s="4"/>
      <c r="BE763" s="3"/>
      <c r="BF763" s="4"/>
      <c r="BG763" s="3"/>
      <c r="BH763" s="4"/>
      <c r="BI763" s="3"/>
      <c r="BJ763" s="4"/>
      <c r="BK763" s="3"/>
      <c r="BL763" s="4"/>
      <c r="BM763" s="3"/>
      <c r="BN763" s="4"/>
      <c r="BO763" s="3"/>
      <c r="BP763" s="4"/>
      <c r="BQ763" s="3"/>
      <c r="BR763" s="4"/>
      <c r="BS763" s="3"/>
      <c r="BT763" s="4"/>
      <c r="BU763" s="3"/>
      <c r="BV763" s="4"/>
      <c r="BW763" s="3"/>
      <c r="BX763" s="4"/>
      <c r="BY763" s="3"/>
      <c r="BZ763" s="4"/>
      <c r="CA763" s="3"/>
      <c r="CB763" s="4"/>
      <c r="CC763" s="3"/>
      <c r="CD763" s="4"/>
    </row>
    <row r="764">
      <c r="A764" s="3"/>
      <c r="B764" s="4"/>
      <c r="C764" s="3"/>
      <c r="D764" s="4"/>
      <c r="E764" s="3"/>
      <c r="F764" s="4"/>
      <c r="G764" s="3"/>
      <c r="H764" s="4"/>
      <c r="I764" s="3"/>
      <c r="J764" s="4"/>
      <c r="K764" s="3"/>
      <c r="L764" s="4"/>
      <c r="M764" s="3"/>
      <c r="N764" s="4"/>
      <c r="O764" s="3"/>
      <c r="P764" s="4"/>
      <c r="Q764" s="3"/>
      <c r="R764" s="4"/>
      <c r="S764" s="3"/>
      <c r="T764" s="4"/>
      <c r="U764" s="3"/>
      <c r="V764" s="4"/>
      <c r="W764" s="3"/>
      <c r="X764" s="4"/>
      <c r="Y764" s="3"/>
      <c r="Z764" s="4"/>
      <c r="AA764" s="3"/>
      <c r="AB764" s="4"/>
      <c r="AC764" s="3"/>
      <c r="AD764" s="4"/>
      <c r="AE764" s="3"/>
      <c r="AF764" s="4"/>
      <c r="AG764" s="3"/>
      <c r="AH764" s="4"/>
      <c r="AI764" s="3"/>
      <c r="AJ764" s="4"/>
      <c r="AK764" s="3"/>
      <c r="AL764" s="4"/>
      <c r="AM764" s="3"/>
      <c r="AN764" s="4"/>
      <c r="AO764" s="3"/>
      <c r="AP764" s="4"/>
      <c r="AQ764" s="3"/>
      <c r="AR764" s="4"/>
      <c r="AS764" s="3"/>
      <c r="AT764" s="4"/>
      <c r="AU764" s="3"/>
      <c r="AV764" s="4"/>
      <c r="AW764" s="3"/>
      <c r="AX764" s="4"/>
      <c r="AY764" s="3"/>
      <c r="AZ764" s="4"/>
      <c r="BA764" s="3"/>
      <c r="BB764" s="4"/>
      <c r="BC764" s="3"/>
      <c r="BD764" s="4"/>
      <c r="BE764" s="3"/>
      <c r="BF764" s="4"/>
      <c r="BG764" s="3"/>
      <c r="BH764" s="4"/>
      <c r="BI764" s="3"/>
      <c r="BJ764" s="4"/>
      <c r="BK764" s="3"/>
      <c r="BL764" s="4"/>
      <c r="BM764" s="3"/>
      <c r="BN764" s="4"/>
      <c r="BO764" s="3"/>
      <c r="BP764" s="4"/>
      <c r="BQ764" s="3"/>
      <c r="BR764" s="4"/>
      <c r="BS764" s="3"/>
      <c r="BT764" s="4"/>
      <c r="BU764" s="3"/>
      <c r="BV764" s="4"/>
      <c r="BW764" s="3"/>
      <c r="BX764" s="4"/>
      <c r="BY764" s="3"/>
      <c r="BZ764" s="4"/>
      <c r="CA764" s="3"/>
      <c r="CB764" s="4"/>
      <c r="CC764" s="3"/>
      <c r="CD764" s="4"/>
    </row>
    <row r="765">
      <c r="A765" s="3"/>
      <c r="B765" s="4"/>
      <c r="C765" s="3"/>
      <c r="D765" s="4"/>
      <c r="E765" s="3"/>
      <c r="F765" s="4"/>
      <c r="G765" s="3"/>
      <c r="H765" s="4"/>
      <c r="I765" s="3"/>
      <c r="J765" s="4"/>
      <c r="K765" s="3"/>
      <c r="L765" s="4"/>
      <c r="M765" s="3"/>
      <c r="N765" s="4"/>
      <c r="O765" s="3"/>
      <c r="P765" s="4"/>
      <c r="Q765" s="3"/>
      <c r="R765" s="4"/>
      <c r="S765" s="3"/>
      <c r="T765" s="4"/>
      <c r="U765" s="3"/>
      <c r="V765" s="4"/>
      <c r="W765" s="3"/>
      <c r="X765" s="4"/>
      <c r="Y765" s="3"/>
      <c r="Z765" s="4"/>
      <c r="AA765" s="3"/>
      <c r="AB765" s="4"/>
      <c r="AC765" s="3"/>
      <c r="AD765" s="4"/>
      <c r="AE765" s="3"/>
      <c r="AF765" s="4"/>
      <c r="AG765" s="3"/>
      <c r="AH765" s="4"/>
      <c r="AI765" s="3"/>
      <c r="AJ765" s="4"/>
      <c r="AK765" s="3"/>
      <c r="AL765" s="4"/>
      <c r="AM765" s="3"/>
      <c r="AN765" s="4"/>
      <c r="AO765" s="3"/>
      <c r="AP765" s="4"/>
      <c r="AQ765" s="3"/>
      <c r="AR765" s="4"/>
      <c r="AS765" s="3"/>
      <c r="AT765" s="4"/>
      <c r="AU765" s="3"/>
      <c r="AV765" s="4"/>
      <c r="AW765" s="3"/>
      <c r="AX765" s="4"/>
      <c r="AY765" s="3"/>
      <c r="AZ765" s="4"/>
      <c r="BA765" s="3"/>
      <c r="BB765" s="4"/>
      <c r="BC765" s="3"/>
      <c r="BD765" s="4"/>
      <c r="BE765" s="3"/>
      <c r="BF765" s="4"/>
      <c r="BG765" s="3"/>
      <c r="BH765" s="4"/>
      <c r="BI765" s="3"/>
      <c r="BJ765" s="4"/>
      <c r="BK765" s="3"/>
      <c r="BL765" s="4"/>
      <c r="BM765" s="3"/>
      <c r="BN765" s="4"/>
      <c r="BO765" s="3"/>
      <c r="BP765" s="4"/>
      <c r="BQ765" s="3"/>
      <c r="BR765" s="4"/>
      <c r="BS765" s="3"/>
      <c r="BT765" s="4"/>
      <c r="BU765" s="3"/>
      <c r="BV765" s="4"/>
      <c r="BW765" s="3"/>
      <c r="BX765" s="4"/>
      <c r="BY765" s="3"/>
      <c r="BZ765" s="4"/>
      <c r="CA765" s="3"/>
      <c r="CB765" s="4"/>
      <c r="CC765" s="3"/>
      <c r="CD765" s="4"/>
    </row>
    <row r="766">
      <c r="A766" s="3"/>
      <c r="B766" s="4"/>
      <c r="C766" s="3"/>
      <c r="D766" s="4"/>
      <c r="E766" s="3"/>
      <c r="F766" s="4"/>
      <c r="G766" s="3"/>
      <c r="H766" s="4"/>
      <c r="I766" s="3"/>
      <c r="J766" s="4"/>
      <c r="K766" s="3"/>
      <c r="L766" s="4"/>
      <c r="M766" s="3"/>
      <c r="N766" s="4"/>
      <c r="O766" s="3"/>
      <c r="P766" s="4"/>
      <c r="Q766" s="3"/>
      <c r="R766" s="4"/>
      <c r="S766" s="3"/>
      <c r="T766" s="4"/>
      <c r="U766" s="3"/>
      <c r="V766" s="4"/>
      <c r="W766" s="3"/>
      <c r="X766" s="4"/>
      <c r="Y766" s="3"/>
      <c r="Z766" s="4"/>
      <c r="AA766" s="3"/>
      <c r="AB766" s="4"/>
      <c r="AC766" s="3"/>
      <c r="AD766" s="4"/>
      <c r="AE766" s="3"/>
      <c r="AF766" s="4"/>
      <c r="AG766" s="3"/>
      <c r="AH766" s="4"/>
      <c r="AI766" s="3"/>
      <c r="AJ766" s="4"/>
      <c r="AK766" s="3"/>
      <c r="AL766" s="4"/>
      <c r="AM766" s="3"/>
      <c r="AN766" s="4"/>
      <c r="AO766" s="3"/>
      <c r="AP766" s="4"/>
      <c r="AQ766" s="3"/>
      <c r="AR766" s="4"/>
      <c r="AS766" s="3"/>
      <c r="AT766" s="4"/>
      <c r="AU766" s="3"/>
      <c r="AV766" s="4"/>
      <c r="AW766" s="3"/>
      <c r="AX766" s="4"/>
      <c r="AY766" s="3"/>
      <c r="AZ766" s="4"/>
      <c r="BA766" s="3"/>
      <c r="BB766" s="4"/>
      <c r="BC766" s="3"/>
      <c r="BD766" s="4"/>
      <c r="BE766" s="3"/>
      <c r="BF766" s="4"/>
      <c r="BG766" s="3"/>
      <c r="BH766" s="4"/>
      <c r="BI766" s="3"/>
      <c r="BJ766" s="4"/>
      <c r="BK766" s="3"/>
      <c r="BL766" s="4"/>
      <c r="BM766" s="3"/>
      <c r="BN766" s="4"/>
      <c r="BO766" s="3"/>
      <c r="BP766" s="4"/>
      <c r="BQ766" s="3"/>
      <c r="BR766" s="4"/>
      <c r="BS766" s="3"/>
      <c r="BT766" s="4"/>
      <c r="BU766" s="3"/>
      <c r="BV766" s="4"/>
      <c r="BW766" s="3"/>
      <c r="BX766" s="4"/>
      <c r="BY766" s="3"/>
      <c r="BZ766" s="4"/>
      <c r="CA766" s="3"/>
      <c r="CB766" s="4"/>
      <c r="CC766" s="3"/>
      <c r="CD766" s="4"/>
    </row>
    <row r="767">
      <c r="A767" s="3"/>
      <c r="B767" s="4"/>
      <c r="C767" s="3"/>
      <c r="D767" s="4"/>
      <c r="E767" s="3"/>
      <c r="F767" s="4"/>
      <c r="G767" s="3"/>
      <c r="H767" s="4"/>
      <c r="I767" s="3"/>
      <c r="J767" s="4"/>
      <c r="K767" s="3"/>
      <c r="L767" s="4"/>
      <c r="M767" s="3"/>
      <c r="N767" s="4"/>
      <c r="O767" s="3"/>
      <c r="P767" s="4"/>
      <c r="Q767" s="3"/>
      <c r="R767" s="4"/>
      <c r="S767" s="3"/>
      <c r="T767" s="4"/>
      <c r="U767" s="3"/>
      <c r="V767" s="4"/>
      <c r="W767" s="3"/>
      <c r="X767" s="4"/>
      <c r="Y767" s="3"/>
      <c r="Z767" s="4"/>
      <c r="AA767" s="3"/>
      <c r="AB767" s="4"/>
      <c r="AC767" s="3"/>
      <c r="AD767" s="4"/>
      <c r="AE767" s="3"/>
      <c r="AF767" s="4"/>
      <c r="AG767" s="3"/>
      <c r="AH767" s="4"/>
      <c r="AI767" s="3"/>
      <c r="AJ767" s="4"/>
      <c r="AK767" s="3"/>
      <c r="AL767" s="4"/>
      <c r="AM767" s="3"/>
      <c r="AN767" s="4"/>
      <c r="AO767" s="3"/>
      <c r="AP767" s="4"/>
      <c r="AQ767" s="3"/>
      <c r="AR767" s="4"/>
      <c r="AS767" s="3"/>
      <c r="AT767" s="4"/>
      <c r="AU767" s="3"/>
      <c r="AV767" s="4"/>
      <c r="AW767" s="3"/>
      <c r="AX767" s="4"/>
      <c r="AY767" s="3"/>
      <c r="AZ767" s="4"/>
      <c r="BA767" s="3"/>
      <c r="BB767" s="4"/>
      <c r="BC767" s="3"/>
      <c r="BD767" s="4"/>
      <c r="BE767" s="3"/>
      <c r="BF767" s="4"/>
      <c r="BG767" s="3"/>
      <c r="BH767" s="4"/>
      <c r="BI767" s="3"/>
      <c r="BJ767" s="4"/>
      <c r="BK767" s="3"/>
      <c r="BL767" s="4"/>
      <c r="BM767" s="3"/>
      <c r="BN767" s="4"/>
      <c r="BO767" s="3"/>
      <c r="BP767" s="4"/>
      <c r="BQ767" s="3"/>
      <c r="BR767" s="4"/>
      <c r="BS767" s="3"/>
      <c r="BT767" s="4"/>
      <c r="BU767" s="3"/>
      <c r="BV767" s="4"/>
      <c r="BW767" s="3"/>
      <c r="BX767" s="4"/>
      <c r="BY767" s="3"/>
      <c r="BZ767" s="4"/>
      <c r="CA767" s="3"/>
      <c r="CB767" s="4"/>
      <c r="CC767" s="3"/>
      <c r="CD767" s="4"/>
    </row>
    <row r="768">
      <c r="A768" s="3"/>
      <c r="B768" s="4"/>
      <c r="C768" s="3"/>
      <c r="D768" s="4"/>
      <c r="E768" s="3"/>
      <c r="F768" s="4"/>
      <c r="G768" s="3"/>
      <c r="H768" s="4"/>
      <c r="I768" s="3"/>
      <c r="J768" s="4"/>
      <c r="K768" s="3"/>
      <c r="L768" s="4"/>
      <c r="M768" s="3"/>
      <c r="N768" s="4"/>
      <c r="O768" s="3"/>
      <c r="P768" s="4"/>
      <c r="Q768" s="3"/>
      <c r="R768" s="4"/>
      <c r="S768" s="3"/>
      <c r="T768" s="4"/>
      <c r="U768" s="3"/>
      <c r="V768" s="4"/>
      <c r="W768" s="3"/>
      <c r="X768" s="4"/>
      <c r="Y768" s="3"/>
      <c r="Z768" s="4"/>
      <c r="AA768" s="3"/>
      <c r="AB768" s="4"/>
      <c r="AC768" s="3"/>
      <c r="AD768" s="4"/>
      <c r="AE768" s="3"/>
      <c r="AF768" s="4"/>
      <c r="AG768" s="3"/>
      <c r="AH768" s="4"/>
      <c r="AI768" s="3"/>
      <c r="AJ768" s="4"/>
      <c r="AK768" s="3"/>
      <c r="AL768" s="4"/>
      <c r="AM768" s="3"/>
      <c r="AN768" s="4"/>
      <c r="AO768" s="3"/>
      <c r="AP768" s="4"/>
      <c r="AQ768" s="3"/>
      <c r="AR768" s="4"/>
      <c r="AS768" s="3"/>
      <c r="AT768" s="4"/>
      <c r="AU768" s="3"/>
      <c r="AV768" s="4"/>
      <c r="AW768" s="3"/>
      <c r="AX768" s="4"/>
      <c r="AY768" s="3"/>
      <c r="AZ768" s="4"/>
      <c r="BA768" s="3"/>
      <c r="BB768" s="4"/>
      <c r="BC768" s="3"/>
      <c r="BD768" s="4"/>
      <c r="BE768" s="3"/>
      <c r="BF768" s="4"/>
      <c r="BG768" s="3"/>
      <c r="BH768" s="4"/>
      <c r="BI768" s="3"/>
      <c r="BJ768" s="4"/>
      <c r="BK768" s="3"/>
      <c r="BL768" s="4"/>
      <c r="BM768" s="3"/>
      <c r="BN768" s="4"/>
      <c r="BO768" s="3"/>
      <c r="BP768" s="4"/>
      <c r="BQ768" s="3"/>
      <c r="BR768" s="4"/>
      <c r="BS768" s="3"/>
      <c r="BT768" s="4"/>
      <c r="BU768" s="3"/>
      <c r="BV768" s="4"/>
      <c r="BW768" s="3"/>
      <c r="BX768" s="4"/>
      <c r="BY768" s="3"/>
      <c r="BZ768" s="4"/>
      <c r="CA768" s="3"/>
      <c r="CB768" s="4"/>
      <c r="CC768" s="3"/>
      <c r="CD768" s="4"/>
    </row>
    <row r="769">
      <c r="A769" s="3"/>
      <c r="B769" s="4"/>
      <c r="C769" s="3"/>
      <c r="D769" s="4"/>
      <c r="E769" s="3"/>
      <c r="F769" s="4"/>
      <c r="G769" s="3"/>
      <c r="H769" s="4"/>
      <c r="I769" s="3"/>
      <c r="J769" s="4"/>
      <c r="K769" s="3"/>
      <c r="L769" s="4"/>
      <c r="M769" s="3"/>
      <c r="N769" s="4"/>
      <c r="O769" s="3"/>
      <c r="P769" s="4"/>
      <c r="Q769" s="3"/>
      <c r="R769" s="4"/>
      <c r="S769" s="3"/>
      <c r="T769" s="4"/>
      <c r="U769" s="3"/>
      <c r="V769" s="4"/>
      <c r="W769" s="3"/>
      <c r="X769" s="4"/>
      <c r="Y769" s="3"/>
      <c r="Z769" s="4"/>
      <c r="AA769" s="3"/>
      <c r="AB769" s="4"/>
      <c r="AC769" s="3"/>
      <c r="AD769" s="4"/>
      <c r="AE769" s="3"/>
      <c r="AF769" s="4"/>
      <c r="AG769" s="3"/>
      <c r="AH769" s="4"/>
      <c r="AI769" s="3"/>
      <c r="AJ769" s="4"/>
      <c r="AK769" s="3"/>
      <c r="AL769" s="4"/>
      <c r="AM769" s="3"/>
      <c r="AN769" s="4"/>
      <c r="AO769" s="3"/>
      <c r="AP769" s="4"/>
      <c r="AQ769" s="3"/>
      <c r="AR769" s="4"/>
      <c r="AS769" s="3"/>
      <c r="AT769" s="4"/>
      <c r="AU769" s="3"/>
      <c r="AV769" s="4"/>
      <c r="AW769" s="3"/>
      <c r="AX769" s="4"/>
      <c r="AY769" s="3"/>
      <c r="AZ769" s="4"/>
      <c r="BA769" s="3"/>
      <c r="BB769" s="4"/>
      <c r="BC769" s="3"/>
      <c r="BD769" s="4"/>
      <c r="BE769" s="3"/>
      <c r="BF769" s="4"/>
      <c r="BG769" s="3"/>
      <c r="BH769" s="4"/>
      <c r="BI769" s="3"/>
      <c r="BJ769" s="4"/>
      <c r="BK769" s="3"/>
      <c r="BL769" s="4"/>
      <c r="BM769" s="3"/>
      <c r="BN769" s="4"/>
      <c r="BO769" s="3"/>
      <c r="BP769" s="4"/>
      <c r="BQ769" s="3"/>
      <c r="BR769" s="4"/>
      <c r="BS769" s="3"/>
      <c r="BT769" s="4"/>
      <c r="BU769" s="3"/>
      <c r="BV769" s="4"/>
      <c r="BW769" s="3"/>
      <c r="BX769" s="4"/>
      <c r="BY769" s="3"/>
      <c r="BZ769" s="4"/>
      <c r="CA769" s="3"/>
      <c r="CB769" s="4"/>
      <c r="CC769" s="3"/>
      <c r="CD769" s="4"/>
    </row>
    <row r="770">
      <c r="A770" s="3"/>
      <c r="B770" s="4"/>
      <c r="C770" s="3"/>
      <c r="D770" s="4"/>
      <c r="E770" s="3"/>
      <c r="F770" s="4"/>
      <c r="G770" s="3"/>
      <c r="H770" s="4"/>
      <c r="I770" s="3"/>
      <c r="J770" s="4"/>
      <c r="K770" s="3"/>
      <c r="L770" s="4"/>
      <c r="M770" s="3"/>
      <c r="N770" s="4"/>
      <c r="O770" s="3"/>
      <c r="P770" s="4"/>
      <c r="Q770" s="3"/>
      <c r="R770" s="4"/>
      <c r="S770" s="3"/>
      <c r="T770" s="4"/>
      <c r="U770" s="3"/>
      <c r="V770" s="4"/>
      <c r="W770" s="3"/>
      <c r="X770" s="4"/>
      <c r="Y770" s="3"/>
      <c r="Z770" s="4"/>
      <c r="AA770" s="3"/>
      <c r="AB770" s="4"/>
      <c r="AC770" s="3"/>
      <c r="AD770" s="4"/>
      <c r="AE770" s="3"/>
      <c r="AF770" s="4"/>
      <c r="AG770" s="3"/>
      <c r="AH770" s="4"/>
      <c r="AI770" s="3"/>
      <c r="AJ770" s="4"/>
      <c r="AK770" s="3"/>
      <c r="AL770" s="4"/>
      <c r="AM770" s="3"/>
      <c r="AN770" s="4"/>
      <c r="AO770" s="3"/>
      <c r="AP770" s="4"/>
      <c r="AQ770" s="3"/>
      <c r="AR770" s="4"/>
      <c r="AS770" s="3"/>
      <c r="AT770" s="4"/>
      <c r="AU770" s="3"/>
      <c r="AV770" s="4"/>
      <c r="AW770" s="3"/>
      <c r="AX770" s="4"/>
      <c r="AY770" s="3"/>
      <c r="AZ770" s="4"/>
      <c r="BA770" s="3"/>
      <c r="BB770" s="4"/>
      <c r="BC770" s="3"/>
      <c r="BD770" s="4"/>
      <c r="BE770" s="3"/>
      <c r="BF770" s="4"/>
      <c r="BG770" s="3"/>
      <c r="BH770" s="4"/>
      <c r="BI770" s="3"/>
      <c r="BJ770" s="4"/>
      <c r="BK770" s="3"/>
      <c r="BL770" s="4"/>
      <c r="BM770" s="3"/>
      <c r="BN770" s="4"/>
      <c r="BO770" s="3"/>
      <c r="BP770" s="4"/>
      <c r="BQ770" s="3"/>
      <c r="BR770" s="4"/>
      <c r="BS770" s="3"/>
      <c r="BT770" s="4"/>
      <c r="BU770" s="3"/>
      <c r="BV770" s="4"/>
      <c r="BW770" s="3"/>
      <c r="BX770" s="4"/>
      <c r="BY770" s="3"/>
      <c r="BZ770" s="4"/>
      <c r="CA770" s="3"/>
      <c r="CB770" s="4"/>
      <c r="CC770" s="3"/>
      <c r="CD770" s="4"/>
    </row>
    <row r="771">
      <c r="A771" s="3"/>
      <c r="B771" s="4"/>
      <c r="C771" s="3"/>
      <c r="D771" s="4"/>
      <c r="E771" s="3"/>
      <c r="F771" s="4"/>
      <c r="G771" s="3"/>
      <c r="H771" s="4"/>
      <c r="I771" s="3"/>
      <c r="J771" s="4"/>
      <c r="K771" s="3"/>
      <c r="L771" s="4"/>
      <c r="M771" s="3"/>
      <c r="N771" s="4"/>
      <c r="O771" s="3"/>
      <c r="P771" s="4"/>
      <c r="Q771" s="3"/>
      <c r="R771" s="4"/>
      <c r="S771" s="3"/>
      <c r="T771" s="4"/>
      <c r="U771" s="3"/>
      <c r="V771" s="4"/>
      <c r="W771" s="3"/>
      <c r="X771" s="4"/>
      <c r="Y771" s="3"/>
      <c r="Z771" s="4"/>
      <c r="AA771" s="3"/>
      <c r="AB771" s="4"/>
      <c r="AC771" s="3"/>
      <c r="AD771" s="4"/>
      <c r="AE771" s="3"/>
      <c r="AF771" s="4"/>
      <c r="AG771" s="3"/>
      <c r="AH771" s="4"/>
      <c r="AI771" s="3"/>
      <c r="AJ771" s="4"/>
      <c r="AK771" s="3"/>
      <c r="AL771" s="4"/>
      <c r="AM771" s="3"/>
      <c r="AN771" s="4"/>
      <c r="AO771" s="3"/>
      <c r="AP771" s="4"/>
      <c r="AQ771" s="3"/>
      <c r="AR771" s="4"/>
      <c r="AS771" s="3"/>
      <c r="AT771" s="4"/>
      <c r="AU771" s="3"/>
      <c r="AV771" s="4"/>
      <c r="AW771" s="3"/>
      <c r="AX771" s="4"/>
      <c r="AY771" s="3"/>
      <c r="AZ771" s="4"/>
      <c r="BA771" s="3"/>
      <c r="BB771" s="4"/>
      <c r="BC771" s="3"/>
      <c r="BD771" s="4"/>
      <c r="BE771" s="3"/>
      <c r="BF771" s="4"/>
      <c r="BG771" s="3"/>
      <c r="BH771" s="4"/>
      <c r="BI771" s="3"/>
      <c r="BJ771" s="4"/>
      <c r="BK771" s="3"/>
      <c r="BL771" s="4"/>
      <c r="BM771" s="3"/>
      <c r="BN771" s="4"/>
      <c r="BO771" s="3"/>
      <c r="BP771" s="4"/>
      <c r="BQ771" s="3"/>
      <c r="BR771" s="4"/>
      <c r="BS771" s="3"/>
      <c r="BT771" s="4"/>
      <c r="BU771" s="3"/>
      <c r="BV771" s="4"/>
      <c r="BW771" s="3"/>
      <c r="BX771" s="4"/>
      <c r="BY771" s="3"/>
      <c r="BZ771" s="4"/>
      <c r="CA771" s="3"/>
      <c r="CB771" s="4"/>
      <c r="CC771" s="3"/>
      <c r="CD771" s="4"/>
    </row>
    <row r="772">
      <c r="A772" s="3"/>
      <c r="B772" s="4"/>
      <c r="C772" s="3"/>
      <c r="D772" s="4"/>
      <c r="E772" s="3"/>
      <c r="F772" s="4"/>
      <c r="G772" s="3"/>
      <c r="H772" s="4"/>
      <c r="I772" s="3"/>
      <c r="J772" s="4"/>
      <c r="K772" s="3"/>
      <c r="L772" s="4"/>
      <c r="M772" s="3"/>
      <c r="N772" s="4"/>
      <c r="O772" s="3"/>
      <c r="P772" s="4"/>
      <c r="Q772" s="3"/>
      <c r="R772" s="4"/>
      <c r="S772" s="3"/>
      <c r="T772" s="4"/>
      <c r="U772" s="3"/>
      <c r="V772" s="4"/>
      <c r="W772" s="3"/>
      <c r="X772" s="4"/>
      <c r="Y772" s="3"/>
      <c r="Z772" s="4"/>
      <c r="AA772" s="3"/>
      <c r="AB772" s="4"/>
      <c r="AC772" s="3"/>
      <c r="AD772" s="4"/>
      <c r="AE772" s="3"/>
      <c r="AF772" s="4"/>
      <c r="AG772" s="3"/>
      <c r="AH772" s="4"/>
      <c r="AI772" s="3"/>
      <c r="AJ772" s="4"/>
      <c r="AK772" s="3"/>
      <c r="AL772" s="4"/>
      <c r="AM772" s="3"/>
      <c r="AN772" s="4"/>
      <c r="AO772" s="3"/>
      <c r="AP772" s="4"/>
      <c r="AQ772" s="3"/>
      <c r="AR772" s="4"/>
      <c r="AS772" s="3"/>
      <c r="AT772" s="4"/>
      <c r="AU772" s="3"/>
      <c r="AV772" s="4"/>
      <c r="AW772" s="3"/>
      <c r="AX772" s="4"/>
      <c r="AY772" s="3"/>
      <c r="AZ772" s="4"/>
      <c r="BA772" s="3"/>
      <c r="BB772" s="4"/>
      <c r="BC772" s="3"/>
      <c r="BD772" s="4"/>
      <c r="BE772" s="3"/>
      <c r="BF772" s="4"/>
      <c r="BG772" s="3"/>
      <c r="BH772" s="4"/>
      <c r="BI772" s="3"/>
      <c r="BJ772" s="4"/>
      <c r="BK772" s="3"/>
      <c r="BL772" s="4"/>
      <c r="BM772" s="3"/>
      <c r="BN772" s="4"/>
      <c r="BO772" s="3"/>
      <c r="BP772" s="4"/>
      <c r="BQ772" s="3"/>
      <c r="BR772" s="4"/>
      <c r="BS772" s="3"/>
      <c r="BT772" s="4"/>
      <c r="BU772" s="3"/>
      <c r="BV772" s="4"/>
      <c r="BW772" s="3"/>
      <c r="BX772" s="4"/>
      <c r="BY772" s="3"/>
      <c r="BZ772" s="4"/>
      <c r="CA772" s="3"/>
      <c r="CB772" s="4"/>
      <c r="CC772" s="3"/>
      <c r="CD772" s="4"/>
    </row>
    <row r="773">
      <c r="A773" s="3"/>
      <c r="B773" s="4"/>
      <c r="C773" s="3"/>
      <c r="D773" s="4"/>
      <c r="E773" s="3"/>
      <c r="F773" s="4"/>
      <c r="G773" s="3"/>
      <c r="H773" s="4"/>
      <c r="I773" s="3"/>
      <c r="J773" s="4"/>
      <c r="K773" s="3"/>
      <c r="L773" s="4"/>
      <c r="M773" s="3"/>
      <c r="N773" s="4"/>
      <c r="O773" s="3"/>
      <c r="P773" s="4"/>
      <c r="Q773" s="3"/>
      <c r="R773" s="4"/>
      <c r="S773" s="3"/>
      <c r="T773" s="4"/>
      <c r="U773" s="3"/>
      <c r="V773" s="4"/>
      <c r="W773" s="3"/>
      <c r="X773" s="4"/>
      <c r="Y773" s="3"/>
      <c r="Z773" s="4"/>
      <c r="AA773" s="3"/>
      <c r="AB773" s="4"/>
      <c r="AC773" s="3"/>
      <c r="AD773" s="4"/>
      <c r="AE773" s="3"/>
      <c r="AF773" s="4"/>
      <c r="AG773" s="3"/>
      <c r="AH773" s="4"/>
      <c r="AI773" s="3"/>
      <c r="AJ773" s="4"/>
      <c r="AK773" s="3"/>
      <c r="AL773" s="4"/>
      <c r="AM773" s="3"/>
      <c r="AN773" s="4"/>
      <c r="AO773" s="3"/>
      <c r="AP773" s="4"/>
      <c r="AQ773" s="3"/>
      <c r="AR773" s="4"/>
      <c r="AS773" s="3"/>
      <c r="AT773" s="4"/>
      <c r="AU773" s="3"/>
      <c r="AV773" s="4"/>
      <c r="AW773" s="3"/>
      <c r="AX773" s="4"/>
      <c r="AY773" s="3"/>
      <c r="AZ773" s="4"/>
      <c r="BA773" s="3"/>
      <c r="BB773" s="4"/>
      <c r="BC773" s="3"/>
      <c r="BD773" s="4"/>
      <c r="BE773" s="3"/>
      <c r="BF773" s="4"/>
      <c r="BG773" s="3"/>
      <c r="BH773" s="4"/>
      <c r="BI773" s="3"/>
      <c r="BJ773" s="4"/>
      <c r="BK773" s="3"/>
      <c r="BL773" s="4"/>
      <c r="BM773" s="3"/>
      <c r="BN773" s="4"/>
      <c r="BO773" s="3"/>
      <c r="BP773" s="4"/>
      <c r="BQ773" s="3"/>
      <c r="BR773" s="4"/>
      <c r="BS773" s="3"/>
      <c r="BT773" s="4"/>
      <c r="BU773" s="3"/>
      <c r="BV773" s="4"/>
      <c r="BW773" s="3"/>
      <c r="BX773" s="4"/>
      <c r="BY773" s="3"/>
      <c r="BZ773" s="4"/>
      <c r="CA773" s="3"/>
      <c r="CB773" s="4"/>
      <c r="CC773" s="3"/>
      <c r="CD773" s="4"/>
    </row>
    <row r="774">
      <c r="A774" s="3"/>
      <c r="B774" s="4"/>
      <c r="C774" s="3"/>
      <c r="D774" s="4"/>
      <c r="E774" s="3"/>
      <c r="F774" s="4"/>
      <c r="G774" s="3"/>
      <c r="H774" s="4"/>
      <c r="I774" s="3"/>
      <c r="J774" s="4"/>
      <c r="K774" s="3"/>
      <c r="L774" s="4"/>
      <c r="M774" s="3"/>
      <c r="N774" s="4"/>
      <c r="O774" s="3"/>
      <c r="P774" s="4"/>
      <c r="Q774" s="3"/>
      <c r="R774" s="4"/>
      <c r="S774" s="3"/>
      <c r="T774" s="4"/>
      <c r="U774" s="3"/>
      <c r="V774" s="4"/>
      <c r="W774" s="3"/>
      <c r="X774" s="4"/>
      <c r="Y774" s="3"/>
      <c r="Z774" s="4"/>
      <c r="AA774" s="3"/>
      <c r="AB774" s="4"/>
      <c r="AC774" s="3"/>
      <c r="AD774" s="4"/>
      <c r="AE774" s="3"/>
      <c r="AF774" s="4"/>
      <c r="AG774" s="3"/>
      <c r="AH774" s="4"/>
      <c r="AI774" s="3"/>
      <c r="AJ774" s="4"/>
      <c r="AK774" s="3"/>
      <c r="AL774" s="4"/>
      <c r="AM774" s="3"/>
      <c r="AN774" s="4"/>
      <c r="AO774" s="3"/>
      <c r="AP774" s="4"/>
      <c r="AQ774" s="3"/>
      <c r="AR774" s="4"/>
      <c r="AS774" s="3"/>
      <c r="AT774" s="4"/>
      <c r="AU774" s="3"/>
      <c r="AV774" s="4"/>
      <c r="AW774" s="3"/>
      <c r="AX774" s="4"/>
      <c r="AY774" s="3"/>
      <c r="AZ774" s="4"/>
      <c r="BA774" s="3"/>
      <c r="BB774" s="4"/>
      <c r="BC774" s="3"/>
      <c r="BD774" s="4"/>
      <c r="BE774" s="3"/>
      <c r="BF774" s="4"/>
      <c r="BG774" s="3"/>
      <c r="BH774" s="4"/>
      <c r="BI774" s="3"/>
      <c r="BJ774" s="4"/>
      <c r="BK774" s="3"/>
      <c r="BL774" s="4"/>
      <c r="BM774" s="3"/>
      <c r="BN774" s="4"/>
      <c r="BO774" s="3"/>
      <c r="BP774" s="4"/>
      <c r="BQ774" s="3"/>
      <c r="BR774" s="4"/>
      <c r="BS774" s="3"/>
      <c r="BT774" s="4"/>
      <c r="BU774" s="3"/>
      <c r="BV774" s="4"/>
      <c r="BW774" s="3"/>
      <c r="BX774" s="4"/>
      <c r="BY774" s="3"/>
      <c r="BZ774" s="4"/>
      <c r="CA774" s="3"/>
      <c r="CB774" s="4"/>
      <c r="CC774" s="3"/>
      <c r="CD774" s="4"/>
    </row>
    <row r="775">
      <c r="A775" s="3"/>
      <c r="B775" s="4"/>
      <c r="C775" s="3"/>
      <c r="D775" s="4"/>
      <c r="E775" s="3"/>
      <c r="F775" s="4"/>
      <c r="G775" s="3"/>
      <c r="H775" s="4"/>
      <c r="I775" s="3"/>
      <c r="J775" s="4"/>
      <c r="K775" s="3"/>
      <c r="L775" s="4"/>
      <c r="M775" s="3"/>
      <c r="N775" s="4"/>
      <c r="O775" s="3"/>
      <c r="P775" s="4"/>
      <c r="Q775" s="3"/>
      <c r="R775" s="4"/>
      <c r="S775" s="3"/>
      <c r="T775" s="4"/>
      <c r="U775" s="3"/>
      <c r="V775" s="4"/>
      <c r="W775" s="3"/>
      <c r="X775" s="4"/>
      <c r="Y775" s="3"/>
      <c r="Z775" s="4"/>
      <c r="AA775" s="3"/>
      <c r="AB775" s="4"/>
      <c r="AC775" s="3"/>
      <c r="AD775" s="4"/>
      <c r="AE775" s="3"/>
      <c r="AF775" s="4"/>
      <c r="AG775" s="3"/>
      <c r="AH775" s="4"/>
      <c r="AI775" s="3"/>
      <c r="AJ775" s="4"/>
      <c r="AK775" s="3"/>
      <c r="AL775" s="4"/>
      <c r="AM775" s="3"/>
      <c r="AN775" s="4"/>
      <c r="AO775" s="3"/>
      <c r="AP775" s="4"/>
      <c r="AQ775" s="3"/>
      <c r="AR775" s="4"/>
      <c r="AS775" s="3"/>
      <c r="AT775" s="4"/>
      <c r="AU775" s="3"/>
      <c r="AV775" s="4"/>
      <c r="AW775" s="3"/>
      <c r="AX775" s="4"/>
      <c r="AY775" s="3"/>
      <c r="AZ775" s="4"/>
      <c r="BA775" s="3"/>
      <c r="BB775" s="4"/>
      <c r="BC775" s="3"/>
      <c r="BD775" s="4"/>
      <c r="BE775" s="3"/>
      <c r="BF775" s="4"/>
      <c r="BG775" s="3"/>
      <c r="BH775" s="4"/>
      <c r="BI775" s="3"/>
      <c r="BJ775" s="4"/>
      <c r="BK775" s="3"/>
      <c r="BL775" s="4"/>
      <c r="BM775" s="3"/>
      <c r="BN775" s="4"/>
      <c r="BO775" s="3"/>
      <c r="BP775" s="4"/>
      <c r="BQ775" s="3"/>
      <c r="BR775" s="4"/>
      <c r="BS775" s="3"/>
      <c r="BT775" s="4"/>
      <c r="BU775" s="3"/>
      <c r="BV775" s="4"/>
      <c r="BW775" s="3"/>
      <c r="BX775" s="4"/>
      <c r="BY775" s="3"/>
      <c r="BZ775" s="4"/>
      <c r="CA775" s="3"/>
      <c r="CB775" s="4"/>
      <c r="CC775" s="3"/>
      <c r="CD775" s="4"/>
    </row>
    <row r="776">
      <c r="A776" s="3"/>
      <c r="B776" s="4"/>
      <c r="C776" s="3"/>
      <c r="D776" s="4"/>
      <c r="E776" s="3"/>
      <c r="F776" s="4"/>
      <c r="G776" s="3"/>
      <c r="H776" s="4"/>
      <c r="I776" s="3"/>
      <c r="J776" s="4"/>
      <c r="K776" s="3"/>
      <c r="L776" s="4"/>
      <c r="M776" s="3"/>
      <c r="N776" s="4"/>
      <c r="O776" s="3"/>
      <c r="P776" s="4"/>
      <c r="Q776" s="3"/>
      <c r="R776" s="4"/>
      <c r="S776" s="3"/>
      <c r="T776" s="4"/>
      <c r="U776" s="3"/>
      <c r="V776" s="4"/>
      <c r="W776" s="3"/>
      <c r="X776" s="4"/>
      <c r="Y776" s="3"/>
      <c r="Z776" s="4"/>
      <c r="AA776" s="3"/>
      <c r="AB776" s="4"/>
      <c r="AC776" s="3"/>
      <c r="AD776" s="4"/>
      <c r="AE776" s="3"/>
      <c r="AF776" s="4"/>
      <c r="AG776" s="3"/>
      <c r="AH776" s="4"/>
      <c r="AI776" s="3"/>
      <c r="AJ776" s="4"/>
      <c r="AK776" s="3"/>
      <c r="AL776" s="4"/>
      <c r="AM776" s="3"/>
      <c r="AN776" s="4"/>
      <c r="AO776" s="3"/>
      <c r="AP776" s="4"/>
      <c r="AQ776" s="3"/>
      <c r="AR776" s="4"/>
      <c r="AS776" s="3"/>
      <c r="AT776" s="4"/>
      <c r="AU776" s="3"/>
      <c r="AV776" s="4"/>
      <c r="AW776" s="3"/>
      <c r="AX776" s="4"/>
      <c r="AY776" s="3"/>
      <c r="AZ776" s="4"/>
      <c r="BA776" s="3"/>
      <c r="BB776" s="4"/>
      <c r="BC776" s="3"/>
      <c r="BD776" s="4"/>
      <c r="BE776" s="3"/>
      <c r="BF776" s="4"/>
      <c r="BG776" s="3"/>
      <c r="BH776" s="4"/>
      <c r="BI776" s="3"/>
      <c r="BJ776" s="4"/>
      <c r="BK776" s="3"/>
      <c r="BL776" s="4"/>
      <c r="BM776" s="3"/>
      <c r="BN776" s="4"/>
      <c r="BO776" s="3"/>
      <c r="BP776" s="4"/>
      <c r="BQ776" s="3"/>
      <c r="BR776" s="4"/>
      <c r="BS776" s="3"/>
      <c r="BT776" s="4"/>
      <c r="BU776" s="3"/>
      <c r="BV776" s="4"/>
      <c r="BW776" s="3"/>
      <c r="BX776" s="4"/>
      <c r="BY776" s="3"/>
      <c r="BZ776" s="4"/>
      <c r="CA776" s="3"/>
      <c r="CB776" s="4"/>
      <c r="CC776" s="3"/>
      <c r="CD776" s="4"/>
    </row>
    <row r="777">
      <c r="A777" s="3"/>
      <c r="B777" s="4"/>
      <c r="C777" s="3"/>
      <c r="D777" s="4"/>
      <c r="E777" s="3"/>
      <c r="F777" s="4"/>
      <c r="G777" s="3"/>
      <c r="H777" s="4"/>
      <c r="I777" s="3"/>
      <c r="J777" s="4"/>
      <c r="K777" s="3"/>
      <c r="L777" s="4"/>
      <c r="M777" s="3"/>
      <c r="N777" s="4"/>
      <c r="O777" s="3"/>
      <c r="P777" s="4"/>
      <c r="Q777" s="3"/>
      <c r="R777" s="4"/>
      <c r="S777" s="3"/>
      <c r="T777" s="4"/>
      <c r="U777" s="3"/>
      <c r="V777" s="4"/>
      <c r="W777" s="3"/>
      <c r="X777" s="4"/>
      <c r="Y777" s="3"/>
      <c r="Z777" s="4"/>
      <c r="AA777" s="3"/>
      <c r="AB777" s="4"/>
      <c r="AC777" s="3"/>
      <c r="AD777" s="4"/>
      <c r="AE777" s="3"/>
      <c r="AF777" s="4"/>
      <c r="AG777" s="3"/>
      <c r="AH777" s="4"/>
      <c r="AI777" s="3"/>
      <c r="AJ777" s="4"/>
      <c r="AK777" s="3"/>
      <c r="AL777" s="4"/>
      <c r="AM777" s="3"/>
      <c r="AN777" s="4"/>
      <c r="AO777" s="3"/>
      <c r="AP777" s="4"/>
      <c r="AQ777" s="3"/>
      <c r="AR777" s="4"/>
      <c r="AS777" s="3"/>
      <c r="AT777" s="4"/>
      <c r="AU777" s="3"/>
      <c r="AV777" s="4"/>
      <c r="AW777" s="3"/>
      <c r="AX777" s="4"/>
      <c r="AY777" s="3"/>
      <c r="AZ777" s="4"/>
      <c r="BA777" s="3"/>
      <c r="BB777" s="4"/>
      <c r="BC777" s="3"/>
      <c r="BD777" s="4"/>
      <c r="BE777" s="3"/>
      <c r="BF777" s="4"/>
      <c r="BG777" s="3"/>
      <c r="BH777" s="4"/>
      <c r="BI777" s="3"/>
      <c r="BJ777" s="4"/>
      <c r="BK777" s="3"/>
      <c r="BL777" s="4"/>
      <c r="BM777" s="3"/>
      <c r="BN777" s="4"/>
      <c r="BO777" s="3"/>
      <c r="BP777" s="4"/>
      <c r="BQ777" s="3"/>
      <c r="BR777" s="4"/>
      <c r="BS777" s="3"/>
      <c r="BT777" s="4"/>
      <c r="BU777" s="3"/>
      <c r="BV777" s="4"/>
      <c r="BW777" s="3"/>
      <c r="BX777" s="4"/>
      <c r="BY777" s="3"/>
      <c r="BZ777" s="4"/>
      <c r="CA777" s="3"/>
      <c r="CB777" s="4"/>
      <c r="CC777" s="3"/>
      <c r="CD777" s="4"/>
    </row>
    <row r="778">
      <c r="A778" s="3"/>
      <c r="B778" s="4"/>
      <c r="C778" s="3"/>
      <c r="D778" s="4"/>
      <c r="E778" s="3"/>
      <c r="F778" s="4"/>
      <c r="G778" s="3"/>
      <c r="H778" s="4"/>
      <c r="I778" s="3"/>
      <c r="J778" s="4"/>
      <c r="K778" s="3"/>
      <c r="L778" s="4"/>
      <c r="M778" s="3"/>
      <c r="N778" s="4"/>
      <c r="O778" s="3"/>
      <c r="P778" s="4"/>
      <c r="Q778" s="3"/>
      <c r="R778" s="4"/>
      <c r="S778" s="3"/>
      <c r="T778" s="4"/>
      <c r="U778" s="3"/>
      <c r="V778" s="4"/>
      <c r="W778" s="3"/>
      <c r="X778" s="4"/>
      <c r="Y778" s="3"/>
      <c r="Z778" s="4"/>
      <c r="AA778" s="3"/>
      <c r="AB778" s="4"/>
      <c r="AC778" s="3"/>
      <c r="AD778" s="4"/>
      <c r="AE778" s="3"/>
      <c r="AF778" s="4"/>
      <c r="AG778" s="3"/>
      <c r="AH778" s="4"/>
      <c r="AI778" s="3"/>
      <c r="AJ778" s="4"/>
      <c r="AK778" s="3"/>
      <c r="AL778" s="4"/>
      <c r="AM778" s="3"/>
      <c r="AN778" s="4"/>
      <c r="AO778" s="3"/>
      <c r="AP778" s="4"/>
      <c r="AQ778" s="3"/>
      <c r="AR778" s="4"/>
      <c r="AS778" s="3"/>
      <c r="AT778" s="4"/>
      <c r="AU778" s="3"/>
      <c r="AV778" s="4"/>
      <c r="AW778" s="3"/>
      <c r="AX778" s="4"/>
      <c r="AY778" s="3"/>
      <c r="AZ778" s="4"/>
      <c r="BA778" s="3"/>
      <c r="BB778" s="4"/>
      <c r="BC778" s="3"/>
      <c r="BD778" s="4"/>
      <c r="BE778" s="3"/>
      <c r="BF778" s="4"/>
      <c r="BG778" s="3"/>
      <c r="BH778" s="4"/>
      <c r="BI778" s="3"/>
      <c r="BJ778" s="4"/>
      <c r="BK778" s="3"/>
      <c r="BL778" s="4"/>
      <c r="BM778" s="3"/>
      <c r="BN778" s="4"/>
      <c r="BO778" s="3"/>
      <c r="BP778" s="4"/>
      <c r="BQ778" s="3"/>
      <c r="BR778" s="4"/>
      <c r="BS778" s="3"/>
      <c r="BT778" s="4"/>
      <c r="BU778" s="3"/>
      <c r="BV778" s="4"/>
      <c r="BW778" s="3"/>
      <c r="BX778" s="4"/>
      <c r="BY778" s="3"/>
      <c r="BZ778" s="4"/>
      <c r="CA778" s="3"/>
      <c r="CB778" s="4"/>
      <c r="CC778" s="3"/>
      <c r="CD778" s="4"/>
    </row>
    <row r="779">
      <c r="A779" s="3"/>
      <c r="B779" s="4"/>
      <c r="C779" s="3"/>
      <c r="D779" s="4"/>
      <c r="E779" s="3"/>
      <c r="F779" s="4"/>
      <c r="G779" s="3"/>
      <c r="H779" s="4"/>
      <c r="I779" s="3"/>
      <c r="J779" s="4"/>
      <c r="K779" s="3"/>
      <c r="L779" s="4"/>
      <c r="M779" s="3"/>
      <c r="N779" s="4"/>
      <c r="O779" s="3"/>
      <c r="P779" s="4"/>
      <c r="Q779" s="3"/>
      <c r="R779" s="4"/>
      <c r="S779" s="3"/>
      <c r="T779" s="4"/>
      <c r="U779" s="3"/>
      <c r="V779" s="4"/>
      <c r="W779" s="3"/>
      <c r="X779" s="4"/>
      <c r="Y779" s="3"/>
      <c r="Z779" s="4"/>
      <c r="AA779" s="3"/>
      <c r="AB779" s="4"/>
      <c r="AC779" s="3"/>
      <c r="AD779" s="4"/>
      <c r="AE779" s="3"/>
      <c r="AF779" s="4"/>
      <c r="AG779" s="3"/>
      <c r="AH779" s="4"/>
      <c r="AI779" s="3"/>
      <c r="AJ779" s="4"/>
      <c r="AK779" s="3"/>
      <c r="AL779" s="4"/>
      <c r="AM779" s="3"/>
      <c r="AN779" s="4"/>
      <c r="AO779" s="3"/>
      <c r="AP779" s="4"/>
      <c r="AQ779" s="3"/>
      <c r="AR779" s="4"/>
      <c r="AS779" s="3"/>
      <c r="AT779" s="4"/>
      <c r="AU779" s="3"/>
      <c r="AV779" s="4"/>
      <c r="AW779" s="3"/>
      <c r="AX779" s="4"/>
      <c r="AY779" s="3"/>
      <c r="AZ779" s="4"/>
      <c r="BA779" s="3"/>
      <c r="BB779" s="4"/>
      <c r="BC779" s="3"/>
      <c r="BD779" s="4"/>
      <c r="BE779" s="3"/>
      <c r="BF779" s="4"/>
      <c r="BG779" s="3"/>
      <c r="BH779" s="4"/>
      <c r="BI779" s="3"/>
      <c r="BJ779" s="4"/>
      <c r="BK779" s="3"/>
      <c r="BL779" s="4"/>
      <c r="BM779" s="3"/>
      <c r="BN779" s="4"/>
      <c r="BO779" s="3"/>
      <c r="BP779" s="4"/>
      <c r="BQ779" s="3"/>
      <c r="BR779" s="4"/>
      <c r="BS779" s="3"/>
      <c r="BT779" s="4"/>
      <c r="BU779" s="3"/>
      <c r="BV779" s="4"/>
      <c r="BW779" s="3"/>
      <c r="BX779" s="4"/>
      <c r="BY779" s="3"/>
      <c r="BZ779" s="4"/>
      <c r="CA779" s="3"/>
      <c r="CB779" s="4"/>
      <c r="CC779" s="3"/>
      <c r="CD779" s="4"/>
    </row>
    <row r="780">
      <c r="A780" s="3"/>
      <c r="B780" s="4"/>
      <c r="C780" s="3"/>
      <c r="D780" s="4"/>
      <c r="E780" s="3"/>
      <c r="F780" s="4"/>
      <c r="G780" s="3"/>
      <c r="H780" s="4"/>
      <c r="I780" s="3"/>
      <c r="J780" s="4"/>
      <c r="K780" s="3"/>
      <c r="L780" s="4"/>
      <c r="M780" s="3"/>
      <c r="N780" s="4"/>
      <c r="O780" s="3"/>
      <c r="P780" s="4"/>
      <c r="Q780" s="3"/>
      <c r="R780" s="4"/>
      <c r="S780" s="3"/>
      <c r="T780" s="4"/>
      <c r="U780" s="3"/>
      <c r="V780" s="4"/>
      <c r="W780" s="3"/>
      <c r="X780" s="4"/>
      <c r="Y780" s="3"/>
      <c r="Z780" s="4"/>
      <c r="AA780" s="3"/>
      <c r="AB780" s="4"/>
      <c r="AC780" s="3"/>
      <c r="AD780" s="4"/>
      <c r="AE780" s="3"/>
      <c r="AF780" s="4"/>
      <c r="AG780" s="3"/>
      <c r="AH780" s="4"/>
      <c r="AI780" s="3"/>
      <c r="AJ780" s="4"/>
      <c r="AK780" s="3"/>
      <c r="AL780" s="4"/>
      <c r="AM780" s="3"/>
      <c r="AN780" s="4"/>
      <c r="AO780" s="3"/>
      <c r="AP780" s="4"/>
      <c r="AQ780" s="3"/>
      <c r="AR780" s="4"/>
      <c r="AS780" s="3"/>
      <c r="AT780" s="4"/>
      <c r="AU780" s="3"/>
      <c r="AV780" s="4"/>
      <c r="AW780" s="3"/>
      <c r="AX780" s="4"/>
      <c r="AY780" s="3"/>
      <c r="AZ780" s="4"/>
      <c r="BA780" s="3"/>
      <c r="BB780" s="4"/>
      <c r="BC780" s="3"/>
      <c r="BD780" s="4"/>
      <c r="BE780" s="3"/>
      <c r="BF780" s="4"/>
      <c r="BG780" s="3"/>
      <c r="BH780" s="4"/>
      <c r="BI780" s="3"/>
      <c r="BJ780" s="4"/>
      <c r="BK780" s="3"/>
      <c r="BL780" s="4"/>
      <c r="BM780" s="3"/>
      <c r="BN780" s="4"/>
      <c r="BO780" s="3"/>
      <c r="BP780" s="4"/>
      <c r="BQ780" s="3"/>
      <c r="BR780" s="4"/>
      <c r="BS780" s="3"/>
      <c r="BT780" s="4"/>
      <c r="BU780" s="3"/>
      <c r="BV780" s="4"/>
      <c r="BW780" s="3"/>
      <c r="BX780" s="4"/>
      <c r="BY780" s="3"/>
      <c r="BZ780" s="4"/>
      <c r="CA780" s="3"/>
      <c r="CB780" s="4"/>
      <c r="CC780" s="3"/>
      <c r="CD780" s="4"/>
    </row>
    <row r="781">
      <c r="A781" s="3"/>
      <c r="B781" s="4"/>
      <c r="C781" s="3"/>
      <c r="D781" s="4"/>
      <c r="E781" s="3"/>
      <c r="F781" s="4"/>
      <c r="G781" s="3"/>
      <c r="H781" s="4"/>
      <c r="I781" s="3"/>
      <c r="J781" s="4"/>
      <c r="K781" s="3"/>
      <c r="L781" s="4"/>
      <c r="M781" s="3"/>
      <c r="N781" s="4"/>
      <c r="O781" s="3"/>
      <c r="P781" s="4"/>
      <c r="Q781" s="3"/>
      <c r="R781" s="4"/>
      <c r="S781" s="3"/>
      <c r="T781" s="4"/>
      <c r="U781" s="3"/>
      <c r="V781" s="4"/>
      <c r="W781" s="3"/>
      <c r="X781" s="4"/>
      <c r="Y781" s="3"/>
      <c r="Z781" s="4"/>
      <c r="AA781" s="3"/>
      <c r="AB781" s="4"/>
      <c r="AC781" s="3"/>
      <c r="AD781" s="4"/>
      <c r="AE781" s="3"/>
      <c r="AF781" s="4"/>
      <c r="AG781" s="3"/>
      <c r="AH781" s="4"/>
      <c r="AI781" s="3"/>
      <c r="AJ781" s="4"/>
      <c r="AK781" s="3"/>
      <c r="AL781" s="4"/>
      <c r="AM781" s="3"/>
      <c r="AN781" s="4"/>
      <c r="AO781" s="3"/>
      <c r="AP781" s="4"/>
      <c r="AQ781" s="3"/>
      <c r="AR781" s="4"/>
      <c r="AS781" s="3"/>
      <c r="AT781" s="4"/>
      <c r="AU781" s="3"/>
      <c r="AV781" s="4"/>
      <c r="AW781" s="3"/>
      <c r="AX781" s="4"/>
      <c r="AY781" s="3"/>
      <c r="AZ781" s="4"/>
      <c r="BA781" s="3"/>
      <c r="BB781" s="4"/>
      <c r="BC781" s="3"/>
      <c r="BD781" s="4"/>
      <c r="BE781" s="3"/>
      <c r="BF781" s="4"/>
      <c r="BG781" s="3"/>
      <c r="BH781" s="4"/>
      <c r="BI781" s="3"/>
      <c r="BJ781" s="4"/>
      <c r="BK781" s="3"/>
      <c r="BL781" s="4"/>
      <c r="BM781" s="3"/>
      <c r="BN781" s="4"/>
      <c r="BO781" s="3"/>
      <c r="BP781" s="4"/>
      <c r="BQ781" s="3"/>
      <c r="BR781" s="4"/>
      <c r="BS781" s="3"/>
      <c r="BT781" s="4"/>
      <c r="BU781" s="3"/>
      <c r="BV781" s="4"/>
      <c r="BW781" s="3"/>
      <c r="BX781" s="4"/>
      <c r="BY781" s="3"/>
      <c r="BZ781" s="4"/>
      <c r="CA781" s="3"/>
      <c r="CB781" s="4"/>
      <c r="CC781" s="3"/>
      <c r="CD781" s="4"/>
    </row>
    <row r="782">
      <c r="A782" s="3"/>
      <c r="B782" s="4"/>
      <c r="C782" s="3"/>
      <c r="D782" s="4"/>
      <c r="E782" s="3"/>
      <c r="F782" s="4"/>
      <c r="G782" s="3"/>
      <c r="H782" s="4"/>
      <c r="I782" s="3"/>
      <c r="J782" s="4"/>
      <c r="K782" s="3"/>
      <c r="L782" s="4"/>
      <c r="M782" s="3"/>
      <c r="N782" s="4"/>
      <c r="O782" s="3"/>
      <c r="P782" s="4"/>
      <c r="Q782" s="3"/>
      <c r="R782" s="4"/>
      <c r="S782" s="3"/>
      <c r="T782" s="4"/>
      <c r="U782" s="3"/>
      <c r="V782" s="4"/>
      <c r="W782" s="3"/>
      <c r="X782" s="4"/>
      <c r="Y782" s="3"/>
      <c r="Z782" s="4"/>
      <c r="AA782" s="3"/>
      <c r="AB782" s="4"/>
      <c r="AC782" s="3"/>
      <c r="AD782" s="4"/>
      <c r="AE782" s="3"/>
      <c r="AF782" s="4"/>
      <c r="AG782" s="3"/>
      <c r="AH782" s="4"/>
      <c r="AI782" s="3"/>
      <c r="AJ782" s="4"/>
      <c r="AK782" s="3"/>
      <c r="AL782" s="4"/>
      <c r="AM782" s="3"/>
      <c r="AN782" s="4"/>
      <c r="AO782" s="3"/>
      <c r="AP782" s="4"/>
      <c r="AQ782" s="3"/>
      <c r="AR782" s="4"/>
      <c r="AS782" s="3"/>
      <c r="AT782" s="4"/>
      <c r="AU782" s="3"/>
      <c r="AV782" s="4"/>
      <c r="AW782" s="3"/>
      <c r="AX782" s="4"/>
      <c r="AY782" s="3"/>
      <c r="AZ782" s="4"/>
      <c r="BA782" s="3"/>
      <c r="BB782" s="4"/>
      <c r="BC782" s="3"/>
      <c r="BD782" s="4"/>
      <c r="BE782" s="3"/>
      <c r="BF782" s="4"/>
      <c r="BG782" s="3"/>
      <c r="BH782" s="4"/>
      <c r="BI782" s="3"/>
      <c r="BJ782" s="4"/>
      <c r="BK782" s="3"/>
      <c r="BL782" s="4"/>
      <c r="BM782" s="3"/>
      <c r="BN782" s="4"/>
      <c r="BO782" s="3"/>
      <c r="BP782" s="4"/>
      <c r="BQ782" s="3"/>
      <c r="BR782" s="4"/>
      <c r="BS782" s="3"/>
      <c r="BT782" s="4"/>
      <c r="BU782" s="3"/>
      <c r="BV782" s="4"/>
      <c r="BW782" s="3"/>
      <c r="BX782" s="4"/>
      <c r="BY782" s="3"/>
      <c r="BZ782" s="4"/>
      <c r="CA782" s="3"/>
      <c r="CB782" s="4"/>
      <c r="CC782" s="3"/>
      <c r="CD782" s="4"/>
    </row>
    <row r="783">
      <c r="A783" s="3"/>
      <c r="B783" s="4"/>
      <c r="C783" s="3"/>
      <c r="D783" s="4"/>
      <c r="E783" s="3"/>
      <c r="F783" s="4"/>
      <c r="G783" s="3"/>
      <c r="H783" s="4"/>
      <c r="I783" s="3"/>
      <c r="J783" s="4"/>
      <c r="K783" s="3"/>
      <c r="L783" s="4"/>
      <c r="M783" s="3"/>
      <c r="N783" s="4"/>
      <c r="O783" s="3"/>
      <c r="P783" s="4"/>
      <c r="Q783" s="3"/>
      <c r="R783" s="4"/>
      <c r="S783" s="3"/>
      <c r="T783" s="4"/>
      <c r="U783" s="3"/>
      <c r="V783" s="4"/>
      <c r="W783" s="3"/>
      <c r="X783" s="4"/>
      <c r="Y783" s="3"/>
      <c r="Z783" s="4"/>
      <c r="AA783" s="3"/>
      <c r="AB783" s="4"/>
      <c r="AC783" s="3"/>
      <c r="AD783" s="4"/>
      <c r="AE783" s="3"/>
      <c r="AF783" s="4"/>
      <c r="AG783" s="3"/>
      <c r="AH783" s="4"/>
      <c r="AI783" s="3"/>
      <c r="AJ783" s="4"/>
      <c r="AK783" s="3"/>
      <c r="AL783" s="4"/>
      <c r="AM783" s="3"/>
      <c r="AN783" s="4"/>
      <c r="AO783" s="3"/>
      <c r="AP783" s="4"/>
      <c r="AQ783" s="3"/>
      <c r="AR783" s="4"/>
      <c r="AS783" s="3"/>
      <c r="AT783" s="4"/>
      <c r="AU783" s="3"/>
      <c r="AV783" s="4"/>
      <c r="AW783" s="3"/>
      <c r="AX783" s="4"/>
      <c r="AY783" s="3"/>
      <c r="AZ783" s="4"/>
      <c r="BA783" s="3"/>
      <c r="BB783" s="4"/>
      <c r="BC783" s="3"/>
      <c r="BD783" s="4"/>
      <c r="BE783" s="3"/>
      <c r="BF783" s="4"/>
      <c r="BG783" s="3"/>
      <c r="BH783" s="4"/>
      <c r="BI783" s="3"/>
      <c r="BJ783" s="4"/>
      <c r="BK783" s="3"/>
      <c r="BL783" s="4"/>
      <c r="BM783" s="3"/>
      <c r="BN783" s="4"/>
      <c r="BO783" s="3"/>
      <c r="BP783" s="4"/>
      <c r="BQ783" s="3"/>
      <c r="BR783" s="4"/>
      <c r="BS783" s="3"/>
      <c r="BT783" s="4"/>
      <c r="BU783" s="3"/>
      <c r="BV783" s="4"/>
      <c r="BW783" s="3"/>
      <c r="BX783" s="4"/>
      <c r="BY783" s="3"/>
      <c r="BZ783" s="4"/>
      <c r="CA783" s="3"/>
      <c r="CB783" s="4"/>
      <c r="CC783" s="3"/>
      <c r="CD783" s="4"/>
    </row>
    <row r="784">
      <c r="A784" s="3"/>
      <c r="B784" s="4"/>
      <c r="C784" s="3"/>
      <c r="D784" s="4"/>
      <c r="E784" s="3"/>
      <c r="F784" s="4"/>
      <c r="G784" s="3"/>
      <c r="H784" s="4"/>
      <c r="I784" s="3"/>
      <c r="J784" s="4"/>
      <c r="K784" s="3"/>
      <c r="L784" s="4"/>
      <c r="M784" s="3"/>
      <c r="N784" s="4"/>
      <c r="O784" s="3"/>
      <c r="P784" s="4"/>
      <c r="Q784" s="3"/>
      <c r="R784" s="4"/>
      <c r="S784" s="3"/>
      <c r="T784" s="4"/>
      <c r="U784" s="3"/>
      <c r="V784" s="4"/>
      <c r="W784" s="3"/>
      <c r="X784" s="4"/>
      <c r="Y784" s="3"/>
      <c r="Z784" s="4"/>
      <c r="AA784" s="3"/>
      <c r="AB784" s="4"/>
      <c r="AC784" s="3"/>
      <c r="AD784" s="4"/>
      <c r="AE784" s="3"/>
      <c r="AF784" s="4"/>
      <c r="AG784" s="3"/>
      <c r="AH784" s="4"/>
      <c r="AI784" s="3"/>
      <c r="AJ784" s="4"/>
      <c r="AK784" s="3"/>
      <c r="AL784" s="4"/>
      <c r="AM784" s="3"/>
      <c r="AN784" s="4"/>
      <c r="AO784" s="3"/>
      <c r="AP784" s="4"/>
      <c r="AQ784" s="3"/>
      <c r="AR784" s="4"/>
      <c r="AS784" s="3"/>
      <c r="AT784" s="4"/>
      <c r="AU784" s="3"/>
      <c r="AV784" s="4"/>
      <c r="AW784" s="3"/>
      <c r="AX784" s="4"/>
      <c r="AY784" s="3"/>
      <c r="AZ784" s="4"/>
      <c r="BA784" s="3"/>
      <c r="BB784" s="4"/>
      <c r="BC784" s="3"/>
      <c r="BD784" s="4"/>
      <c r="BE784" s="3"/>
      <c r="BF784" s="4"/>
      <c r="BG784" s="3"/>
      <c r="BH784" s="4"/>
      <c r="BI784" s="3"/>
      <c r="BJ784" s="4"/>
      <c r="BK784" s="3"/>
      <c r="BL784" s="4"/>
      <c r="BM784" s="3"/>
      <c r="BN784" s="4"/>
      <c r="BO784" s="3"/>
      <c r="BP784" s="4"/>
      <c r="BQ784" s="3"/>
      <c r="BR784" s="4"/>
      <c r="BS784" s="3"/>
      <c r="BT784" s="4"/>
      <c r="BU784" s="3"/>
      <c r="BV784" s="4"/>
      <c r="BW784" s="3"/>
      <c r="BX784" s="4"/>
      <c r="BY784" s="3"/>
      <c r="BZ784" s="4"/>
      <c r="CA784" s="3"/>
      <c r="CB784" s="4"/>
      <c r="CC784" s="3"/>
      <c r="CD784" s="4"/>
    </row>
    <row r="785">
      <c r="A785" s="3"/>
      <c r="B785" s="4"/>
      <c r="C785" s="3"/>
      <c r="D785" s="4"/>
      <c r="E785" s="3"/>
      <c r="F785" s="4"/>
      <c r="G785" s="3"/>
      <c r="H785" s="4"/>
      <c r="I785" s="3"/>
      <c r="J785" s="4"/>
      <c r="K785" s="3"/>
      <c r="L785" s="4"/>
      <c r="M785" s="3"/>
      <c r="N785" s="4"/>
      <c r="O785" s="3"/>
      <c r="P785" s="4"/>
      <c r="Q785" s="3"/>
      <c r="R785" s="4"/>
      <c r="S785" s="3"/>
      <c r="T785" s="4"/>
      <c r="U785" s="3"/>
      <c r="V785" s="4"/>
      <c r="W785" s="3"/>
      <c r="X785" s="4"/>
      <c r="Y785" s="3"/>
      <c r="Z785" s="4"/>
      <c r="AA785" s="3"/>
      <c r="AB785" s="4"/>
      <c r="AC785" s="3"/>
      <c r="AD785" s="4"/>
      <c r="AE785" s="3"/>
      <c r="AF785" s="4"/>
      <c r="AG785" s="3"/>
      <c r="AH785" s="4"/>
      <c r="AI785" s="3"/>
      <c r="AJ785" s="4"/>
      <c r="AK785" s="3"/>
      <c r="AL785" s="4"/>
      <c r="AM785" s="3"/>
      <c r="AN785" s="4"/>
      <c r="AO785" s="3"/>
      <c r="AP785" s="4"/>
      <c r="AQ785" s="3"/>
      <c r="AR785" s="4"/>
      <c r="AS785" s="3"/>
      <c r="AT785" s="4"/>
      <c r="AU785" s="3"/>
      <c r="AV785" s="4"/>
      <c r="AW785" s="3"/>
      <c r="AX785" s="4"/>
      <c r="AY785" s="3"/>
      <c r="AZ785" s="4"/>
      <c r="BA785" s="3"/>
      <c r="BB785" s="4"/>
      <c r="BC785" s="3"/>
      <c r="BD785" s="4"/>
      <c r="BE785" s="3"/>
      <c r="BF785" s="4"/>
      <c r="BG785" s="3"/>
      <c r="BH785" s="4"/>
      <c r="BI785" s="3"/>
      <c r="BJ785" s="4"/>
      <c r="BK785" s="3"/>
      <c r="BL785" s="4"/>
      <c r="BM785" s="3"/>
      <c r="BN785" s="4"/>
      <c r="BO785" s="3"/>
      <c r="BP785" s="4"/>
      <c r="BQ785" s="3"/>
      <c r="BR785" s="4"/>
      <c r="BS785" s="3"/>
      <c r="BT785" s="4"/>
      <c r="BU785" s="3"/>
      <c r="BV785" s="4"/>
      <c r="BW785" s="3"/>
      <c r="BX785" s="4"/>
      <c r="BY785" s="3"/>
      <c r="BZ785" s="4"/>
      <c r="CA785" s="3"/>
      <c r="CB785" s="4"/>
      <c r="CC785" s="3"/>
      <c r="CD785" s="4"/>
    </row>
    <row r="786">
      <c r="A786" s="3"/>
      <c r="B786" s="4"/>
      <c r="C786" s="3"/>
      <c r="D786" s="4"/>
      <c r="E786" s="3"/>
      <c r="F786" s="4"/>
      <c r="G786" s="3"/>
      <c r="H786" s="4"/>
      <c r="I786" s="3"/>
      <c r="J786" s="4"/>
      <c r="K786" s="3"/>
      <c r="L786" s="4"/>
      <c r="M786" s="3"/>
      <c r="N786" s="4"/>
      <c r="O786" s="3"/>
      <c r="P786" s="4"/>
      <c r="Q786" s="3"/>
      <c r="R786" s="4"/>
      <c r="S786" s="3"/>
      <c r="T786" s="4"/>
      <c r="U786" s="3"/>
      <c r="V786" s="4"/>
      <c r="W786" s="3"/>
      <c r="X786" s="4"/>
      <c r="Y786" s="3"/>
      <c r="Z786" s="4"/>
      <c r="AA786" s="3"/>
      <c r="AB786" s="4"/>
      <c r="AC786" s="3"/>
      <c r="AD786" s="4"/>
      <c r="AE786" s="3"/>
      <c r="AF786" s="4"/>
      <c r="AG786" s="3"/>
      <c r="AH786" s="4"/>
      <c r="AI786" s="3"/>
      <c r="AJ786" s="4"/>
      <c r="AK786" s="3"/>
      <c r="AL786" s="4"/>
      <c r="AM786" s="3"/>
      <c r="AN786" s="4"/>
      <c r="AO786" s="3"/>
      <c r="AP786" s="4"/>
      <c r="AQ786" s="3"/>
      <c r="AR786" s="4"/>
      <c r="AS786" s="3"/>
      <c r="AT786" s="4"/>
      <c r="AU786" s="3"/>
      <c r="AV786" s="4"/>
      <c r="AW786" s="3"/>
      <c r="AX786" s="4"/>
      <c r="AY786" s="3"/>
      <c r="AZ786" s="4"/>
      <c r="BA786" s="3"/>
      <c r="BB786" s="4"/>
      <c r="BC786" s="3"/>
      <c r="BD786" s="4"/>
      <c r="BE786" s="3"/>
      <c r="BF786" s="4"/>
      <c r="BG786" s="3"/>
      <c r="BH786" s="4"/>
      <c r="BI786" s="3"/>
      <c r="BJ786" s="4"/>
      <c r="BK786" s="3"/>
      <c r="BL786" s="4"/>
      <c r="BM786" s="3"/>
      <c r="BN786" s="4"/>
      <c r="BO786" s="3"/>
      <c r="BP786" s="4"/>
      <c r="BQ786" s="3"/>
      <c r="BR786" s="4"/>
      <c r="BS786" s="3"/>
      <c r="BT786" s="4"/>
      <c r="BU786" s="3"/>
      <c r="BV786" s="4"/>
      <c r="BW786" s="3"/>
      <c r="BX786" s="4"/>
      <c r="BY786" s="3"/>
      <c r="BZ786" s="4"/>
      <c r="CA786" s="3"/>
      <c r="CB786" s="4"/>
      <c r="CC786" s="3"/>
      <c r="CD786" s="4"/>
    </row>
    <row r="787">
      <c r="A787" s="3"/>
      <c r="B787" s="4"/>
      <c r="C787" s="3"/>
      <c r="D787" s="4"/>
      <c r="E787" s="3"/>
      <c r="F787" s="4"/>
      <c r="G787" s="3"/>
      <c r="H787" s="4"/>
      <c r="I787" s="3"/>
      <c r="J787" s="4"/>
      <c r="K787" s="3"/>
      <c r="L787" s="4"/>
      <c r="M787" s="3"/>
      <c r="N787" s="4"/>
      <c r="O787" s="3"/>
      <c r="P787" s="4"/>
      <c r="Q787" s="3"/>
      <c r="R787" s="4"/>
      <c r="S787" s="3"/>
      <c r="T787" s="4"/>
      <c r="U787" s="3"/>
      <c r="V787" s="4"/>
      <c r="W787" s="3"/>
      <c r="X787" s="4"/>
      <c r="Y787" s="3"/>
      <c r="Z787" s="4"/>
      <c r="AA787" s="3"/>
      <c r="AB787" s="4"/>
      <c r="AC787" s="3"/>
      <c r="AD787" s="4"/>
      <c r="AE787" s="3"/>
      <c r="AF787" s="4"/>
      <c r="AG787" s="3"/>
      <c r="AH787" s="4"/>
      <c r="AI787" s="3"/>
      <c r="AJ787" s="4"/>
      <c r="AK787" s="3"/>
      <c r="AL787" s="4"/>
      <c r="AM787" s="3"/>
      <c r="AN787" s="4"/>
      <c r="AO787" s="3"/>
      <c r="AP787" s="4"/>
      <c r="AQ787" s="3"/>
      <c r="AR787" s="4"/>
      <c r="AS787" s="3"/>
      <c r="AT787" s="4"/>
      <c r="AU787" s="3"/>
      <c r="AV787" s="4"/>
      <c r="AW787" s="3"/>
      <c r="AX787" s="4"/>
      <c r="AY787" s="3"/>
      <c r="AZ787" s="4"/>
      <c r="BA787" s="3"/>
      <c r="BB787" s="4"/>
      <c r="BC787" s="3"/>
      <c r="BD787" s="4"/>
      <c r="BE787" s="3"/>
      <c r="BF787" s="4"/>
      <c r="BG787" s="3"/>
      <c r="BH787" s="4"/>
      <c r="BI787" s="3"/>
      <c r="BJ787" s="4"/>
      <c r="BK787" s="3"/>
      <c r="BL787" s="4"/>
      <c r="BM787" s="3"/>
      <c r="BN787" s="4"/>
      <c r="BO787" s="3"/>
      <c r="BP787" s="4"/>
      <c r="BQ787" s="3"/>
      <c r="BR787" s="4"/>
      <c r="BS787" s="3"/>
      <c r="BT787" s="4"/>
      <c r="BU787" s="3"/>
      <c r="BV787" s="4"/>
      <c r="BW787" s="3"/>
      <c r="BX787" s="4"/>
      <c r="BY787" s="3"/>
      <c r="BZ787" s="4"/>
      <c r="CA787" s="3"/>
      <c r="CB787" s="4"/>
      <c r="CC787" s="3"/>
      <c r="CD787" s="4"/>
    </row>
    <row r="788">
      <c r="A788" s="3"/>
      <c r="B788" s="4"/>
      <c r="C788" s="3"/>
      <c r="D788" s="4"/>
      <c r="E788" s="3"/>
      <c r="F788" s="4"/>
      <c r="G788" s="3"/>
      <c r="H788" s="4"/>
      <c r="I788" s="3"/>
      <c r="J788" s="4"/>
      <c r="K788" s="3"/>
      <c r="L788" s="4"/>
      <c r="M788" s="3"/>
      <c r="N788" s="4"/>
      <c r="O788" s="3"/>
      <c r="P788" s="4"/>
      <c r="Q788" s="3"/>
      <c r="R788" s="4"/>
      <c r="S788" s="3"/>
      <c r="T788" s="4"/>
      <c r="U788" s="3"/>
      <c r="V788" s="4"/>
      <c r="W788" s="3"/>
      <c r="X788" s="4"/>
      <c r="Y788" s="3"/>
      <c r="Z788" s="4"/>
      <c r="AA788" s="3"/>
      <c r="AB788" s="4"/>
      <c r="AC788" s="3"/>
      <c r="AD788" s="4"/>
      <c r="AE788" s="3"/>
      <c r="AF788" s="4"/>
      <c r="AG788" s="3"/>
      <c r="AH788" s="4"/>
      <c r="AI788" s="3"/>
      <c r="AJ788" s="4"/>
      <c r="AK788" s="3"/>
      <c r="AL788" s="4"/>
      <c r="AM788" s="3"/>
      <c r="AN788" s="4"/>
      <c r="AO788" s="3"/>
      <c r="AP788" s="4"/>
      <c r="AQ788" s="3"/>
      <c r="AR788" s="4"/>
      <c r="AS788" s="3"/>
      <c r="AT788" s="4"/>
      <c r="AU788" s="3"/>
      <c r="AV788" s="4"/>
      <c r="AW788" s="3"/>
      <c r="AX788" s="4"/>
      <c r="AY788" s="3"/>
      <c r="AZ788" s="4"/>
      <c r="BA788" s="3"/>
      <c r="BB788" s="4"/>
      <c r="BC788" s="3"/>
      <c r="BD788" s="4"/>
      <c r="BE788" s="3"/>
      <c r="BF788" s="4"/>
      <c r="BG788" s="3"/>
      <c r="BH788" s="4"/>
      <c r="BI788" s="3"/>
      <c r="BJ788" s="4"/>
      <c r="BK788" s="3"/>
      <c r="BL788" s="4"/>
      <c r="BM788" s="3"/>
      <c r="BN788" s="4"/>
      <c r="BO788" s="3"/>
      <c r="BP788" s="4"/>
      <c r="BQ788" s="3"/>
      <c r="BR788" s="4"/>
      <c r="BS788" s="3"/>
      <c r="BT788" s="4"/>
      <c r="BU788" s="3"/>
      <c r="BV788" s="4"/>
      <c r="BW788" s="3"/>
      <c r="BX788" s="4"/>
      <c r="BY788" s="3"/>
      <c r="BZ788" s="4"/>
      <c r="CA788" s="3"/>
      <c r="CB788" s="4"/>
      <c r="CC788" s="3"/>
      <c r="CD788" s="4"/>
    </row>
    <row r="789">
      <c r="A789" s="3"/>
      <c r="B789" s="4"/>
      <c r="C789" s="3"/>
      <c r="D789" s="4"/>
      <c r="E789" s="3"/>
      <c r="F789" s="4"/>
      <c r="G789" s="3"/>
      <c r="H789" s="4"/>
      <c r="I789" s="3"/>
      <c r="J789" s="4"/>
      <c r="K789" s="3"/>
      <c r="L789" s="4"/>
      <c r="M789" s="3"/>
      <c r="N789" s="4"/>
      <c r="O789" s="3"/>
      <c r="P789" s="4"/>
      <c r="Q789" s="3"/>
      <c r="R789" s="4"/>
      <c r="S789" s="3"/>
      <c r="T789" s="4"/>
      <c r="U789" s="3"/>
      <c r="V789" s="4"/>
      <c r="W789" s="3"/>
      <c r="X789" s="4"/>
      <c r="Y789" s="3"/>
      <c r="Z789" s="4"/>
      <c r="AA789" s="3"/>
      <c r="AB789" s="4"/>
      <c r="AC789" s="3"/>
      <c r="AD789" s="4"/>
      <c r="AE789" s="3"/>
      <c r="AF789" s="4"/>
      <c r="AG789" s="3"/>
      <c r="AH789" s="4"/>
      <c r="AI789" s="3"/>
      <c r="AJ789" s="4"/>
      <c r="AK789" s="3"/>
      <c r="AL789" s="4"/>
      <c r="AM789" s="3"/>
      <c r="AN789" s="4"/>
      <c r="AO789" s="3"/>
      <c r="AP789" s="4"/>
      <c r="AQ789" s="3"/>
      <c r="AR789" s="4"/>
      <c r="AS789" s="3"/>
      <c r="AT789" s="4"/>
      <c r="AU789" s="3"/>
      <c r="AV789" s="4"/>
      <c r="AW789" s="3"/>
      <c r="AX789" s="4"/>
      <c r="AY789" s="3"/>
      <c r="AZ789" s="4"/>
      <c r="BA789" s="3"/>
      <c r="BB789" s="4"/>
      <c r="BC789" s="3"/>
      <c r="BD789" s="4"/>
      <c r="BE789" s="3"/>
      <c r="BF789" s="4"/>
      <c r="BG789" s="3"/>
      <c r="BH789" s="4"/>
      <c r="BI789" s="3"/>
      <c r="BJ789" s="4"/>
      <c r="BK789" s="3"/>
      <c r="BL789" s="4"/>
      <c r="BM789" s="3"/>
      <c r="BN789" s="4"/>
      <c r="BO789" s="3"/>
      <c r="BP789" s="4"/>
      <c r="BQ789" s="3"/>
      <c r="BR789" s="4"/>
      <c r="BS789" s="3"/>
      <c r="BT789" s="4"/>
      <c r="BU789" s="3"/>
      <c r="BV789" s="4"/>
      <c r="BW789" s="3"/>
      <c r="BX789" s="4"/>
      <c r="BY789" s="3"/>
      <c r="BZ789" s="4"/>
      <c r="CA789" s="3"/>
      <c r="CB789" s="4"/>
      <c r="CC789" s="3"/>
      <c r="CD789" s="4"/>
    </row>
    <row r="790">
      <c r="A790" s="3"/>
      <c r="B790" s="4"/>
      <c r="C790" s="3"/>
      <c r="D790" s="4"/>
      <c r="E790" s="3"/>
      <c r="F790" s="4"/>
      <c r="G790" s="3"/>
      <c r="H790" s="4"/>
      <c r="I790" s="3"/>
      <c r="J790" s="4"/>
      <c r="K790" s="3"/>
      <c r="L790" s="4"/>
      <c r="M790" s="3"/>
      <c r="N790" s="4"/>
      <c r="O790" s="3"/>
      <c r="P790" s="4"/>
      <c r="Q790" s="3"/>
      <c r="R790" s="4"/>
      <c r="S790" s="3"/>
      <c r="T790" s="4"/>
      <c r="U790" s="3"/>
      <c r="V790" s="4"/>
      <c r="W790" s="3"/>
      <c r="X790" s="4"/>
      <c r="Y790" s="3"/>
      <c r="Z790" s="4"/>
      <c r="AA790" s="3"/>
      <c r="AB790" s="4"/>
      <c r="AC790" s="3"/>
      <c r="AD790" s="4"/>
      <c r="AE790" s="3"/>
      <c r="AF790" s="4"/>
      <c r="AG790" s="3"/>
      <c r="AH790" s="4"/>
      <c r="AI790" s="3"/>
      <c r="AJ790" s="4"/>
      <c r="AK790" s="3"/>
      <c r="AL790" s="4"/>
      <c r="AM790" s="3"/>
      <c r="AN790" s="4"/>
      <c r="AO790" s="3"/>
      <c r="AP790" s="4"/>
      <c r="AQ790" s="3"/>
      <c r="AR790" s="4"/>
      <c r="AS790" s="3"/>
      <c r="AT790" s="4"/>
      <c r="AU790" s="3"/>
      <c r="AV790" s="4"/>
      <c r="AW790" s="3"/>
      <c r="AX790" s="4"/>
      <c r="AY790" s="3"/>
      <c r="AZ790" s="4"/>
      <c r="BA790" s="3"/>
      <c r="BB790" s="4"/>
      <c r="BC790" s="3"/>
      <c r="BD790" s="4"/>
      <c r="BE790" s="3"/>
      <c r="BF790" s="4"/>
      <c r="BG790" s="3"/>
      <c r="BH790" s="4"/>
      <c r="BI790" s="3"/>
      <c r="BJ790" s="4"/>
      <c r="BK790" s="3"/>
      <c r="BL790" s="4"/>
      <c r="BM790" s="3"/>
      <c r="BN790" s="4"/>
      <c r="BO790" s="3"/>
      <c r="BP790" s="4"/>
      <c r="BQ790" s="3"/>
      <c r="BR790" s="4"/>
      <c r="BS790" s="3"/>
      <c r="BT790" s="4"/>
      <c r="BU790" s="3"/>
      <c r="BV790" s="4"/>
      <c r="BW790" s="3"/>
      <c r="BX790" s="4"/>
      <c r="BY790" s="3"/>
      <c r="BZ790" s="4"/>
      <c r="CA790" s="3"/>
      <c r="CB790" s="4"/>
      <c r="CC790" s="3"/>
      <c r="CD790" s="4"/>
    </row>
    <row r="791">
      <c r="A791" s="3"/>
      <c r="B791" s="4"/>
      <c r="C791" s="3"/>
      <c r="D791" s="4"/>
      <c r="E791" s="3"/>
      <c r="F791" s="4"/>
      <c r="G791" s="3"/>
      <c r="H791" s="4"/>
      <c r="I791" s="3"/>
      <c r="J791" s="4"/>
      <c r="K791" s="3"/>
      <c r="L791" s="4"/>
      <c r="M791" s="3"/>
      <c r="N791" s="4"/>
      <c r="O791" s="3"/>
      <c r="P791" s="4"/>
      <c r="Q791" s="3"/>
      <c r="R791" s="4"/>
      <c r="S791" s="3"/>
      <c r="T791" s="4"/>
      <c r="U791" s="3"/>
      <c r="V791" s="4"/>
      <c r="W791" s="3"/>
      <c r="X791" s="4"/>
      <c r="Y791" s="3"/>
      <c r="Z791" s="4"/>
      <c r="AA791" s="3"/>
      <c r="AB791" s="4"/>
      <c r="AC791" s="3"/>
      <c r="AD791" s="4"/>
      <c r="AE791" s="3"/>
      <c r="AF791" s="4"/>
      <c r="AG791" s="3"/>
      <c r="AH791" s="4"/>
      <c r="AI791" s="3"/>
      <c r="AJ791" s="4"/>
      <c r="AK791" s="3"/>
      <c r="AL791" s="4"/>
      <c r="AM791" s="3"/>
      <c r="AN791" s="4"/>
      <c r="AO791" s="3"/>
      <c r="AP791" s="4"/>
      <c r="AQ791" s="3"/>
      <c r="AR791" s="4"/>
      <c r="AS791" s="3"/>
      <c r="AT791" s="4"/>
      <c r="AU791" s="3"/>
      <c r="AV791" s="4"/>
      <c r="AW791" s="3"/>
      <c r="AX791" s="4"/>
      <c r="AY791" s="3"/>
      <c r="AZ791" s="4"/>
      <c r="BA791" s="3"/>
      <c r="BB791" s="4"/>
      <c r="BC791" s="3"/>
      <c r="BD791" s="4"/>
      <c r="BE791" s="3"/>
      <c r="BF791" s="4"/>
      <c r="BG791" s="3"/>
      <c r="BH791" s="4"/>
      <c r="BI791" s="3"/>
      <c r="BJ791" s="4"/>
      <c r="BK791" s="3"/>
      <c r="BL791" s="4"/>
      <c r="BM791" s="3"/>
      <c r="BN791" s="4"/>
      <c r="BO791" s="3"/>
      <c r="BP791" s="4"/>
      <c r="BQ791" s="3"/>
      <c r="BR791" s="4"/>
      <c r="BS791" s="3"/>
      <c r="BT791" s="4"/>
      <c r="BU791" s="3"/>
      <c r="BV791" s="4"/>
      <c r="BW791" s="3"/>
      <c r="BX791" s="4"/>
      <c r="BY791" s="3"/>
      <c r="BZ791" s="4"/>
      <c r="CA791" s="3"/>
      <c r="CB791" s="4"/>
      <c r="CC791" s="3"/>
      <c r="CD791" s="4"/>
    </row>
    <row r="792">
      <c r="A792" s="3"/>
      <c r="B792" s="4"/>
      <c r="C792" s="3"/>
      <c r="D792" s="4"/>
      <c r="E792" s="3"/>
      <c r="F792" s="4"/>
      <c r="G792" s="3"/>
      <c r="H792" s="4"/>
      <c r="I792" s="3"/>
      <c r="J792" s="4"/>
      <c r="K792" s="3"/>
      <c r="L792" s="4"/>
      <c r="M792" s="3"/>
      <c r="N792" s="4"/>
      <c r="O792" s="3"/>
      <c r="P792" s="4"/>
      <c r="Q792" s="3"/>
      <c r="R792" s="4"/>
      <c r="S792" s="3"/>
      <c r="T792" s="4"/>
      <c r="U792" s="3"/>
      <c r="V792" s="4"/>
      <c r="W792" s="3"/>
      <c r="X792" s="4"/>
      <c r="Y792" s="3"/>
      <c r="Z792" s="4"/>
      <c r="AA792" s="3"/>
      <c r="AB792" s="4"/>
      <c r="AC792" s="3"/>
      <c r="AD792" s="4"/>
      <c r="AE792" s="3"/>
      <c r="AF792" s="4"/>
      <c r="AG792" s="3"/>
      <c r="AH792" s="4"/>
      <c r="AI792" s="3"/>
      <c r="AJ792" s="4"/>
      <c r="AK792" s="3"/>
      <c r="AL792" s="4"/>
      <c r="AM792" s="3"/>
      <c r="AN792" s="4"/>
      <c r="AO792" s="3"/>
      <c r="AP792" s="4"/>
      <c r="AQ792" s="3"/>
      <c r="AR792" s="4"/>
      <c r="AS792" s="3"/>
      <c r="AT792" s="4"/>
      <c r="AU792" s="3"/>
      <c r="AV792" s="4"/>
      <c r="AW792" s="3"/>
      <c r="AX792" s="4"/>
      <c r="AY792" s="3"/>
      <c r="AZ792" s="4"/>
      <c r="BA792" s="3"/>
      <c r="BB792" s="4"/>
      <c r="BC792" s="3"/>
      <c r="BD792" s="4"/>
      <c r="BE792" s="3"/>
      <c r="BF792" s="4"/>
      <c r="BG792" s="3"/>
      <c r="BH792" s="4"/>
      <c r="BI792" s="3"/>
      <c r="BJ792" s="4"/>
      <c r="BK792" s="3"/>
      <c r="BL792" s="4"/>
      <c r="BM792" s="3"/>
      <c r="BN792" s="4"/>
      <c r="BO792" s="3"/>
      <c r="BP792" s="4"/>
      <c r="BQ792" s="3"/>
      <c r="BR792" s="4"/>
      <c r="BS792" s="3"/>
      <c r="BT792" s="4"/>
      <c r="BU792" s="3"/>
      <c r="BV792" s="4"/>
      <c r="BW792" s="3"/>
      <c r="BX792" s="4"/>
      <c r="BY792" s="3"/>
      <c r="BZ792" s="4"/>
      <c r="CA792" s="3"/>
      <c r="CB792" s="4"/>
      <c r="CC792" s="3"/>
      <c r="CD792" s="4"/>
    </row>
    <row r="793">
      <c r="A793" s="3"/>
      <c r="B793" s="4"/>
      <c r="C793" s="3"/>
      <c r="D793" s="4"/>
      <c r="E793" s="3"/>
      <c r="F793" s="4"/>
      <c r="G793" s="3"/>
      <c r="H793" s="4"/>
      <c r="I793" s="3"/>
      <c r="J793" s="4"/>
      <c r="K793" s="3"/>
      <c r="L793" s="4"/>
      <c r="M793" s="3"/>
      <c r="N793" s="4"/>
      <c r="O793" s="3"/>
      <c r="P793" s="4"/>
      <c r="Q793" s="3"/>
      <c r="R793" s="4"/>
      <c r="S793" s="3"/>
      <c r="T793" s="4"/>
      <c r="U793" s="3"/>
      <c r="V793" s="4"/>
      <c r="W793" s="3"/>
      <c r="X793" s="4"/>
      <c r="Y793" s="3"/>
      <c r="Z793" s="4"/>
      <c r="AA793" s="3"/>
      <c r="AB793" s="4"/>
      <c r="AC793" s="3"/>
      <c r="AD793" s="4"/>
      <c r="AE793" s="3"/>
      <c r="AF793" s="4"/>
      <c r="AG793" s="3"/>
      <c r="AH793" s="4"/>
      <c r="AI793" s="3"/>
      <c r="AJ793" s="4"/>
      <c r="AK793" s="3"/>
      <c r="AL793" s="4"/>
      <c r="AM793" s="3"/>
      <c r="AN793" s="4"/>
      <c r="AO793" s="3"/>
      <c r="AP793" s="4"/>
      <c r="AQ793" s="3"/>
      <c r="AR793" s="4"/>
      <c r="AS793" s="3"/>
      <c r="AT793" s="4"/>
      <c r="AU793" s="3"/>
      <c r="AV793" s="4"/>
      <c r="AW793" s="3"/>
      <c r="AX793" s="4"/>
      <c r="AY793" s="3"/>
      <c r="AZ793" s="4"/>
      <c r="BA793" s="3"/>
      <c r="BB793" s="4"/>
      <c r="BC793" s="3"/>
      <c r="BD793" s="4"/>
      <c r="BE793" s="3"/>
      <c r="BF793" s="4"/>
      <c r="BG793" s="3"/>
      <c r="BH793" s="4"/>
      <c r="BI793" s="3"/>
      <c r="BJ793" s="4"/>
      <c r="BK793" s="3"/>
      <c r="BL793" s="4"/>
      <c r="BM793" s="3"/>
      <c r="BN793" s="4"/>
      <c r="BO793" s="3"/>
      <c r="BP793" s="4"/>
      <c r="BQ793" s="3"/>
      <c r="BR793" s="4"/>
      <c r="BS793" s="3"/>
      <c r="BT793" s="4"/>
      <c r="BU793" s="3"/>
      <c r="BV793" s="4"/>
      <c r="BW793" s="3"/>
      <c r="BX793" s="4"/>
      <c r="BY793" s="3"/>
      <c r="BZ793" s="4"/>
      <c r="CA793" s="3"/>
      <c r="CB793" s="4"/>
      <c r="CC793" s="3"/>
      <c r="CD793" s="4"/>
    </row>
    <row r="794">
      <c r="A794" s="3"/>
      <c r="B794" s="4"/>
      <c r="C794" s="3"/>
      <c r="D794" s="4"/>
      <c r="E794" s="3"/>
      <c r="F794" s="4"/>
      <c r="G794" s="3"/>
      <c r="H794" s="4"/>
      <c r="I794" s="3"/>
      <c r="J794" s="4"/>
      <c r="K794" s="3"/>
      <c r="L794" s="4"/>
      <c r="M794" s="3"/>
      <c r="N794" s="4"/>
      <c r="O794" s="3"/>
      <c r="P794" s="4"/>
      <c r="Q794" s="3"/>
      <c r="R794" s="4"/>
      <c r="S794" s="3"/>
      <c r="T794" s="4"/>
      <c r="U794" s="3"/>
      <c r="V794" s="4"/>
      <c r="W794" s="3"/>
      <c r="X794" s="4"/>
      <c r="Y794" s="3"/>
      <c r="Z794" s="4"/>
      <c r="AA794" s="3"/>
      <c r="AB794" s="4"/>
      <c r="AC794" s="3"/>
      <c r="AD794" s="4"/>
      <c r="AE794" s="3"/>
      <c r="AF794" s="4"/>
      <c r="AG794" s="3"/>
      <c r="AH794" s="4"/>
      <c r="AI794" s="3"/>
      <c r="AJ794" s="4"/>
      <c r="AK794" s="3"/>
      <c r="AL794" s="4"/>
      <c r="AM794" s="3"/>
      <c r="AN794" s="4"/>
      <c r="AO794" s="3"/>
      <c r="AP794" s="4"/>
      <c r="AQ794" s="3"/>
      <c r="AR794" s="4"/>
      <c r="AS794" s="3"/>
      <c r="AT794" s="4"/>
      <c r="AU794" s="3"/>
      <c r="AV794" s="4"/>
      <c r="AW794" s="3"/>
      <c r="AX794" s="4"/>
      <c r="AY794" s="3"/>
      <c r="AZ794" s="4"/>
      <c r="BA794" s="3"/>
      <c r="BB794" s="4"/>
      <c r="BC794" s="3"/>
      <c r="BD794" s="4"/>
      <c r="BE794" s="3"/>
      <c r="BF794" s="4"/>
      <c r="BG794" s="3"/>
      <c r="BH794" s="4"/>
      <c r="BI794" s="3"/>
      <c r="BJ794" s="4"/>
      <c r="BK794" s="3"/>
      <c r="BL794" s="4"/>
      <c r="BM794" s="3"/>
      <c r="BN794" s="4"/>
      <c r="BO794" s="3"/>
      <c r="BP794" s="4"/>
      <c r="BQ794" s="3"/>
      <c r="BR794" s="4"/>
      <c r="BS794" s="3"/>
      <c r="BT794" s="4"/>
      <c r="BU794" s="3"/>
      <c r="BV794" s="4"/>
      <c r="BW794" s="3"/>
      <c r="BX794" s="4"/>
      <c r="BY794" s="3"/>
      <c r="BZ794" s="4"/>
      <c r="CA794" s="3"/>
      <c r="CB794" s="4"/>
      <c r="CC794" s="3"/>
      <c r="CD794" s="4"/>
    </row>
    <row r="795">
      <c r="A795" s="3"/>
      <c r="B795" s="4"/>
      <c r="C795" s="3"/>
      <c r="D795" s="4"/>
      <c r="E795" s="3"/>
      <c r="F795" s="4"/>
      <c r="G795" s="3"/>
      <c r="H795" s="4"/>
      <c r="I795" s="3"/>
      <c r="J795" s="4"/>
      <c r="K795" s="3"/>
      <c r="L795" s="4"/>
      <c r="M795" s="3"/>
      <c r="N795" s="4"/>
      <c r="O795" s="3"/>
      <c r="P795" s="4"/>
      <c r="Q795" s="3"/>
      <c r="R795" s="4"/>
      <c r="S795" s="3"/>
      <c r="T795" s="4"/>
      <c r="U795" s="3"/>
      <c r="V795" s="4"/>
      <c r="W795" s="3"/>
      <c r="X795" s="4"/>
      <c r="Y795" s="3"/>
      <c r="Z795" s="4"/>
      <c r="AA795" s="3"/>
      <c r="AB795" s="4"/>
      <c r="AC795" s="3"/>
      <c r="AD795" s="4"/>
      <c r="AE795" s="3"/>
      <c r="AF795" s="4"/>
      <c r="AG795" s="3"/>
      <c r="AH795" s="4"/>
      <c r="AI795" s="3"/>
      <c r="AJ795" s="4"/>
      <c r="AK795" s="3"/>
      <c r="AL795" s="4"/>
      <c r="AM795" s="3"/>
      <c r="AN795" s="4"/>
      <c r="AO795" s="3"/>
      <c r="AP795" s="4"/>
      <c r="AQ795" s="3"/>
      <c r="AR795" s="4"/>
      <c r="AS795" s="3"/>
      <c r="AT795" s="4"/>
      <c r="AU795" s="3"/>
      <c r="AV795" s="4"/>
      <c r="AW795" s="3"/>
      <c r="AX795" s="4"/>
      <c r="AY795" s="3"/>
      <c r="AZ795" s="4"/>
      <c r="BA795" s="3"/>
      <c r="BB795" s="4"/>
      <c r="BC795" s="3"/>
      <c r="BD795" s="4"/>
      <c r="BE795" s="3"/>
      <c r="BF795" s="4"/>
      <c r="BG795" s="3"/>
      <c r="BH795" s="4"/>
      <c r="BI795" s="3"/>
      <c r="BJ795" s="4"/>
      <c r="BK795" s="3"/>
      <c r="BL795" s="4"/>
      <c r="BM795" s="3"/>
      <c r="BN795" s="4"/>
      <c r="BO795" s="3"/>
      <c r="BP795" s="4"/>
      <c r="BQ795" s="3"/>
      <c r="BR795" s="4"/>
      <c r="BS795" s="3"/>
      <c r="BT795" s="4"/>
      <c r="BU795" s="3"/>
      <c r="BV795" s="4"/>
      <c r="BW795" s="3"/>
      <c r="BX795" s="4"/>
      <c r="BY795" s="3"/>
      <c r="BZ795" s="4"/>
      <c r="CA795" s="3"/>
      <c r="CB795" s="4"/>
      <c r="CC795" s="3"/>
      <c r="CD795" s="4"/>
    </row>
    <row r="796">
      <c r="A796" s="3"/>
      <c r="B796" s="4"/>
      <c r="C796" s="3"/>
      <c r="D796" s="4"/>
      <c r="E796" s="3"/>
      <c r="F796" s="4"/>
      <c r="G796" s="3"/>
      <c r="H796" s="4"/>
      <c r="I796" s="3"/>
      <c r="J796" s="4"/>
      <c r="K796" s="3"/>
      <c r="L796" s="4"/>
      <c r="M796" s="3"/>
      <c r="N796" s="4"/>
      <c r="O796" s="3"/>
      <c r="P796" s="4"/>
      <c r="Q796" s="3"/>
      <c r="R796" s="4"/>
      <c r="S796" s="3"/>
      <c r="T796" s="4"/>
      <c r="U796" s="3"/>
      <c r="V796" s="4"/>
      <c r="W796" s="3"/>
      <c r="X796" s="4"/>
      <c r="Y796" s="3"/>
      <c r="Z796" s="4"/>
      <c r="AA796" s="3"/>
      <c r="AB796" s="4"/>
      <c r="AC796" s="3"/>
      <c r="AD796" s="4"/>
      <c r="AE796" s="3"/>
      <c r="AF796" s="4"/>
      <c r="AG796" s="3"/>
      <c r="AH796" s="4"/>
      <c r="AI796" s="3"/>
      <c r="AJ796" s="4"/>
      <c r="AK796" s="3"/>
      <c r="AL796" s="4"/>
      <c r="AM796" s="3"/>
      <c r="AN796" s="4"/>
      <c r="AO796" s="3"/>
      <c r="AP796" s="4"/>
      <c r="AQ796" s="3"/>
      <c r="AR796" s="4"/>
      <c r="AS796" s="3"/>
      <c r="AT796" s="4"/>
      <c r="AU796" s="3"/>
      <c r="AV796" s="4"/>
      <c r="AW796" s="3"/>
      <c r="AX796" s="4"/>
      <c r="AY796" s="3"/>
      <c r="AZ796" s="4"/>
      <c r="BA796" s="3"/>
      <c r="BB796" s="4"/>
      <c r="BC796" s="3"/>
      <c r="BD796" s="4"/>
      <c r="BE796" s="3"/>
      <c r="BF796" s="4"/>
      <c r="BG796" s="3"/>
      <c r="BH796" s="4"/>
      <c r="BI796" s="3"/>
      <c r="BJ796" s="4"/>
      <c r="BK796" s="3"/>
      <c r="BL796" s="4"/>
      <c r="BM796" s="3"/>
      <c r="BN796" s="4"/>
      <c r="BO796" s="3"/>
      <c r="BP796" s="4"/>
      <c r="BQ796" s="3"/>
      <c r="BR796" s="4"/>
      <c r="BS796" s="3"/>
      <c r="BT796" s="4"/>
      <c r="BU796" s="3"/>
      <c r="BV796" s="4"/>
      <c r="BW796" s="3"/>
      <c r="BX796" s="4"/>
      <c r="BY796" s="3"/>
      <c r="BZ796" s="4"/>
      <c r="CA796" s="3"/>
      <c r="CB796" s="4"/>
      <c r="CC796" s="3"/>
      <c r="CD796" s="4"/>
    </row>
    <row r="797">
      <c r="A797" s="3"/>
      <c r="B797" s="4"/>
      <c r="C797" s="3"/>
      <c r="D797" s="4"/>
      <c r="E797" s="3"/>
      <c r="F797" s="4"/>
      <c r="G797" s="3"/>
      <c r="H797" s="4"/>
      <c r="I797" s="3"/>
      <c r="J797" s="4"/>
      <c r="K797" s="3"/>
      <c r="L797" s="4"/>
      <c r="M797" s="3"/>
      <c r="N797" s="4"/>
      <c r="O797" s="3"/>
      <c r="P797" s="4"/>
      <c r="Q797" s="3"/>
      <c r="R797" s="4"/>
      <c r="S797" s="3"/>
      <c r="T797" s="4"/>
      <c r="U797" s="3"/>
      <c r="V797" s="4"/>
      <c r="W797" s="3"/>
      <c r="X797" s="4"/>
      <c r="Y797" s="3"/>
      <c r="Z797" s="4"/>
      <c r="AA797" s="3"/>
      <c r="AB797" s="4"/>
      <c r="AC797" s="3"/>
      <c r="AD797" s="4"/>
      <c r="AE797" s="3"/>
      <c r="AF797" s="4"/>
      <c r="AG797" s="3"/>
      <c r="AH797" s="4"/>
      <c r="AI797" s="3"/>
      <c r="AJ797" s="4"/>
      <c r="AK797" s="3"/>
      <c r="AL797" s="4"/>
      <c r="AM797" s="3"/>
      <c r="AN797" s="4"/>
      <c r="AO797" s="3"/>
      <c r="AP797" s="4"/>
      <c r="AQ797" s="3"/>
      <c r="AR797" s="4"/>
      <c r="AS797" s="3"/>
      <c r="AT797" s="4"/>
      <c r="AU797" s="3"/>
      <c r="AV797" s="4"/>
      <c r="AW797" s="3"/>
      <c r="AX797" s="4"/>
      <c r="AY797" s="3"/>
      <c r="AZ797" s="4"/>
      <c r="BA797" s="3"/>
      <c r="BB797" s="4"/>
      <c r="BC797" s="3"/>
      <c r="BD797" s="4"/>
      <c r="BE797" s="3"/>
      <c r="BF797" s="4"/>
      <c r="BG797" s="3"/>
      <c r="BH797" s="4"/>
      <c r="BI797" s="3"/>
      <c r="BJ797" s="4"/>
      <c r="BK797" s="3"/>
      <c r="BL797" s="4"/>
      <c r="BM797" s="3"/>
      <c r="BN797" s="4"/>
      <c r="BO797" s="3"/>
      <c r="BP797" s="4"/>
      <c r="BQ797" s="3"/>
      <c r="BR797" s="4"/>
      <c r="BS797" s="3"/>
      <c r="BT797" s="4"/>
      <c r="BU797" s="3"/>
      <c r="BV797" s="4"/>
      <c r="BW797" s="3"/>
      <c r="BX797" s="4"/>
      <c r="BY797" s="3"/>
      <c r="BZ797" s="4"/>
      <c r="CA797" s="3"/>
      <c r="CB797" s="4"/>
      <c r="CC797" s="3"/>
      <c r="CD797" s="4"/>
    </row>
    <row r="798">
      <c r="A798" s="3"/>
      <c r="B798" s="4"/>
      <c r="C798" s="3"/>
      <c r="D798" s="4"/>
      <c r="E798" s="3"/>
      <c r="F798" s="4"/>
      <c r="G798" s="3"/>
      <c r="H798" s="4"/>
      <c r="I798" s="3"/>
      <c r="J798" s="4"/>
      <c r="K798" s="3"/>
      <c r="L798" s="4"/>
      <c r="M798" s="3"/>
      <c r="N798" s="4"/>
      <c r="O798" s="3"/>
      <c r="P798" s="4"/>
      <c r="Q798" s="3"/>
      <c r="R798" s="4"/>
      <c r="S798" s="3"/>
      <c r="T798" s="4"/>
      <c r="U798" s="3"/>
      <c r="V798" s="4"/>
      <c r="W798" s="3"/>
      <c r="X798" s="4"/>
      <c r="Y798" s="3"/>
      <c r="Z798" s="4"/>
      <c r="AA798" s="3"/>
      <c r="AB798" s="4"/>
      <c r="AC798" s="3"/>
      <c r="AD798" s="4"/>
      <c r="AE798" s="3"/>
      <c r="AF798" s="4"/>
      <c r="AG798" s="3"/>
      <c r="AH798" s="4"/>
      <c r="AI798" s="3"/>
      <c r="AJ798" s="4"/>
      <c r="AK798" s="3"/>
      <c r="AL798" s="4"/>
      <c r="AM798" s="3"/>
      <c r="AN798" s="4"/>
      <c r="AO798" s="3"/>
      <c r="AP798" s="4"/>
      <c r="AQ798" s="3"/>
      <c r="AR798" s="4"/>
      <c r="AS798" s="3"/>
      <c r="AT798" s="4"/>
      <c r="AU798" s="3"/>
      <c r="AV798" s="4"/>
      <c r="AW798" s="3"/>
      <c r="AX798" s="4"/>
      <c r="AY798" s="3"/>
      <c r="AZ798" s="4"/>
      <c r="BA798" s="3"/>
      <c r="BB798" s="4"/>
      <c r="BC798" s="3"/>
      <c r="BD798" s="4"/>
      <c r="BE798" s="3"/>
      <c r="BF798" s="4"/>
      <c r="BG798" s="3"/>
      <c r="BH798" s="4"/>
      <c r="BI798" s="3"/>
      <c r="BJ798" s="4"/>
      <c r="BK798" s="3"/>
      <c r="BL798" s="4"/>
      <c r="BM798" s="3"/>
      <c r="BN798" s="4"/>
      <c r="BO798" s="3"/>
      <c r="BP798" s="4"/>
      <c r="BQ798" s="3"/>
      <c r="BR798" s="4"/>
      <c r="BS798" s="3"/>
      <c r="BT798" s="4"/>
      <c r="BU798" s="3"/>
      <c r="BV798" s="4"/>
      <c r="BW798" s="3"/>
      <c r="BX798" s="4"/>
      <c r="BY798" s="3"/>
      <c r="BZ798" s="4"/>
      <c r="CA798" s="3"/>
      <c r="CB798" s="4"/>
      <c r="CC798" s="3"/>
      <c r="CD798" s="4"/>
    </row>
    <row r="799">
      <c r="A799" s="3"/>
      <c r="B799" s="4"/>
      <c r="C799" s="3"/>
      <c r="D799" s="4"/>
      <c r="E799" s="3"/>
      <c r="F799" s="4"/>
      <c r="G799" s="3"/>
      <c r="H799" s="4"/>
      <c r="I799" s="3"/>
      <c r="J799" s="4"/>
      <c r="K799" s="3"/>
      <c r="L799" s="4"/>
      <c r="M799" s="3"/>
      <c r="N799" s="4"/>
      <c r="O799" s="3"/>
      <c r="P799" s="4"/>
      <c r="Q799" s="3"/>
      <c r="R799" s="4"/>
      <c r="S799" s="3"/>
      <c r="T799" s="4"/>
      <c r="U799" s="3"/>
      <c r="V799" s="4"/>
      <c r="W799" s="3"/>
      <c r="X799" s="4"/>
      <c r="Y799" s="3"/>
      <c r="Z799" s="4"/>
      <c r="AA799" s="3"/>
      <c r="AB799" s="4"/>
      <c r="AC799" s="3"/>
      <c r="AD799" s="4"/>
      <c r="AE799" s="3"/>
      <c r="AF799" s="4"/>
      <c r="AG799" s="3"/>
      <c r="AH799" s="4"/>
      <c r="AI799" s="3"/>
      <c r="AJ799" s="4"/>
      <c r="AK799" s="3"/>
      <c r="AL799" s="4"/>
      <c r="AM799" s="3"/>
      <c r="AN799" s="4"/>
      <c r="AO799" s="3"/>
      <c r="AP799" s="4"/>
      <c r="AQ799" s="3"/>
      <c r="AR799" s="4"/>
      <c r="AS799" s="3"/>
      <c r="AT799" s="4"/>
      <c r="AU799" s="3"/>
      <c r="AV799" s="4"/>
      <c r="AW799" s="3"/>
      <c r="AX799" s="4"/>
      <c r="AY799" s="3"/>
      <c r="AZ799" s="4"/>
      <c r="BA799" s="3"/>
      <c r="BB799" s="4"/>
      <c r="BC799" s="3"/>
      <c r="BD799" s="4"/>
      <c r="BE799" s="3"/>
      <c r="BF799" s="4"/>
      <c r="BG799" s="3"/>
      <c r="BH799" s="4"/>
      <c r="BI799" s="3"/>
      <c r="BJ799" s="4"/>
      <c r="BK799" s="3"/>
      <c r="BL799" s="4"/>
      <c r="BM799" s="3"/>
      <c r="BN799" s="4"/>
      <c r="BO799" s="3"/>
      <c r="BP799" s="4"/>
      <c r="BQ799" s="3"/>
      <c r="BR799" s="4"/>
      <c r="BS799" s="3"/>
      <c r="BT799" s="4"/>
      <c r="BU799" s="3"/>
      <c r="BV799" s="4"/>
      <c r="BW799" s="3"/>
      <c r="BX799" s="4"/>
      <c r="BY799" s="3"/>
      <c r="BZ799" s="4"/>
      <c r="CA799" s="3"/>
      <c r="CB799" s="4"/>
      <c r="CC799" s="3"/>
      <c r="CD799" s="4"/>
    </row>
    <row r="800">
      <c r="A800" s="3"/>
      <c r="B800" s="4"/>
      <c r="C800" s="3"/>
      <c r="D800" s="4"/>
      <c r="E800" s="3"/>
      <c r="F800" s="4"/>
      <c r="G800" s="3"/>
      <c r="H800" s="4"/>
      <c r="I800" s="3"/>
      <c r="J800" s="4"/>
      <c r="K800" s="3"/>
      <c r="L800" s="4"/>
      <c r="M800" s="3"/>
      <c r="N800" s="4"/>
      <c r="O800" s="3"/>
      <c r="P800" s="4"/>
      <c r="Q800" s="3"/>
      <c r="R800" s="4"/>
      <c r="S800" s="3"/>
      <c r="T800" s="4"/>
      <c r="U800" s="3"/>
      <c r="V800" s="4"/>
      <c r="W800" s="3"/>
      <c r="X800" s="4"/>
      <c r="Y800" s="3"/>
      <c r="Z800" s="4"/>
      <c r="AA800" s="3"/>
      <c r="AB800" s="4"/>
      <c r="AC800" s="3"/>
      <c r="AD800" s="4"/>
      <c r="AE800" s="3"/>
      <c r="AF800" s="4"/>
      <c r="AG800" s="3"/>
      <c r="AH800" s="4"/>
      <c r="AI800" s="3"/>
      <c r="AJ800" s="4"/>
      <c r="AK800" s="3"/>
      <c r="AL800" s="4"/>
      <c r="AM800" s="3"/>
      <c r="AN800" s="4"/>
      <c r="AO800" s="3"/>
      <c r="AP800" s="4"/>
      <c r="AQ800" s="3"/>
      <c r="AR800" s="4"/>
      <c r="AS800" s="3"/>
      <c r="AT800" s="4"/>
      <c r="AU800" s="3"/>
      <c r="AV800" s="4"/>
      <c r="AW800" s="3"/>
      <c r="AX800" s="4"/>
      <c r="AY800" s="3"/>
      <c r="AZ800" s="4"/>
      <c r="BA800" s="3"/>
      <c r="BB800" s="4"/>
      <c r="BC800" s="3"/>
      <c r="BD800" s="4"/>
      <c r="BE800" s="3"/>
      <c r="BF800" s="4"/>
      <c r="BG800" s="3"/>
      <c r="BH800" s="4"/>
      <c r="BI800" s="3"/>
      <c r="BJ800" s="4"/>
      <c r="BK800" s="3"/>
      <c r="BL800" s="4"/>
      <c r="BM800" s="3"/>
      <c r="BN800" s="4"/>
      <c r="BO800" s="3"/>
      <c r="BP800" s="4"/>
      <c r="BQ800" s="3"/>
      <c r="BR800" s="4"/>
      <c r="BS800" s="3"/>
      <c r="BT800" s="4"/>
      <c r="BU800" s="3"/>
      <c r="BV800" s="4"/>
      <c r="BW800" s="3"/>
      <c r="BX800" s="4"/>
      <c r="BY800" s="3"/>
      <c r="BZ800" s="4"/>
      <c r="CA800" s="3"/>
      <c r="CB800" s="4"/>
      <c r="CC800" s="3"/>
      <c r="CD800" s="4"/>
    </row>
    <row r="801">
      <c r="A801" s="3"/>
      <c r="B801" s="4"/>
      <c r="C801" s="3"/>
      <c r="D801" s="4"/>
      <c r="E801" s="3"/>
      <c r="F801" s="4"/>
      <c r="G801" s="3"/>
      <c r="H801" s="4"/>
      <c r="I801" s="3"/>
      <c r="J801" s="4"/>
      <c r="K801" s="3"/>
      <c r="L801" s="4"/>
      <c r="M801" s="3"/>
      <c r="N801" s="4"/>
      <c r="O801" s="3"/>
      <c r="P801" s="4"/>
      <c r="Q801" s="3"/>
      <c r="R801" s="4"/>
      <c r="S801" s="3"/>
      <c r="T801" s="4"/>
      <c r="U801" s="3"/>
      <c r="V801" s="4"/>
      <c r="W801" s="3"/>
      <c r="X801" s="4"/>
      <c r="Y801" s="3"/>
      <c r="Z801" s="4"/>
      <c r="AA801" s="3"/>
      <c r="AB801" s="4"/>
      <c r="AC801" s="3"/>
      <c r="AD801" s="4"/>
      <c r="AE801" s="3"/>
      <c r="AF801" s="4"/>
      <c r="AG801" s="3"/>
      <c r="AH801" s="4"/>
      <c r="AI801" s="3"/>
      <c r="AJ801" s="4"/>
      <c r="AK801" s="3"/>
      <c r="AL801" s="4"/>
      <c r="AM801" s="3"/>
      <c r="AN801" s="4"/>
      <c r="AO801" s="3"/>
      <c r="AP801" s="4"/>
      <c r="AQ801" s="3"/>
      <c r="AR801" s="4"/>
      <c r="AS801" s="3"/>
      <c r="AT801" s="4"/>
      <c r="AU801" s="3"/>
      <c r="AV801" s="4"/>
      <c r="AW801" s="3"/>
      <c r="AX801" s="4"/>
      <c r="AY801" s="3"/>
      <c r="AZ801" s="4"/>
      <c r="BA801" s="3"/>
      <c r="BB801" s="4"/>
      <c r="BC801" s="3"/>
      <c r="BD801" s="4"/>
      <c r="BE801" s="3"/>
      <c r="BF801" s="4"/>
      <c r="BG801" s="3"/>
      <c r="BH801" s="4"/>
      <c r="BI801" s="3"/>
      <c r="BJ801" s="4"/>
      <c r="BK801" s="3"/>
      <c r="BL801" s="4"/>
      <c r="BM801" s="3"/>
      <c r="BN801" s="4"/>
      <c r="BO801" s="3"/>
      <c r="BP801" s="4"/>
      <c r="BQ801" s="3"/>
      <c r="BR801" s="4"/>
      <c r="BS801" s="3"/>
      <c r="BT801" s="4"/>
      <c r="BU801" s="3"/>
      <c r="BV801" s="4"/>
      <c r="BW801" s="3"/>
      <c r="BX801" s="4"/>
      <c r="BY801" s="3"/>
      <c r="BZ801" s="4"/>
      <c r="CA801" s="3"/>
      <c r="CB801" s="4"/>
      <c r="CC801" s="3"/>
      <c r="CD801" s="4"/>
    </row>
    <row r="802">
      <c r="A802" s="3"/>
      <c r="B802" s="4"/>
      <c r="C802" s="3"/>
      <c r="D802" s="4"/>
      <c r="E802" s="3"/>
      <c r="F802" s="4"/>
      <c r="G802" s="3"/>
      <c r="H802" s="4"/>
      <c r="I802" s="3"/>
      <c r="J802" s="4"/>
      <c r="K802" s="3"/>
      <c r="L802" s="4"/>
      <c r="M802" s="3"/>
      <c r="N802" s="4"/>
      <c r="O802" s="3"/>
      <c r="P802" s="4"/>
      <c r="Q802" s="3"/>
      <c r="R802" s="4"/>
      <c r="S802" s="3"/>
      <c r="T802" s="4"/>
      <c r="U802" s="3"/>
      <c r="V802" s="4"/>
      <c r="W802" s="3"/>
      <c r="X802" s="4"/>
      <c r="Y802" s="3"/>
      <c r="Z802" s="4"/>
      <c r="AA802" s="3"/>
      <c r="AB802" s="4"/>
      <c r="AC802" s="3"/>
      <c r="AD802" s="4"/>
      <c r="AE802" s="3"/>
      <c r="AF802" s="4"/>
      <c r="AG802" s="3"/>
      <c r="AH802" s="4"/>
      <c r="AI802" s="3"/>
      <c r="AJ802" s="4"/>
      <c r="AK802" s="3"/>
      <c r="AL802" s="4"/>
      <c r="AM802" s="3"/>
      <c r="AN802" s="4"/>
      <c r="AO802" s="3"/>
      <c r="AP802" s="4"/>
      <c r="AQ802" s="3"/>
      <c r="AR802" s="4"/>
      <c r="AS802" s="3"/>
      <c r="AT802" s="4"/>
      <c r="AU802" s="3"/>
      <c r="AV802" s="4"/>
      <c r="AW802" s="3"/>
      <c r="AX802" s="4"/>
      <c r="AY802" s="3"/>
      <c r="AZ802" s="4"/>
      <c r="BA802" s="3"/>
      <c r="BB802" s="4"/>
      <c r="BC802" s="3"/>
      <c r="BD802" s="4"/>
      <c r="BE802" s="3"/>
      <c r="BF802" s="4"/>
      <c r="BG802" s="3"/>
      <c r="BH802" s="4"/>
      <c r="BI802" s="3"/>
      <c r="BJ802" s="4"/>
      <c r="BK802" s="3"/>
      <c r="BL802" s="4"/>
      <c r="BM802" s="3"/>
      <c r="BN802" s="4"/>
      <c r="BO802" s="3"/>
      <c r="BP802" s="4"/>
      <c r="BQ802" s="3"/>
      <c r="BR802" s="4"/>
      <c r="BS802" s="3"/>
      <c r="BT802" s="4"/>
      <c r="BU802" s="3"/>
      <c r="BV802" s="4"/>
      <c r="BW802" s="3"/>
      <c r="BX802" s="4"/>
      <c r="BY802" s="3"/>
      <c r="BZ802" s="4"/>
      <c r="CA802" s="3"/>
      <c r="CB802" s="4"/>
      <c r="CC802" s="3"/>
      <c r="CD802" s="4"/>
    </row>
    <row r="803">
      <c r="A803" s="3"/>
      <c r="B803" s="4"/>
      <c r="C803" s="3"/>
      <c r="D803" s="4"/>
      <c r="E803" s="3"/>
      <c r="F803" s="4"/>
      <c r="G803" s="3"/>
      <c r="H803" s="4"/>
      <c r="I803" s="3"/>
      <c r="J803" s="4"/>
      <c r="K803" s="3"/>
      <c r="L803" s="4"/>
      <c r="M803" s="3"/>
      <c r="N803" s="4"/>
      <c r="O803" s="3"/>
      <c r="P803" s="4"/>
      <c r="Q803" s="3"/>
      <c r="R803" s="4"/>
      <c r="S803" s="3"/>
      <c r="T803" s="4"/>
      <c r="U803" s="3"/>
      <c r="V803" s="4"/>
      <c r="W803" s="3"/>
      <c r="X803" s="4"/>
      <c r="Y803" s="3"/>
      <c r="Z803" s="4"/>
      <c r="AA803" s="3"/>
      <c r="AB803" s="4"/>
      <c r="AC803" s="3"/>
      <c r="AD803" s="4"/>
      <c r="AE803" s="3"/>
      <c r="AF803" s="4"/>
      <c r="AG803" s="3"/>
      <c r="AH803" s="4"/>
      <c r="AI803" s="3"/>
      <c r="AJ803" s="4"/>
      <c r="AK803" s="3"/>
      <c r="AL803" s="4"/>
      <c r="AM803" s="3"/>
      <c r="AN803" s="4"/>
      <c r="AO803" s="3"/>
      <c r="AP803" s="4"/>
      <c r="AQ803" s="3"/>
      <c r="AR803" s="4"/>
      <c r="AS803" s="3"/>
      <c r="AT803" s="4"/>
      <c r="AU803" s="3"/>
      <c r="AV803" s="4"/>
      <c r="AW803" s="3"/>
      <c r="AX803" s="4"/>
      <c r="AY803" s="3"/>
      <c r="AZ803" s="4"/>
      <c r="BA803" s="3"/>
      <c r="BB803" s="4"/>
      <c r="BC803" s="3"/>
      <c r="BD803" s="4"/>
      <c r="BE803" s="3"/>
      <c r="BF803" s="4"/>
      <c r="BG803" s="3"/>
      <c r="BH803" s="4"/>
      <c r="BI803" s="3"/>
      <c r="BJ803" s="4"/>
      <c r="BK803" s="3"/>
      <c r="BL803" s="4"/>
      <c r="BM803" s="3"/>
      <c r="BN803" s="4"/>
      <c r="BO803" s="3"/>
      <c r="BP803" s="4"/>
      <c r="BQ803" s="3"/>
      <c r="BR803" s="4"/>
      <c r="BS803" s="3"/>
      <c r="BT803" s="4"/>
      <c r="BU803" s="3"/>
      <c r="BV803" s="4"/>
      <c r="BW803" s="3"/>
      <c r="BX803" s="4"/>
      <c r="BY803" s="3"/>
      <c r="BZ803" s="4"/>
      <c r="CA803" s="3"/>
      <c r="CB803" s="4"/>
      <c r="CC803" s="3"/>
      <c r="CD803" s="4"/>
    </row>
    <row r="804">
      <c r="A804" s="3"/>
      <c r="B804" s="4"/>
      <c r="C804" s="3"/>
      <c r="D804" s="4"/>
      <c r="E804" s="3"/>
      <c r="F804" s="4"/>
      <c r="G804" s="3"/>
      <c r="H804" s="4"/>
      <c r="I804" s="3"/>
      <c r="J804" s="4"/>
      <c r="K804" s="3"/>
      <c r="L804" s="4"/>
      <c r="M804" s="3"/>
      <c r="N804" s="4"/>
      <c r="O804" s="3"/>
      <c r="P804" s="4"/>
      <c r="Q804" s="3"/>
      <c r="R804" s="4"/>
      <c r="S804" s="3"/>
      <c r="T804" s="4"/>
      <c r="U804" s="3"/>
      <c r="V804" s="4"/>
      <c r="W804" s="3"/>
      <c r="X804" s="4"/>
      <c r="Y804" s="3"/>
      <c r="Z804" s="4"/>
      <c r="AA804" s="3"/>
      <c r="AB804" s="4"/>
      <c r="AC804" s="3"/>
      <c r="AD804" s="4"/>
      <c r="AE804" s="3"/>
      <c r="AF804" s="4"/>
      <c r="AG804" s="3"/>
      <c r="AH804" s="4"/>
      <c r="AI804" s="3"/>
      <c r="AJ804" s="4"/>
      <c r="AK804" s="3"/>
      <c r="AL804" s="4"/>
      <c r="AM804" s="3"/>
      <c r="AN804" s="4"/>
      <c r="AO804" s="3"/>
      <c r="AP804" s="4"/>
      <c r="AQ804" s="3"/>
      <c r="AR804" s="4"/>
      <c r="AS804" s="3"/>
      <c r="AT804" s="4"/>
      <c r="AU804" s="3"/>
      <c r="AV804" s="4"/>
      <c r="AW804" s="3"/>
      <c r="AX804" s="4"/>
      <c r="AY804" s="3"/>
      <c r="AZ804" s="4"/>
      <c r="BA804" s="3"/>
      <c r="BB804" s="4"/>
      <c r="BC804" s="3"/>
      <c r="BD804" s="4"/>
      <c r="BE804" s="3"/>
      <c r="BF804" s="4"/>
      <c r="BG804" s="3"/>
      <c r="BH804" s="4"/>
      <c r="BI804" s="3"/>
      <c r="BJ804" s="4"/>
      <c r="BK804" s="3"/>
      <c r="BL804" s="4"/>
      <c r="BM804" s="3"/>
      <c r="BN804" s="4"/>
      <c r="BO804" s="3"/>
      <c r="BP804" s="4"/>
      <c r="BQ804" s="3"/>
      <c r="BR804" s="4"/>
      <c r="BS804" s="3"/>
      <c r="BT804" s="4"/>
      <c r="BU804" s="3"/>
      <c r="BV804" s="4"/>
      <c r="BW804" s="3"/>
      <c r="BX804" s="4"/>
      <c r="BY804" s="3"/>
      <c r="BZ804" s="4"/>
      <c r="CA804" s="3"/>
      <c r="CB804" s="4"/>
      <c r="CC804" s="3"/>
      <c r="CD804" s="4"/>
    </row>
    <row r="805">
      <c r="A805" s="3"/>
      <c r="B805" s="4"/>
      <c r="C805" s="3"/>
      <c r="D805" s="4"/>
      <c r="E805" s="3"/>
      <c r="F805" s="4"/>
      <c r="G805" s="3"/>
      <c r="H805" s="4"/>
      <c r="I805" s="3"/>
      <c r="J805" s="4"/>
      <c r="K805" s="3"/>
      <c r="L805" s="4"/>
      <c r="M805" s="3"/>
      <c r="N805" s="4"/>
      <c r="O805" s="3"/>
      <c r="P805" s="4"/>
      <c r="Q805" s="3"/>
      <c r="R805" s="4"/>
      <c r="S805" s="3"/>
      <c r="T805" s="4"/>
      <c r="U805" s="3"/>
      <c r="V805" s="4"/>
      <c r="W805" s="3"/>
      <c r="X805" s="4"/>
      <c r="Y805" s="3"/>
      <c r="Z805" s="4"/>
      <c r="AA805" s="3"/>
      <c r="AB805" s="4"/>
      <c r="AC805" s="3"/>
      <c r="AD805" s="4"/>
      <c r="AE805" s="3"/>
      <c r="AF805" s="4"/>
      <c r="AG805" s="3"/>
      <c r="AH805" s="4"/>
      <c r="AI805" s="3"/>
      <c r="AJ805" s="4"/>
      <c r="AK805" s="3"/>
      <c r="AL805" s="4"/>
      <c r="AM805" s="3"/>
      <c r="AN805" s="4"/>
      <c r="AO805" s="3"/>
      <c r="AP805" s="4"/>
      <c r="AQ805" s="3"/>
      <c r="AR805" s="4"/>
      <c r="AS805" s="3"/>
      <c r="AT805" s="4"/>
      <c r="AU805" s="3"/>
      <c r="AV805" s="4"/>
      <c r="AW805" s="3"/>
      <c r="AX805" s="4"/>
      <c r="AY805" s="3"/>
      <c r="AZ805" s="4"/>
      <c r="BA805" s="3"/>
      <c r="BB805" s="4"/>
      <c r="BC805" s="3"/>
      <c r="BD805" s="4"/>
      <c r="BE805" s="3"/>
      <c r="BF805" s="4"/>
      <c r="BG805" s="3"/>
      <c r="BH805" s="4"/>
      <c r="BI805" s="3"/>
      <c r="BJ805" s="4"/>
      <c r="BK805" s="3"/>
      <c r="BL805" s="4"/>
      <c r="BM805" s="3"/>
      <c r="BN805" s="4"/>
      <c r="BO805" s="3"/>
      <c r="BP805" s="4"/>
      <c r="BQ805" s="3"/>
      <c r="BR805" s="4"/>
      <c r="BS805" s="3"/>
      <c r="BT805" s="4"/>
      <c r="BU805" s="3"/>
      <c r="BV805" s="4"/>
      <c r="BW805" s="3"/>
      <c r="BX805" s="4"/>
      <c r="BY805" s="3"/>
      <c r="BZ805" s="4"/>
      <c r="CA805" s="3"/>
      <c r="CB805" s="4"/>
      <c r="CC805" s="3"/>
      <c r="CD805" s="4"/>
    </row>
    <row r="806">
      <c r="A806" s="3"/>
      <c r="B806" s="4"/>
      <c r="C806" s="3"/>
      <c r="D806" s="4"/>
      <c r="E806" s="3"/>
      <c r="F806" s="4"/>
      <c r="G806" s="3"/>
      <c r="H806" s="4"/>
      <c r="I806" s="3"/>
      <c r="J806" s="4"/>
      <c r="K806" s="3"/>
      <c r="L806" s="4"/>
      <c r="M806" s="3"/>
      <c r="N806" s="4"/>
      <c r="O806" s="3"/>
      <c r="P806" s="4"/>
      <c r="Q806" s="3"/>
      <c r="R806" s="4"/>
      <c r="S806" s="3"/>
      <c r="T806" s="4"/>
      <c r="U806" s="3"/>
      <c r="V806" s="4"/>
      <c r="W806" s="3"/>
      <c r="X806" s="4"/>
      <c r="Y806" s="3"/>
      <c r="Z806" s="4"/>
      <c r="AA806" s="3"/>
      <c r="AB806" s="4"/>
      <c r="AC806" s="3"/>
      <c r="AD806" s="4"/>
      <c r="AE806" s="3"/>
      <c r="AF806" s="4"/>
      <c r="AG806" s="3"/>
      <c r="AH806" s="4"/>
      <c r="AI806" s="3"/>
      <c r="AJ806" s="4"/>
      <c r="AK806" s="3"/>
      <c r="AL806" s="4"/>
      <c r="AM806" s="3"/>
      <c r="AN806" s="4"/>
      <c r="AO806" s="3"/>
      <c r="AP806" s="4"/>
      <c r="AQ806" s="3"/>
      <c r="AR806" s="4"/>
      <c r="AS806" s="3"/>
      <c r="AT806" s="4"/>
      <c r="AU806" s="3"/>
      <c r="AV806" s="4"/>
      <c r="AW806" s="3"/>
      <c r="AX806" s="4"/>
      <c r="AY806" s="3"/>
      <c r="AZ806" s="4"/>
      <c r="BA806" s="3"/>
      <c r="BB806" s="4"/>
      <c r="BC806" s="3"/>
      <c r="BD806" s="4"/>
      <c r="BE806" s="3"/>
      <c r="BF806" s="4"/>
      <c r="BG806" s="3"/>
      <c r="BH806" s="4"/>
      <c r="BI806" s="3"/>
      <c r="BJ806" s="4"/>
      <c r="BK806" s="3"/>
      <c r="BL806" s="4"/>
      <c r="BM806" s="3"/>
      <c r="BN806" s="4"/>
      <c r="BO806" s="3"/>
      <c r="BP806" s="4"/>
      <c r="BQ806" s="3"/>
      <c r="BR806" s="4"/>
      <c r="BS806" s="3"/>
      <c r="BT806" s="4"/>
      <c r="BU806" s="3"/>
      <c r="BV806" s="4"/>
      <c r="BW806" s="3"/>
      <c r="BX806" s="4"/>
      <c r="BY806" s="3"/>
      <c r="BZ806" s="4"/>
      <c r="CA806" s="3"/>
      <c r="CB806" s="4"/>
      <c r="CC806" s="3"/>
      <c r="CD806" s="4"/>
    </row>
    <row r="807">
      <c r="A807" s="3"/>
      <c r="B807" s="4"/>
      <c r="C807" s="3"/>
      <c r="D807" s="4"/>
      <c r="E807" s="3"/>
      <c r="F807" s="4"/>
      <c r="G807" s="3"/>
      <c r="H807" s="4"/>
      <c r="I807" s="3"/>
      <c r="J807" s="4"/>
      <c r="K807" s="3"/>
      <c r="L807" s="4"/>
      <c r="M807" s="3"/>
      <c r="N807" s="4"/>
      <c r="O807" s="3"/>
      <c r="P807" s="4"/>
      <c r="Q807" s="3"/>
      <c r="R807" s="4"/>
      <c r="S807" s="3"/>
      <c r="T807" s="4"/>
      <c r="U807" s="3"/>
      <c r="V807" s="4"/>
      <c r="W807" s="3"/>
      <c r="X807" s="4"/>
      <c r="Y807" s="3"/>
      <c r="Z807" s="4"/>
      <c r="AA807" s="3"/>
      <c r="AB807" s="4"/>
      <c r="AC807" s="3"/>
      <c r="AD807" s="4"/>
      <c r="AE807" s="3"/>
      <c r="AF807" s="4"/>
      <c r="AG807" s="3"/>
      <c r="AH807" s="4"/>
      <c r="AI807" s="3"/>
      <c r="AJ807" s="4"/>
      <c r="AK807" s="3"/>
      <c r="AL807" s="4"/>
      <c r="AM807" s="3"/>
      <c r="AN807" s="4"/>
      <c r="AO807" s="3"/>
      <c r="AP807" s="4"/>
      <c r="AQ807" s="3"/>
      <c r="AR807" s="4"/>
      <c r="AS807" s="3"/>
      <c r="AT807" s="4"/>
      <c r="AU807" s="3"/>
      <c r="AV807" s="4"/>
      <c r="AW807" s="3"/>
      <c r="AX807" s="4"/>
      <c r="AY807" s="3"/>
      <c r="AZ807" s="4"/>
      <c r="BA807" s="3"/>
      <c r="BB807" s="4"/>
      <c r="BC807" s="3"/>
      <c r="BD807" s="4"/>
      <c r="BE807" s="3"/>
      <c r="BF807" s="4"/>
      <c r="BG807" s="3"/>
      <c r="BH807" s="4"/>
      <c r="BI807" s="3"/>
      <c r="BJ807" s="4"/>
      <c r="BK807" s="3"/>
      <c r="BL807" s="4"/>
      <c r="BM807" s="3"/>
      <c r="BN807" s="4"/>
      <c r="BO807" s="3"/>
      <c r="BP807" s="4"/>
      <c r="BQ807" s="3"/>
      <c r="BR807" s="4"/>
      <c r="BS807" s="3"/>
      <c r="BT807" s="4"/>
      <c r="BU807" s="3"/>
      <c r="BV807" s="4"/>
      <c r="BW807" s="3"/>
      <c r="BX807" s="4"/>
      <c r="BY807" s="3"/>
      <c r="BZ807" s="4"/>
      <c r="CA807" s="3"/>
      <c r="CB807" s="4"/>
      <c r="CC807" s="3"/>
      <c r="CD807" s="4"/>
    </row>
    <row r="808">
      <c r="A808" s="3"/>
      <c r="B808" s="4"/>
      <c r="C808" s="3"/>
      <c r="D808" s="4"/>
      <c r="E808" s="3"/>
      <c r="F808" s="4"/>
      <c r="G808" s="3"/>
      <c r="H808" s="4"/>
      <c r="I808" s="3"/>
      <c r="J808" s="4"/>
      <c r="K808" s="3"/>
      <c r="L808" s="4"/>
      <c r="M808" s="3"/>
      <c r="N808" s="4"/>
      <c r="O808" s="3"/>
      <c r="P808" s="4"/>
      <c r="Q808" s="3"/>
      <c r="R808" s="4"/>
      <c r="S808" s="3"/>
      <c r="T808" s="4"/>
      <c r="U808" s="3"/>
      <c r="V808" s="4"/>
      <c r="W808" s="3"/>
      <c r="X808" s="4"/>
      <c r="Y808" s="3"/>
      <c r="Z808" s="4"/>
      <c r="AA808" s="3"/>
      <c r="AB808" s="4"/>
      <c r="AC808" s="3"/>
      <c r="AD808" s="4"/>
      <c r="AE808" s="3"/>
      <c r="AF808" s="4"/>
      <c r="AG808" s="3"/>
      <c r="AH808" s="4"/>
      <c r="AI808" s="3"/>
      <c r="AJ808" s="4"/>
      <c r="AK808" s="3"/>
      <c r="AL808" s="4"/>
      <c r="AM808" s="3"/>
      <c r="AN808" s="4"/>
      <c r="AO808" s="3"/>
      <c r="AP808" s="4"/>
      <c r="AQ808" s="3"/>
      <c r="AR808" s="4"/>
      <c r="AS808" s="3"/>
      <c r="AT808" s="4"/>
      <c r="AU808" s="3"/>
      <c r="AV808" s="4"/>
      <c r="AW808" s="3"/>
      <c r="AX808" s="4"/>
      <c r="AY808" s="3"/>
      <c r="AZ808" s="4"/>
      <c r="BA808" s="3"/>
      <c r="BB808" s="4"/>
      <c r="BC808" s="3"/>
      <c r="BD808" s="4"/>
      <c r="BE808" s="3"/>
      <c r="BF808" s="4"/>
      <c r="BG808" s="3"/>
      <c r="BH808" s="4"/>
      <c r="BI808" s="3"/>
      <c r="BJ808" s="4"/>
      <c r="BK808" s="3"/>
      <c r="BL808" s="4"/>
      <c r="BM808" s="3"/>
      <c r="BN808" s="4"/>
      <c r="BO808" s="3"/>
      <c r="BP808" s="4"/>
      <c r="BQ808" s="3"/>
      <c r="BR808" s="4"/>
      <c r="BS808" s="3"/>
      <c r="BT808" s="4"/>
      <c r="BU808" s="3"/>
      <c r="BV808" s="4"/>
      <c r="BW808" s="3"/>
      <c r="BX808" s="4"/>
      <c r="BY808" s="3"/>
      <c r="BZ808" s="4"/>
      <c r="CA808" s="3"/>
      <c r="CB808" s="4"/>
      <c r="CC808" s="3"/>
      <c r="CD808" s="4"/>
    </row>
    <row r="809">
      <c r="A809" s="3"/>
      <c r="B809" s="4"/>
      <c r="C809" s="3"/>
      <c r="D809" s="4"/>
      <c r="E809" s="3"/>
      <c r="F809" s="4"/>
      <c r="G809" s="3"/>
      <c r="H809" s="4"/>
      <c r="I809" s="3"/>
      <c r="J809" s="4"/>
      <c r="K809" s="3"/>
      <c r="L809" s="4"/>
      <c r="M809" s="3"/>
      <c r="N809" s="4"/>
      <c r="O809" s="3"/>
      <c r="P809" s="4"/>
      <c r="Q809" s="3"/>
      <c r="R809" s="4"/>
      <c r="S809" s="3"/>
      <c r="T809" s="4"/>
      <c r="U809" s="3"/>
      <c r="V809" s="4"/>
      <c r="W809" s="3"/>
      <c r="X809" s="4"/>
      <c r="Y809" s="3"/>
      <c r="Z809" s="4"/>
      <c r="AA809" s="3"/>
      <c r="AB809" s="4"/>
      <c r="AC809" s="3"/>
      <c r="AD809" s="4"/>
      <c r="AE809" s="3"/>
      <c r="AF809" s="4"/>
      <c r="AG809" s="3"/>
      <c r="AH809" s="4"/>
      <c r="AI809" s="3"/>
      <c r="AJ809" s="4"/>
      <c r="AK809" s="3"/>
      <c r="AL809" s="4"/>
      <c r="AM809" s="3"/>
      <c r="AN809" s="4"/>
      <c r="AO809" s="3"/>
      <c r="AP809" s="4"/>
      <c r="AQ809" s="3"/>
      <c r="AR809" s="4"/>
      <c r="AS809" s="3"/>
      <c r="AT809" s="4"/>
      <c r="AU809" s="3"/>
      <c r="AV809" s="4"/>
      <c r="AW809" s="3"/>
      <c r="AX809" s="4"/>
      <c r="AY809" s="3"/>
      <c r="AZ809" s="4"/>
      <c r="BA809" s="3"/>
      <c r="BB809" s="4"/>
      <c r="BC809" s="3"/>
      <c r="BD809" s="4"/>
      <c r="BE809" s="3"/>
      <c r="BF809" s="4"/>
      <c r="BG809" s="3"/>
      <c r="BH809" s="4"/>
      <c r="BI809" s="3"/>
      <c r="BJ809" s="4"/>
      <c r="BK809" s="3"/>
      <c r="BL809" s="4"/>
      <c r="BM809" s="3"/>
      <c r="BN809" s="4"/>
      <c r="BO809" s="3"/>
      <c r="BP809" s="4"/>
      <c r="BQ809" s="3"/>
      <c r="BR809" s="4"/>
      <c r="BS809" s="3"/>
      <c r="BT809" s="4"/>
      <c r="BU809" s="3"/>
      <c r="BV809" s="4"/>
      <c r="BW809" s="3"/>
      <c r="BX809" s="4"/>
      <c r="BY809" s="3"/>
      <c r="BZ809" s="4"/>
      <c r="CA809" s="3"/>
      <c r="CB809" s="4"/>
      <c r="CC809" s="3"/>
      <c r="CD809" s="4"/>
    </row>
    <row r="810">
      <c r="A810" s="3"/>
      <c r="B810" s="4"/>
      <c r="C810" s="3"/>
      <c r="D810" s="4"/>
      <c r="E810" s="3"/>
      <c r="F810" s="4"/>
      <c r="G810" s="3"/>
      <c r="H810" s="4"/>
      <c r="I810" s="3"/>
      <c r="J810" s="4"/>
      <c r="K810" s="3"/>
      <c r="L810" s="4"/>
      <c r="M810" s="3"/>
      <c r="N810" s="4"/>
      <c r="O810" s="3"/>
      <c r="P810" s="4"/>
      <c r="Q810" s="3"/>
      <c r="R810" s="4"/>
      <c r="S810" s="3"/>
      <c r="T810" s="4"/>
      <c r="U810" s="3"/>
      <c r="V810" s="4"/>
      <c r="W810" s="3"/>
      <c r="X810" s="4"/>
      <c r="Y810" s="3"/>
      <c r="Z810" s="4"/>
      <c r="AA810" s="3"/>
      <c r="AB810" s="4"/>
      <c r="AC810" s="3"/>
      <c r="AD810" s="4"/>
      <c r="AE810" s="3"/>
      <c r="AF810" s="4"/>
      <c r="AG810" s="3"/>
      <c r="AH810" s="4"/>
      <c r="AI810" s="3"/>
      <c r="AJ810" s="4"/>
      <c r="AK810" s="3"/>
      <c r="AL810" s="4"/>
      <c r="AM810" s="3"/>
      <c r="AN810" s="4"/>
      <c r="AO810" s="3"/>
      <c r="AP810" s="4"/>
      <c r="AQ810" s="3"/>
      <c r="AR810" s="4"/>
      <c r="AS810" s="3"/>
      <c r="AT810" s="4"/>
      <c r="AU810" s="3"/>
      <c r="AV810" s="4"/>
      <c r="AW810" s="3"/>
      <c r="AX810" s="4"/>
      <c r="AY810" s="3"/>
      <c r="AZ810" s="4"/>
      <c r="BA810" s="3"/>
      <c r="BB810" s="4"/>
      <c r="BC810" s="3"/>
      <c r="BD810" s="4"/>
      <c r="BE810" s="3"/>
      <c r="BF810" s="4"/>
      <c r="BG810" s="3"/>
      <c r="BH810" s="4"/>
      <c r="BI810" s="3"/>
      <c r="BJ810" s="4"/>
      <c r="BK810" s="3"/>
      <c r="BL810" s="4"/>
      <c r="BM810" s="3"/>
      <c r="BN810" s="4"/>
      <c r="BO810" s="3"/>
      <c r="BP810" s="4"/>
      <c r="BQ810" s="3"/>
      <c r="BR810" s="4"/>
      <c r="BS810" s="3"/>
      <c r="BT810" s="4"/>
      <c r="BU810" s="3"/>
      <c r="BV810" s="4"/>
      <c r="BW810" s="3"/>
      <c r="BX810" s="4"/>
      <c r="BY810" s="3"/>
      <c r="BZ810" s="4"/>
      <c r="CA810" s="3"/>
      <c r="CB810" s="4"/>
      <c r="CC810" s="3"/>
      <c r="CD810" s="4"/>
    </row>
    <row r="811">
      <c r="A811" s="3"/>
      <c r="B811" s="4"/>
      <c r="C811" s="3"/>
      <c r="D811" s="4"/>
      <c r="E811" s="3"/>
      <c r="F811" s="4"/>
      <c r="G811" s="3"/>
      <c r="H811" s="4"/>
      <c r="I811" s="3"/>
      <c r="J811" s="4"/>
      <c r="K811" s="3"/>
      <c r="L811" s="4"/>
      <c r="M811" s="3"/>
      <c r="N811" s="4"/>
      <c r="O811" s="3"/>
      <c r="P811" s="4"/>
      <c r="Q811" s="3"/>
      <c r="R811" s="4"/>
      <c r="S811" s="3"/>
      <c r="T811" s="4"/>
      <c r="U811" s="3"/>
      <c r="V811" s="4"/>
      <c r="W811" s="3"/>
      <c r="X811" s="4"/>
      <c r="Y811" s="3"/>
      <c r="Z811" s="4"/>
      <c r="AA811" s="3"/>
      <c r="AB811" s="4"/>
      <c r="AC811" s="3"/>
      <c r="AD811" s="4"/>
      <c r="AE811" s="3"/>
      <c r="AF811" s="4"/>
      <c r="AG811" s="3"/>
      <c r="AH811" s="4"/>
      <c r="AI811" s="3"/>
      <c r="AJ811" s="4"/>
      <c r="AK811" s="3"/>
      <c r="AL811" s="4"/>
      <c r="AM811" s="3"/>
      <c r="AN811" s="4"/>
      <c r="AO811" s="3"/>
      <c r="AP811" s="4"/>
      <c r="AQ811" s="3"/>
      <c r="AR811" s="4"/>
      <c r="AS811" s="3"/>
      <c r="AT811" s="4"/>
      <c r="AU811" s="3"/>
      <c r="AV811" s="4"/>
      <c r="AW811" s="3"/>
      <c r="AX811" s="4"/>
      <c r="AY811" s="3"/>
      <c r="AZ811" s="4"/>
      <c r="BA811" s="3"/>
      <c r="BB811" s="4"/>
      <c r="BC811" s="3"/>
      <c r="BD811" s="4"/>
      <c r="BE811" s="3"/>
      <c r="BF811" s="4"/>
      <c r="BG811" s="3"/>
      <c r="BH811" s="4"/>
      <c r="BI811" s="3"/>
      <c r="BJ811" s="4"/>
      <c r="BK811" s="3"/>
      <c r="BL811" s="4"/>
      <c r="BM811" s="3"/>
      <c r="BN811" s="4"/>
      <c r="BO811" s="3"/>
      <c r="BP811" s="4"/>
      <c r="BQ811" s="3"/>
      <c r="BR811" s="4"/>
      <c r="BS811" s="3"/>
      <c r="BT811" s="4"/>
      <c r="BU811" s="3"/>
      <c r="BV811" s="4"/>
      <c r="BW811" s="3"/>
      <c r="BX811" s="4"/>
      <c r="BY811" s="3"/>
      <c r="BZ811" s="4"/>
      <c r="CA811" s="3"/>
      <c r="CB811" s="4"/>
      <c r="CC811" s="3"/>
      <c r="CD811" s="4"/>
    </row>
    <row r="812">
      <c r="A812" s="3"/>
      <c r="B812" s="4"/>
      <c r="C812" s="3"/>
      <c r="D812" s="4"/>
      <c r="E812" s="3"/>
      <c r="F812" s="4"/>
      <c r="G812" s="3"/>
      <c r="H812" s="4"/>
      <c r="I812" s="3"/>
      <c r="J812" s="4"/>
      <c r="K812" s="3"/>
      <c r="L812" s="4"/>
      <c r="M812" s="3"/>
      <c r="N812" s="4"/>
      <c r="O812" s="3"/>
      <c r="P812" s="4"/>
      <c r="Q812" s="3"/>
      <c r="R812" s="4"/>
      <c r="S812" s="3"/>
      <c r="T812" s="4"/>
      <c r="U812" s="3"/>
      <c r="V812" s="4"/>
      <c r="W812" s="3"/>
      <c r="X812" s="4"/>
      <c r="Y812" s="3"/>
      <c r="Z812" s="4"/>
      <c r="AA812" s="3"/>
      <c r="AB812" s="4"/>
      <c r="AC812" s="3"/>
      <c r="AD812" s="4"/>
      <c r="AE812" s="3"/>
      <c r="AF812" s="4"/>
      <c r="AG812" s="3"/>
      <c r="AH812" s="4"/>
      <c r="AI812" s="3"/>
      <c r="AJ812" s="4"/>
      <c r="AK812" s="3"/>
      <c r="AL812" s="4"/>
      <c r="AM812" s="3"/>
      <c r="AN812" s="4"/>
      <c r="AO812" s="3"/>
      <c r="AP812" s="4"/>
      <c r="AQ812" s="3"/>
      <c r="AR812" s="4"/>
      <c r="AS812" s="3"/>
      <c r="AT812" s="4"/>
      <c r="AU812" s="3"/>
      <c r="AV812" s="4"/>
      <c r="AW812" s="3"/>
      <c r="AX812" s="4"/>
      <c r="AY812" s="3"/>
      <c r="AZ812" s="4"/>
      <c r="BA812" s="3"/>
      <c r="BB812" s="4"/>
      <c r="BC812" s="3"/>
      <c r="BD812" s="4"/>
      <c r="BE812" s="3"/>
      <c r="BF812" s="4"/>
      <c r="BG812" s="3"/>
      <c r="BH812" s="4"/>
      <c r="BI812" s="3"/>
      <c r="BJ812" s="4"/>
      <c r="BK812" s="3"/>
      <c r="BL812" s="4"/>
      <c r="BM812" s="3"/>
      <c r="BN812" s="4"/>
      <c r="BO812" s="3"/>
      <c r="BP812" s="4"/>
      <c r="BQ812" s="3"/>
      <c r="BR812" s="4"/>
      <c r="BS812" s="3"/>
      <c r="BT812" s="4"/>
      <c r="BU812" s="3"/>
      <c r="BV812" s="4"/>
      <c r="BW812" s="3"/>
      <c r="BX812" s="4"/>
      <c r="BY812" s="3"/>
      <c r="BZ812" s="4"/>
      <c r="CA812" s="3"/>
      <c r="CB812" s="4"/>
      <c r="CC812" s="3"/>
      <c r="CD812" s="4"/>
    </row>
    <row r="813">
      <c r="A813" s="3"/>
      <c r="B813" s="4"/>
      <c r="C813" s="3"/>
      <c r="D813" s="4"/>
      <c r="E813" s="3"/>
      <c r="F813" s="4"/>
      <c r="G813" s="3"/>
      <c r="H813" s="4"/>
      <c r="I813" s="3"/>
      <c r="J813" s="4"/>
      <c r="K813" s="3"/>
      <c r="L813" s="4"/>
      <c r="M813" s="3"/>
      <c r="N813" s="4"/>
      <c r="O813" s="3"/>
      <c r="P813" s="4"/>
      <c r="Q813" s="3"/>
      <c r="R813" s="4"/>
      <c r="S813" s="3"/>
      <c r="T813" s="4"/>
      <c r="U813" s="3"/>
      <c r="V813" s="4"/>
      <c r="W813" s="3"/>
      <c r="X813" s="4"/>
      <c r="Y813" s="3"/>
      <c r="Z813" s="4"/>
      <c r="AA813" s="3"/>
      <c r="AB813" s="4"/>
      <c r="AC813" s="3"/>
      <c r="AD813" s="4"/>
      <c r="AE813" s="3"/>
      <c r="AF813" s="4"/>
      <c r="AG813" s="3"/>
      <c r="AH813" s="4"/>
      <c r="AI813" s="3"/>
      <c r="AJ813" s="4"/>
      <c r="AK813" s="3"/>
      <c r="AL813" s="4"/>
      <c r="AM813" s="3"/>
      <c r="AN813" s="4"/>
      <c r="AO813" s="3"/>
      <c r="AP813" s="4"/>
      <c r="AQ813" s="3"/>
      <c r="AR813" s="4"/>
      <c r="AS813" s="3"/>
      <c r="AT813" s="4"/>
      <c r="AU813" s="3"/>
      <c r="AV813" s="4"/>
      <c r="AW813" s="3"/>
      <c r="AX813" s="4"/>
      <c r="AY813" s="3"/>
      <c r="AZ813" s="4"/>
      <c r="BA813" s="3"/>
      <c r="BB813" s="4"/>
      <c r="BC813" s="3"/>
      <c r="BD813" s="4"/>
      <c r="BE813" s="3"/>
      <c r="BF813" s="4"/>
      <c r="BG813" s="3"/>
      <c r="BH813" s="4"/>
      <c r="BI813" s="3"/>
      <c r="BJ813" s="4"/>
      <c r="BK813" s="3"/>
      <c r="BL813" s="4"/>
      <c r="BM813" s="3"/>
      <c r="BN813" s="4"/>
      <c r="BO813" s="3"/>
      <c r="BP813" s="4"/>
      <c r="BQ813" s="3"/>
      <c r="BR813" s="4"/>
      <c r="BS813" s="3"/>
      <c r="BT813" s="4"/>
      <c r="BU813" s="3"/>
      <c r="BV813" s="4"/>
      <c r="BW813" s="3"/>
      <c r="BX813" s="4"/>
      <c r="BY813" s="3"/>
      <c r="BZ813" s="4"/>
      <c r="CA813" s="3"/>
      <c r="CB813" s="4"/>
      <c r="CC813" s="3"/>
      <c r="CD813" s="4"/>
    </row>
    <row r="814">
      <c r="A814" s="3"/>
      <c r="B814" s="4"/>
      <c r="C814" s="3"/>
      <c r="D814" s="4"/>
      <c r="E814" s="3"/>
      <c r="F814" s="4"/>
      <c r="G814" s="3"/>
      <c r="H814" s="4"/>
      <c r="I814" s="3"/>
      <c r="J814" s="4"/>
      <c r="K814" s="3"/>
      <c r="L814" s="4"/>
      <c r="M814" s="3"/>
      <c r="N814" s="4"/>
      <c r="O814" s="3"/>
      <c r="P814" s="4"/>
      <c r="Q814" s="3"/>
      <c r="R814" s="4"/>
      <c r="S814" s="3"/>
      <c r="T814" s="4"/>
      <c r="U814" s="3"/>
      <c r="V814" s="4"/>
      <c r="W814" s="3"/>
      <c r="X814" s="4"/>
      <c r="Y814" s="3"/>
      <c r="Z814" s="4"/>
      <c r="AA814" s="3"/>
      <c r="AB814" s="4"/>
      <c r="AC814" s="3"/>
      <c r="AD814" s="4"/>
      <c r="AE814" s="3"/>
      <c r="AF814" s="4"/>
      <c r="AG814" s="3"/>
      <c r="AH814" s="4"/>
      <c r="AI814" s="3"/>
      <c r="AJ814" s="4"/>
      <c r="AK814" s="3"/>
      <c r="AL814" s="4"/>
      <c r="AM814" s="3"/>
      <c r="AN814" s="4"/>
      <c r="AO814" s="3"/>
      <c r="AP814" s="4"/>
      <c r="AQ814" s="3"/>
      <c r="AR814" s="4"/>
      <c r="AS814" s="3"/>
      <c r="AT814" s="4"/>
      <c r="AU814" s="3"/>
      <c r="AV814" s="4"/>
      <c r="AW814" s="3"/>
      <c r="AX814" s="4"/>
      <c r="AY814" s="3"/>
      <c r="AZ814" s="4"/>
      <c r="BA814" s="3"/>
      <c r="BB814" s="4"/>
      <c r="BC814" s="3"/>
      <c r="BD814" s="4"/>
      <c r="BE814" s="3"/>
      <c r="BF814" s="4"/>
      <c r="BG814" s="3"/>
      <c r="BH814" s="4"/>
      <c r="BI814" s="3"/>
      <c r="BJ814" s="4"/>
      <c r="BK814" s="3"/>
      <c r="BL814" s="4"/>
      <c r="BM814" s="3"/>
      <c r="BN814" s="4"/>
      <c r="BO814" s="3"/>
      <c r="BP814" s="4"/>
      <c r="BQ814" s="3"/>
      <c r="BR814" s="4"/>
      <c r="BS814" s="3"/>
      <c r="BT814" s="4"/>
      <c r="BU814" s="3"/>
      <c r="BV814" s="4"/>
      <c r="BW814" s="3"/>
      <c r="BX814" s="4"/>
      <c r="BY814" s="3"/>
      <c r="BZ814" s="4"/>
      <c r="CA814" s="3"/>
      <c r="CB814" s="4"/>
      <c r="CC814" s="3"/>
      <c r="CD814" s="4"/>
    </row>
    <row r="815">
      <c r="A815" s="3"/>
      <c r="B815" s="4"/>
      <c r="C815" s="3"/>
      <c r="D815" s="4"/>
      <c r="E815" s="3"/>
      <c r="F815" s="4"/>
      <c r="G815" s="3"/>
      <c r="H815" s="4"/>
      <c r="I815" s="3"/>
      <c r="J815" s="4"/>
      <c r="K815" s="3"/>
      <c r="L815" s="4"/>
      <c r="M815" s="3"/>
      <c r="N815" s="4"/>
      <c r="O815" s="3"/>
      <c r="P815" s="4"/>
      <c r="Q815" s="3"/>
      <c r="R815" s="4"/>
      <c r="S815" s="3"/>
      <c r="T815" s="4"/>
      <c r="U815" s="3"/>
      <c r="V815" s="4"/>
      <c r="W815" s="3"/>
      <c r="X815" s="4"/>
      <c r="Y815" s="3"/>
      <c r="Z815" s="4"/>
      <c r="AA815" s="3"/>
      <c r="AB815" s="4"/>
      <c r="AC815" s="3"/>
      <c r="AD815" s="4"/>
      <c r="AE815" s="3"/>
      <c r="AF815" s="4"/>
      <c r="AG815" s="3"/>
      <c r="AH815" s="4"/>
      <c r="AI815" s="3"/>
      <c r="AJ815" s="4"/>
      <c r="AK815" s="3"/>
      <c r="AL815" s="4"/>
      <c r="AM815" s="3"/>
      <c r="AN815" s="4"/>
      <c r="AO815" s="3"/>
      <c r="AP815" s="4"/>
      <c r="AQ815" s="3"/>
      <c r="AR815" s="4"/>
      <c r="AS815" s="3"/>
      <c r="AT815" s="4"/>
      <c r="AU815" s="3"/>
      <c r="AV815" s="4"/>
      <c r="AW815" s="3"/>
      <c r="AX815" s="4"/>
      <c r="AY815" s="3"/>
      <c r="AZ815" s="4"/>
      <c r="BA815" s="3"/>
      <c r="BB815" s="4"/>
      <c r="BC815" s="3"/>
      <c r="BD815" s="4"/>
      <c r="BE815" s="3"/>
      <c r="BF815" s="4"/>
      <c r="BG815" s="3"/>
      <c r="BH815" s="4"/>
      <c r="BI815" s="3"/>
      <c r="BJ815" s="4"/>
      <c r="BK815" s="3"/>
      <c r="BL815" s="4"/>
      <c r="BM815" s="3"/>
      <c r="BN815" s="4"/>
      <c r="BO815" s="3"/>
      <c r="BP815" s="4"/>
      <c r="BQ815" s="3"/>
      <c r="BR815" s="4"/>
      <c r="BS815" s="3"/>
      <c r="BT815" s="4"/>
      <c r="BU815" s="3"/>
      <c r="BV815" s="4"/>
      <c r="BW815" s="3"/>
      <c r="BX815" s="4"/>
      <c r="BY815" s="3"/>
      <c r="BZ815" s="4"/>
      <c r="CA815" s="3"/>
      <c r="CB815" s="4"/>
      <c r="CC815" s="3"/>
      <c r="CD815" s="4"/>
    </row>
    <row r="816">
      <c r="A816" s="3"/>
      <c r="B816" s="4"/>
      <c r="C816" s="3"/>
      <c r="D816" s="4"/>
      <c r="E816" s="3"/>
      <c r="F816" s="4"/>
      <c r="G816" s="3"/>
      <c r="H816" s="4"/>
      <c r="I816" s="3"/>
      <c r="J816" s="4"/>
      <c r="K816" s="3"/>
      <c r="L816" s="4"/>
      <c r="M816" s="3"/>
      <c r="N816" s="4"/>
      <c r="O816" s="3"/>
      <c r="P816" s="4"/>
      <c r="Q816" s="3"/>
      <c r="R816" s="4"/>
      <c r="S816" s="3"/>
      <c r="T816" s="4"/>
      <c r="U816" s="3"/>
      <c r="V816" s="4"/>
      <c r="W816" s="3"/>
      <c r="X816" s="4"/>
      <c r="Y816" s="3"/>
      <c r="Z816" s="4"/>
      <c r="AA816" s="3"/>
      <c r="AB816" s="4"/>
      <c r="AC816" s="3"/>
      <c r="AD816" s="4"/>
      <c r="AE816" s="3"/>
      <c r="AF816" s="4"/>
      <c r="AG816" s="3"/>
      <c r="AH816" s="4"/>
      <c r="AI816" s="3"/>
      <c r="AJ816" s="4"/>
      <c r="AK816" s="3"/>
      <c r="AL816" s="4"/>
      <c r="AM816" s="3"/>
      <c r="AN816" s="4"/>
      <c r="AO816" s="3"/>
      <c r="AP816" s="4"/>
      <c r="AQ816" s="3"/>
      <c r="AR816" s="4"/>
      <c r="AS816" s="3"/>
      <c r="AT816" s="4"/>
      <c r="AU816" s="3"/>
      <c r="AV816" s="4"/>
      <c r="AW816" s="3"/>
      <c r="AX816" s="4"/>
      <c r="AY816" s="3"/>
      <c r="AZ816" s="4"/>
      <c r="BA816" s="3"/>
      <c r="BB816" s="4"/>
      <c r="BC816" s="3"/>
      <c r="BD816" s="4"/>
      <c r="BE816" s="3"/>
      <c r="BF816" s="4"/>
      <c r="BG816" s="3"/>
      <c r="BH816" s="4"/>
      <c r="BI816" s="3"/>
      <c r="BJ816" s="4"/>
      <c r="BK816" s="3"/>
      <c r="BL816" s="4"/>
      <c r="BM816" s="3"/>
      <c r="BN816" s="4"/>
      <c r="BO816" s="3"/>
      <c r="BP816" s="4"/>
      <c r="BQ816" s="3"/>
      <c r="BR816" s="4"/>
      <c r="BS816" s="3"/>
      <c r="BT816" s="4"/>
      <c r="BU816" s="3"/>
      <c r="BV816" s="4"/>
      <c r="BW816" s="3"/>
      <c r="BX816" s="4"/>
      <c r="BY816" s="3"/>
      <c r="BZ816" s="4"/>
      <c r="CA816" s="3"/>
      <c r="CB816" s="4"/>
      <c r="CC816" s="3"/>
      <c r="CD816" s="4"/>
    </row>
    <row r="817">
      <c r="A817" s="3"/>
      <c r="B817" s="4"/>
      <c r="C817" s="3"/>
      <c r="D817" s="4"/>
      <c r="E817" s="3"/>
      <c r="F817" s="4"/>
      <c r="G817" s="3"/>
      <c r="H817" s="4"/>
      <c r="I817" s="3"/>
      <c r="J817" s="4"/>
      <c r="K817" s="3"/>
      <c r="L817" s="4"/>
      <c r="M817" s="3"/>
      <c r="N817" s="4"/>
      <c r="O817" s="3"/>
      <c r="P817" s="4"/>
      <c r="Q817" s="3"/>
      <c r="R817" s="4"/>
      <c r="S817" s="3"/>
      <c r="T817" s="4"/>
      <c r="U817" s="3"/>
      <c r="V817" s="4"/>
      <c r="W817" s="3"/>
      <c r="X817" s="4"/>
      <c r="Y817" s="3"/>
      <c r="Z817" s="4"/>
      <c r="AA817" s="3"/>
      <c r="AB817" s="4"/>
      <c r="AC817" s="3"/>
      <c r="AD817" s="4"/>
      <c r="AE817" s="3"/>
      <c r="AF817" s="4"/>
      <c r="AG817" s="3"/>
      <c r="AH817" s="4"/>
      <c r="AI817" s="3"/>
      <c r="AJ817" s="4"/>
      <c r="AK817" s="3"/>
      <c r="AL817" s="4"/>
      <c r="AM817" s="3"/>
      <c r="AN817" s="4"/>
      <c r="AO817" s="3"/>
      <c r="AP817" s="4"/>
      <c r="AQ817" s="3"/>
      <c r="AR817" s="4"/>
      <c r="AS817" s="3"/>
      <c r="AT817" s="4"/>
      <c r="AU817" s="3"/>
      <c r="AV817" s="4"/>
      <c r="AW817" s="3"/>
      <c r="AX817" s="4"/>
      <c r="AY817" s="3"/>
      <c r="AZ817" s="4"/>
      <c r="BA817" s="3"/>
      <c r="BB817" s="4"/>
      <c r="BC817" s="3"/>
      <c r="BD817" s="4"/>
      <c r="BE817" s="3"/>
      <c r="BF817" s="4"/>
      <c r="BG817" s="3"/>
      <c r="BH817" s="4"/>
      <c r="BI817" s="3"/>
      <c r="BJ817" s="4"/>
      <c r="BK817" s="3"/>
      <c r="BL817" s="4"/>
      <c r="BM817" s="3"/>
      <c r="BN817" s="4"/>
      <c r="BO817" s="3"/>
      <c r="BP817" s="4"/>
      <c r="BQ817" s="3"/>
      <c r="BR817" s="4"/>
      <c r="BS817" s="3"/>
      <c r="BT817" s="4"/>
      <c r="BU817" s="3"/>
      <c r="BV817" s="4"/>
      <c r="BW817" s="3"/>
      <c r="BX817" s="4"/>
      <c r="BY817" s="3"/>
      <c r="BZ817" s="4"/>
      <c r="CA817" s="3"/>
      <c r="CB817" s="4"/>
      <c r="CC817" s="3"/>
      <c r="CD817" s="4"/>
    </row>
    <row r="818">
      <c r="A818" s="3"/>
      <c r="B818" s="4"/>
      <c r="C818" s="3"/>
      <c r="D818" s="4"/>
      <c r="E818" s="3"/>
      <c r="F818" s="4"/>
      <c r="G818" s="3"/>
      <c r="H818" s="4"/>
      <c r="I818" s="3"/>
      <c r="J818" s="4"/>
      <c r="K818" s="3"/>
      <c r="L818" s="4"/>
      <c r="M818" s="3"/>
      <c r="N818" s="4"/>
      <c r="O818" s="3"/>
      <c r="P818" s="4"/>
      <c r="Q818" s="3"/>
      <c r="R818" s="4"/>
      <c r="S818" s="3"/>
      <c r="T818" s="4"/>
      <c r="U818" s="3"/>
      <c r="V818" s="4"/>
      <c r="W818" s="3"/>
      <c r="X818" s="4"/>
      <c r="Y818" s="3"/>
      <c r="Z818" s="4"/>
      <c r="AA818" s="3"/>
      <c r="AB818" s="4"/>
      <c r="AC818" s="3"/>
      <c r="AD818" s="4"/>
      <c r="AE818" s="3"/>
      <c r="AF818" s="4"/>
      <c r="AG818" s="3"/>
      <c r="AH818" s="4"/>
      <c r="AI818" s="3"/>
      <c r="AJ818" s="4"/>
      <c r="AK818" s="3"/>
      <c r="AL818" s="4"/>
      <c r="AM818" s="3"/>
      <c r="AN818" s="4"/>
      <c r="AO818" s="3"/>
      <c r="AP818" s="4"/>
      <c r="AQ818" s="3"/>
      <c r="AR818" s="4"/>
      <c r="AS818" s="3"/>
      <c r="AT818" s="4"/>
      <c r="AU818" s="3"/>
      <c r="AV818" s="4"/>
      <c r="AW818" s="3"/>
      <c r="AX818" s="4"/>
      <c r="AY818" s="3"/>
      <c r="AZ818" s="4"/>
      <c r="BA818" s="3"/>
      <c r="BB818" s="4"/>
      <c r="BC818" s="3"/>
      <c r="BD818" s="4"/>
      <c r="BE818" s="3"/>
      <c r="BF818" s="4"/>
      <c r="BG818" s="3"/>
      <c r="BH818" s="4"/>
      <c r="BI818" s="3"/>
      <c r="BJ818" s="4"/>
      <c r="BK818" s="3"/>
      <c r="BL818" s="4"/>
      <c r="BM818" s="3"/>
      <c r="BN818" s="4"/>
      <c r="BO818" s="3"/>
      <c r="BP818" s="4"/>
      <c r="BQ818" s="3"/>
      <c r="BR818" s="4"/>
      <c r="BS818" s="3"/>
      <c r="BT818" s="4"/>
      <c r="BU818" s="3"/>
      <c r="BV818" s="4"/>
      <c r="BW818" s="3"/>
      <c r="BX818" s="4"/>
      <c r="BY818" s="3"/>
      <c r="BZ818" s="4"/>
      <c r="CA818" s="3"/>
      <c r="CB818" s="4"/>
      <c r="CC818" s="3"/>
      <c r="CD818" s="4"/>
    </row>
    <row r="819">
      <c r="A819" s="3"/>
      <c r="B819" s="4"/>
      <c r="C819" s="3"/>
      <c r="D819" s="4"/>
      <c r="E819" s="3"/>
      <c r="F819" s="4"/>
      <c r="G819" s="3"/>
      <c r="H819" s="4"/>
      <c r="I819" s="3"/>
      <c r="J819" s="4"/>
      <c r="K819" s="3"/>
      <c r="L819" s="4"/>
      <c r="M819" s="3"/>
      <c r="N819" s="4"/>
      <c r="O819" s="3"/>
      <c r="P819" s="4"/>
      <c r="Q819" s="3"/>
      <c r="R819" s="4"/>
      <c r="S819" s="3"/>
      <c r="T819" s="4"/>
      <c r="U819" s="3"/>
      <c r="V819" s="4"/>
      <c r="W819" s="3"/>
      <c r="X819" s="4"/>
      <c r="Y819" s="3"/>
      <c r="Z819" s="4"/>
      <c r="AA819" s="3"/>
      <c r="AB819" s="4"/>
      <c r="AC819" s="3"/>
      <c r="AD819" s="4"/>
      <c r="AE819" s="3"/>
      <c r="AF819" s="4"/>
      <c r="AG819" s="3"/>
      <c r="AH819" s="4"/>
      <c r="AI819" s="3"/>
      <c r="AJ819" s="4"/>
      <c r="AK819" s="3"/>
      <c r="AL819" s="4"/>
      <c r="AM819" s="3"/>
      <c r="AN819" s="4"/>
      <c r="AO819" s="3"/>
      <c r="AP819" s="4"/>
      <c r="AQ819" s="3"/>
      <c r="AR819" s="4"/>
      <c r="AS819" s="3"/>
      <c r="AT819" s="4"/>
      <c r="AU819" s="3"/>
      <c r="AV819" s="4"/>
      <c r="AW819" s="3"/>
      <c r="AX819" s="4"/>
      <c r="AY819" s="3"/>
      <c r="AZ819" s="4"/>
      <c r="BA819" s="3"/>
      <c r="BB819" s="4"/>
      <c r="BC819" s="3"/>
      <c r="BD819" s="4"/>
      <c r="BE819" s="3"/>
      <c r="BF819" s="4"/>
      <c r="BG819" s="3"/>
      <c r="BH819" s="4"/>
      <c r="BI819" s="3"/>
      <c r="BJ819" s="4"/>
      <c r="BK819" s="3"/>
      <c r="BL819" s="4"/>
      <c r="BM819" s="3"/>
      <c r="BN819" s="4"/>
      <c r="BO819" s="3"/>
      <c r="BP819" s="4"/>
      <c r="BQ819" s="3"/>
      <c r="BR819" s="4"/>
      <c r="BS819" s="3"/>
      <c r="BT819" s="4"/>
      <c r="BU819" s="3"/>
      <c r="BV819" s="4"/>
      <c r="BW819" s="3"/>
      <c r="BX819" s="4"/>
      <c r="BY819" s="3"/>
      <c r="BZ819" s="4"/>
      <c r="CA819" s="3"/>
      <c r="CB819" s="4"/>
      <c r="CC819" s="3"/>
      <c r="CD819" s="4"/>
    </row>
    <row r="820">
      <c r="A820" s="3"/>
      <c r="B820" s="4"/>
      <c r="C820" s="3"/>
      <c r="D820" s="4"/>
      <c r="E820" s="3"/>
      <c r="F820" s="4"/>
      <c r="G820" s="3"/>
      <c r="H820" s="4"/>
      <c r="I820" s="3"/>
      <c r="J820" s="4"/>
      <c r="K820" s="3"/>
      <c r="L820" s="4"/>
      <c r="M820" s="3"/>
      <c r="N820" s="4"/>
      <c r="O820" s="3"/>
      <c r="P820" s="4"/>
      <c r="Q820" s="3"/>
      <c r="R820" s="4"/>
      <c r="S820" s="3"/>
      <c r="T820" s="4"/>
      <c r="U820" s="3"/>
      <c r="V820" s="4"/>
      <c r="W820" s="3"/>
      <c r="X820" s="4"/>
      <c r="Y820" s="3"/>
      <c r="Z820" s="4"/>
      <c r="AA820" s="3"/>
      <c r="AB820" s="4"/>
      <c r="AC820" s="3"/>
      <c r="AD820" s="4"/>
      <c r="AE820" s="3"/>
      <c r="AF820" s="4"/>
      <c r="AG820" s="3"/>
      <c r="AH820" s="4"/>
      <c r="AI820" s="3"/>
      <c r="AJ820" s="4"/>
      <c r="AK820" s="3"/>
      <c r="AL820" s="4"/>
      <c r="AM820" s="3"/>
      <c r="AN820" s="4"/>
      <c r="AO820" s="3"/>
      <c r="AP820" s="4"/>
      <c r="AQ820" s="3"/>
      <c r="AR820" s="4"/>
      <c r="AS820" s="3"/>
      <c r="AT820" s="4"/>
      <c r="AU820" s="3"/>
      <c r="AV820" s="4"/>
      <c r="AW820" s="3"/>
      <c r="AX820" s="4"/>
      <c r="AY820" s="3"/>
      <c r="AZ820" s="4"/>
      <c r="BA820" s="3"/>
      <c r="BB820" s="4"/>
      <c r="BC820" s="3"/>
      <c r="BD820" s="4"/>
      <c r="BE820" s="3"/>
      <c r="BF820" s="4"/>
      <c r="BG820" s="3"/>
      <c r="BH820" s="4"/>
      <c r="BI820" s="3"/>
      <c r="BJ820" s="4"/>
      <c r="BK820" s="3"/>
      <c r="BL820" s="4"/>
      <c r="BM820" s="3"/>
      <c r="BN820" s="4"/>
      <c r="BO820" s="3"/>
      <c r="BP820" s="4"/>
      <c r="BQ820" s="3"/>
      <c r="BR820" s="4"/>
      <c r="BS820" s="3"/>
      <c r="BT820" s="4"/>
      <c r="BU820" s="3"/>
      <c r="BV820" s="4"/>
      <c r="BW820" s="3"/>
      <c r="BX820" s="4"/>
      <c r="BY820" s="3"/>
      <c r="BZ820" s="4"/>
      <c r="CA820" s="3"/>
      <c r="CB820" s="4"/>
      <c r="CC820" s="3"/>
      <c r="CD820" s="4"/>
    </row>
    <row r="821">
      <c r="A821" s="3"/>
      <c r="B821" s="4"/>
      <c r="C821" s="3"/>
      <c r="D821" s="4"/>
      <c r="E821" s="3"/>
      <c r="F821" s="4"/>
      <c r="G821" s="3"/>
      <c r="H821" s="4"/>
      <c r="I821" s="3"/>
      <c r="J821" s="4"/>
      <c r="K821" s="3"/>
      <c r="L821" s="4"/>
      <c r="M821" s="3"/>
      <c r="N821" s="4"/>
      <c r="O821" s="3"/>
      <c r="P821" s="4"/>
      <c r="Q821" s="3"/>
      <c r="R821" s="4"/>
      <c r="S821" s="3"/>
      <c r="T821" s="4"/>
      <c r="U821" s="3"/>
      <c r="V821" s="4"/>
      <c r="W821" s="3"/>
      <c r="X821" s="4"/>
      <c r="Y821" s="3"/>
      <c r="Z821" s="4"/>
      <c r="AA821" s="3"/>
      <c r="AB821" s="4"/>
      <c r="AC821" s="3"/>
      <c r="AD821" s="4"/>
      <c r="AE821" s="3"/>
      <c r="AF821" s="4"/>
      <c r="AG821" s="3"/>
      <c r="AH821" s="4"/>
      <c r="AI821" s="3"/>
      <c r="AJ821" s="4"/>
      <c r="AK821" s="3"/>
      <c r="AL821" s="4"/>
      <c r="AM821" s="3"/>
      <c r="AN821" s="4"/>
      <c r="AO821" s="3"/>
      <c r="AP821" s="4"/>
      <c r="AQ821" s="3"/>
      <c r="AR821" s="4"/>
      <c r="AS821" s="3"/>
      <c r="AT821" s="4"/>
      <c r="AU821" s="3"/>
      <c r="AV821" s="4"/>
      <c r="AW821" s="3"/>
      <c r="AX821" s="4"/>
      <c r="AY821" s="3"/>
      <c r="AZ821" s="4"/>
      <c r="BA821" s="3"/>
      <c r="BB821" s="4"/>
      <c r="BC821" s="3"/>
      <c r="BD821" s="4"/>
      <c r="BE821" s="3"/>
      <c r="BF821" s="4"/>
      <c r="BG821" s="3"/>
      <c r="BH821" s="4"/>
      <c r="BI821" s="3"/>
      <c r="BJ821" s="4"/>
      <c r="BK821" s="3"/>
      <c r="BL821" s="4"/>
      <c r="BM821" s="3"/>
      <c r="BN821" s="4"/>
      <c r="BO821" s="3"/>
      <c r="BP821" s="4"/>
      <c r="BQ821" s="3"/>
      <c r="BR821" s="4"/>
      <c r="BS821" s="3"/>
      <c r="BT821" s="4"/>
      <c r="BU821" s="3"/>
      <c r="BV821" s="4"/>
      <c r="BW821" s="3"/>
      <c r="BX821" s="4"/>
      <c r="BY821" s="3"/>
      <c r="BZ821" s="4"/>
      <c r="CA821" s="3"/>
      <c r="CB821" s="4"/>
      <c r="CC821" s="3"/>
      <c r="CD821" s="4"/>
    </row>
    <row r="822">
      <c r="A822" s="3"/>
      <c r="B822" s="4"/>
      <c r="C822" s="3"/>
      <c r="D822" s="4"/>
      <c r="E822" s="3"/>
      <c r="F822" s="4"/>
      <c r="G822" s="3"/>
      <c r="H822" s="4"/>
      <c r="I822" s="3"/>
      <c r="J822" s="4"/>
      <c r="K822" s="3"/>
      <c r="L822" s="4"/>
      <c r="M822" s="3"/>
      <c r="N822" s="4"/>
      <c r="O822" s="3"/>
      <c r="P822" s="4"/>
      <c r="Q822" s="3"/>
      <c r="R822" s="4"/>
      <c r="S822" s="3"/>
      <c r="T822" s="4"/>
      <c r="U822" s="3"/>
      <c r="V822" s="4"/>
      <c r="W822" s="3"/>
      <c r="X822" s="4"/>
      <c r="Y822" s="3"/>
      <c r="Z822" s="4"/>
      <c r="AA822" s="3"/>
      <c r="AB822" s="4"/>
      <c r="AC822" s="3"/>
      <c r="AD822" s="4"/>
      <c r="AE822" s="3"/>
      <c r="AF822" s="4"/>
      <c r="AG822" s="3"/>
      <c r="AH822" s="4"/>
      <c r="AI822" s="3"/>
      <c r="AJ822" s="4"/>
      <c r="AK822" s="3"/>
      <c r="AL822" s="4"/>
      <c r="AM822" s="3"/>
      <c r="AN822" s="4"/>
      <c r="AO822" s="3"/>
      <c r="AP822" s="4"/>
      <c r="AQ822" s="3"/>
      <c r="AR822" s="4"/>
      <c r="AS822" s="3"/>
      <c r="AT822" s="4"/>
      <c r="AU822" s="3"/>
      <c r="AV822" s="4"/>
      <c r="AW822" s="3"/>
      <c r="AX822" s="4"/>
      <c r="AY822" s="3"/>
      <c r="AZ822" s="4"/>
      <c r="BA822" s="3"/>
      <c r="BB822" s="4"/>
      <c r="BC822" s="3"/>
      <c r="BD822" s="4"/>
      <c r="BE822" s="3"/>
      <c r="BF822" s="4"/>
      <c r="BG822" s="3"/>
      <c r="BH822" s="4"/>
      <c r="BI822" s="3"/>
      <c r="BJ822" s="4"/>
      <c r="BK822" s="3"/>
      <c r="BL822" s="4"/>
      <c r="BM822" s="3"/>
      <c r="BN822" s="4"/>
      <c r="BO822" s="3"/>
      <c r="BP822" s="4"/>
      <c r="BQ822" s="3"/>
      <c r="BR822" s="4"/>
      <c r="BS822" s="3"/>
      <c r="BT822" s="4"/>
      <c r="BU822" s="3"/>
      <c r="BV822" s="4"/>
      <c r="BW822" s="3"/>
      <c r="BX822" s="4"/>
      <c r="BY822" s="3"/>
      <c r="BZ822" s="4"/>
      <c r="CA822" s="3"/>
      <c r="CB822" s="4"/>
      <c r="CC822" s="3"/>
      <c r="CD822" s="4"/>
    </row>
    <row r="823">
      <c r="A823" s="3"/>
      <c r="B823" s="4"/>
      <c r="C823" s="3"/>
      <c r="D823" s="4"/>
      <c r="E823" s="3"/>
      <c r="F823" s="4"/>
      <c r="G823" s="3"/>
      <c r="H823" s="4"/>
      <c r="I823" s="3"/>
      <c r="J823" s="4"/>
      <c r="K823" s="3"/>
      <c r="L823" s="4"/>
      <c r="M823" s="3"/>
      <c r="N823" s="4"/>
      <c r="O823" s="3"/>
      <c r="P823" s="4"/>
      <c r="Q823" s="3"/>
      <c r="R823" s="4"/>
      <c r="S823" s="3"/>
      <c r="T823" s="4"/>
      <c r="U823" s="3"/>
      <c r="V823" s="4"/>
      <c r="W823" s="3"/>
      <c r="X823" s="4"/>
      <c r="Y823" s="3"/>
      <c r="Z823" s="4"/>
      <c r="AA823" s="3"/>
      <c r="AB823" s="4"/>
      <c r="AC823" s="3"/>
      <c r="AD823" s="4"/>
      <c r="AE823" s="3"/>
      <c r="AF823" s="4"/>
      <c r="AG823" s="3"/>
      <c r="AH823" s="4"/>
      <c r="AI823" s="3"/>
      <c r="AJ823" s="4"/>
      <c r="AK823" s="3"/>
      <c r="AL823" s="4"/>
      <c r="AM823" s="3"/>
      <c r="AN823" s="4"/>
      <c r="AO823" s="3"/>
      <c r="AP823" s="4"/>
      <c r="AQ823" s="3"/>
      <c r="AR823" s="4"/>
      <c r="AS823" s="3"/>
      <c r="AT823" s="4"/>
      <c r="AU823" s="3"/>
      <c r="AV823" s="4"/>
      <c r="AW823" s="3"/>
      <c r="AX823" s="4"/>
      <c r="AY823" s="3"/>
      <c r="AZ823" s="4"/>
      <c r="BA823" s="3"/>
      <c r="BB823" s="4"/>
      <c r="BC823" s="3"/>
      <c r="BD823" s="4"/>
      <c r="BE823" s="3"/>
      <c r="BF823" s="4"/>
      <c r="BG823" s="3"/>
      <c r="BH823" s="4"/>
      <c r="BI823" s="3"/>
      <c r="BJ823" s="4"/>
      <c r="BK823" s="3"/>
      <c r="BL823" s="4"/>
      <c r="BM823" s="3"/>
      <c r="BN823" s="4"/>
      <c r="BO823" s="3"/>
      <c r="BP823" s="4"/>
      <c r="BQ823" s="3"/>
      <c r="BR823" s="4"/>
      <c r="BS823" s="3"/>
      <c r="BT823" s="4"/>
      <c r="BU823" s="3"/>
      <c r="BV823" s="4"/>
      <c r="BW823" s="3"/>
      <c r="BX823" s="4"/>
      <c r="BY823" s="3"/>
      <c r="BZ823" s="4"/>
      <c r="CA823" s="3"/>
      <c r="CB823" s="4"/>
      <c r="CC823" s="3"/>
      <c r="CD823" s="4"/>
    </row>
    <row r="824">
      <c r="A824" s="3"/>
      <c r="B824" s="4"/>
      <c r="C824" s="3"/>
      <c r="D824" s="4"/>
      <c r="E824" s="3"/>
      <c r="F824" s="4"/>
      <c r="G824" s="3"/>
      <c r="H824" s="4"/>
      <c r="I824" s="3"/>
      <c r="J824" s="4"/>
      <c r="K824" s="3"/>
      <c r="L824" s="4"/>
      <c r="M824" s="3"/>
      <c r="N824" s="4"/>
      <c r="O824" s="3"/>
      <c r="P824" s="4"/>
      <c r="Q824" s="3"/>
      <c r="R824" s="4"/>
      <c r="S824" s="3"/>
      <c r="T824" s="4"/>
      <c r="U824" s="3"/>
      <c r="V824" s="4"/>
      <c r="W824" s="3"/>
      <c r="X824" s="4"/>
      <c r="Y824" s="3"/>
      <c r="Z824" s="4"/>
      <c r="AA824" s="3"/>
      <c r="AB824" s="4"/>
      <c r="AC824" s="3"/>
      <c r="AD824" s="4"/>
      <c r="AE824" s="3"/>
      <c r="AF824" s="4"/>
      <c r="AG824" s="3"/>
      <c r="AH824" s="4"/>
      <c r="AI824" s="3"/>
      <c r="AJ824" s="4"/>
      <c r="AK824" s="3"/>
      <c r="AL824" s="4"/>
      <c r="AM824" s="3"/>
      <c r="AN824" s="4"/>
      <c r="AO824" s="3"/>
      <c r="AP824" s="4"/>
      <c r="AQ824" s="3"/>
      <c r="AR824" s="4"/>
      <c r="AS824" s="3"/>
      <c r="AT824" s="4"/>
      <c r="AU824" s="3"/>
      <c r="AV824" s="4"/>
      <c r="AW824" s="3"/>
      <c r="AX824" s="4"/>
      <c r="AY824" s="3"/>
      <c r="AZ824" s="4"/>
      <c r="BA824" s="3"/>
      <c r="BB824" s="4"/>
      <c r="BC824" s="3"/>
      <c r="BD824" s="4"/>
      <c r="BE824" s="3"/>
      <c r="BF824" s="4"/>
      <c r="BG824" s="3"/>
      <c r="BH824" s="4"/>
      <c r="BI824" s="3"/>
      <c r="BJ824" s="4"/>
      <c r="BK824" s="3"/>
      <c r="BL824" s="4"/>
      <c r="BM824" s="3"/>
      <c r="BN824" s="4"/>
      <c r="BO824" s="3"/>
      <c r="BP824" s="4"/>
      <c r="BQ824" s="3"/>
      <c r="BR824" s="4"/>
      <c r="BS824" s="3"/>
      <c r="BT824" s="4"/>
      <c r="BU824" s="3"/>
      <c r="BV824" s="4"/>
      <c r="BW824" s="3"/>
      <c r="BX824" s="4"/>
      <c r="BY824" s="3"/>
      <c r="BZ824" s="4"/>
      <c r="CA824" s="3"/>
      <c r="CB824" s="4"/>
      <c r="CC824" s="3"/>
      <c r="CD824" s="4"/>
    </row>
    <row r="825">
      <c r="A825" s="3"/>
      <c r="B825" s="4"/>
      <c r="C825" s="3"/>
      <c r="D825" s="4"/>
      <c r="E825" s="3"/>
      <c r="F825" s="4"/>
      <c r="G825" s="3"/>
      <c r="H825" s="4"/>
      <c r="I825" s="3"/>
      <c r="J825" s="4"/>
      <c r="K825" s="3"/>
      <c r="L825" s="4"/>
      <c r="M825" s="3"/>
      <c r="N825" s="4"/>
      <c r="O825" s="3"/>
      <c r="P825" s="4"/>
      <c r="Q825" s="3"/>
      <c r="R825" s="4"/>
      <c r="S825" s="3"/>
      <c r="T825" s="4"/>
      <c r="U825" s="3"/>
      <c r="V825" s="4"/>
      <c r="W825" s="3"/>
      <c r="X825" s="4"/>
      <c r="Y825" s="3"/>
      <c r="Z825" s="4"/>
      <c r="AA825" s="3"/>
      <c r="AB825" s="4"/>
      <c r="AC825" s="3"/>
      <c r="AD825" s="4"/>
      <c r="AE825" s="3"/>
      <c r="AF825" s="4"/>
      <c r="AG825" s="3"/>
      <c r="AH825" s="4"/>
      <c r="AI825" s="3"/>
      <c r="AJ825" s="4"/>
      <c r="AK825" s="3"/>
      <c r="AL825" s="4"/>
      <c r="AM825" s="3"/>
      <c r="AN825" s="4"/>
      <c r="AO825" s="3"/>
      <c r="AP825" s="4"/>
      <c r="AQ825" s="3"/>
      <c r="AR825" s="4"/>
      <c r="AS825" s="3"/>
      <c r="AT825" s="4"/>
      <c r="AU825" s="3"/>
      <c r="AV825" s="4"/>
      <c r="AW825" s="3"/>
      <c r="AX825" s="4"/>
      <c r="AY825" s="3"/>
      <c r="AZ825" s="4"/>
      <c r="BA825" s="3"/>
      <c r="BB825" s="4"/>
      <c r="BC825" s="3"/>
      <c r="BD825" s="4"/>
      <c r="BE825" s="3"/>
      <c r="BF825" s="4"/>
      <c r="BG825" s="3"/>
      <c r="BH825" s="4"/>
      <c r="BI825" s="3"/>
      <c r="BJ825" s="4"/>
      <c r="BK825" s="3"/>
      <c r="BL825" s="4"/>
      <c r="BM825" s="3"/>
      <c r="BN825" s="4"/>
      <c r="BO825" s="3"/>
      <c r="BP825" s="4"/>
      <c r="BQ825" s="3"/>
      <c r="BR825" s="4"/>
      <c r="BS825" s="3"/>
      <c r="BT825" s="4"/>
      <c r="BU825" s="3"/>
      <c r="BV825" s="4"/>
      <c r="BW825" s="3"/>
      <c r="BX825" s="4"/>
      <c r="BY825" s="3"/>
      <c r="BZ825" s="4"/>
      <c r="CA825" s="3"/>
      <c r="CB825" s="4"/>
      <c r="CC825" s="3"/>
      <c r="CD825" s="4"/>
    </row>
    <row r="826">
      <c r="A826" s="3"/>
      <c r="B826" s="4"/>
      <c r="C826" s="3"/>
      <c r="D826" s="4"/>
      <c r="E826" s="3"/>
      <c r="F826" s="4"/>
      <c r="G826" s="3"/>
      <c r="H826" s="4"/>
      <c r="I826" s="3"/>
      <c r="J826" s="4"/>
      <c r="K826" s="3"/>
      <c r="L826" s="4"/>
      <c r="M826" s="3"/>
      <c r="N826" s="4"/>
      <c r="O826" s="3"/>
      <c r="P826" s="4"/>
      <c r="Q826" s="3"/>
      <c r="R826" s="4"/>
      <c r="S826" s="3"/>
      <c r="T826" s="4"/>
      <c r="U826" s="3"/>
      <c r="V826" s="4"/>
      <c r="W826" s="3"/>
      <c r="X826" s="4"/>
      <c r="Y826" s="3"/>
      <c r="Z826" s="4"/>
      <c r="AA826" s="3"/>
      <c r="AB826" s="4"/>
      <c r="AC826" s="3"/>
      <c r="AD826" s="4"/>
      <c r="AE826" s="3"/>
      <c r="AF826" s="4"/>
      <c r="AG826" s="3"/>
      <c r="AH826" s="4"/>
      <c r="AI826" s="3"/>
      <c r="AJ826" s="4"/>
      <c r="AK826" s="3"/>
      <c r="AL826" s="4"/>
      <c r="AM826" s="3"/>
      <c r="AN826" s="4"/>
      <c r="AO826" s="3"/>
      <c r="AP826" s="4"/>
      <c r="AQ826" s="3"/>
      <c r="AR826" s="4"/>
      <c r="AS826" s="3"/>
      <c r="AT826" s="4"/>
      <c r="AU826" s="3"/>
      <c r="AV826" s="4"/>
      <c r="AW826" s="3"/>
      <c r="AX826" s="4"/>
      <c r="AY826" s="3"/>
      <c r="AZ826" s="4"/>
      <c r="BA826" s="3"/>
      <c r="BB826" s="4"/>
      <c r="BC826" s="3"/>
      <c r="BD826" s="4"/>
      <c r="BE826" s="3"/>
      <c r="BF826" s="4"/>
      <c r="BG826" s="3"/>
      <c r="BH826" s="4"/>
      <c r="BI826" s="3"/>
      <c r="BJ826" s="4"/>
      <c r="BK826" s="3"/>
      <c r="BL826" s="4"/>
      <c r="BM826" s="3"/>
      <c r="BN826" s="4"/>
      <c r="BO826" s="3"/>
      <c r="BP826" s="4"/>
      <c r="BQ826" s="3"/>
      <c r="BR826" s="4"/>
      <c r="BS826" s="3"/>
      <c r="BT826" s="4"/>
      <c r="BU826" s="3"/>
      <c r="BV826" s="4"/>
      <c r="BW826" s="3"/>
      <c r="BX826" s="4"/>
      <c r="BY826" s="3"/>
      <c r="BZ826" s="4"/>
      <c r="CA826" s="3"/>
      <c r="CB826" s="4"/>
      <c r="CC826" s="3"/>
      <c r="CD826" s="4"/>
    </row>
    <row r="827">
      <c r="A827" s="3"/>
      <c r="B827" s="4"/>
      <c r="C827" s="3"/>
      <c r="D827" s="4"/>
      <c r="E827" s="3"/>
      <c r="F827" s="4"/>
      <c r="G827" s="3"/>
      <c r="H827" s="4"/>
      <c r="I827" s="3"/>
      <c r="J827" s="4"/>
      <c r="K827" s="3"/>
      <c r="L827" s="4"/>
      <c r="M827" s="3"/>
      <c r="N827" s="4"/>
      <c r="O827" s="3"/>
      <c r="P827" s="4"/>
      <c r="Q827" s="3"/>
      <c r="R827" s="4"/>
      <c r="S827" s="3"/>
      <c r="T827" s="4"/>
      <c r="U827" s="3"/>
      <c r="V827" s="4"/>
      <c r="W827" s="3"/>
      <c r="X827" s="4"/>
      <c r="Y827" s="3"/>
      <c r="Z827" s="4"/>
      <c r="AA827" s="3"/>
      <c r="AB827" s="4"/>
      <c r="AC827" s="3"/>
      <c r="AD827" s="4"/>
      <c r="AE827" s="3"/>
      <c r="AF827" s="4"/>
      <c r="AG827" s="3"/>
      <c r="AH827" s="4"/>
      <c r="AI827" s="3"/>
      <c r="AJ827" s="4"/>
      <c r="AK827" s="3"/>
      <c r="AL827" s="4"/>
      <c r="AM827" s="3"/>
      <c r="AN827" s="4"/>
      <c r="AO827" s="3"/>
      <c r="AP827" s="4"/>
      <c r="AQ827" s="3"/>
      <c r="AR827" s="4"/>
      <c r="AS827" s="3"/>
      <c r="AT827" s="4"/>
      <c r="AU827" s="3"/>
      <c r="AV827" s="4"/>
      <c r="AW827" s="3"/>
      <c r="AX827" s="4"/>
      <c r="AY827" s="3"/>
      <c r="AZ827" s="4"/>
      <c r="BA827" s="3"/>
      <c r="BB827" s="4"/>
      <c r="BC827" s="3"/>
      <c r="BD827" s="4"/>
      <c r="BE827" s="3"/>
      <c r="BF827" s="4"/>
      <c r="BG827" s="3"/>
      <c r="BH827" s="4"/>
      <c r="BI827" s="3"/>
      <c r="BJ827" s="4"/>
      <c r="BK827" s="3"/>
      <c r="BL827" s="4"/>
      <c r="BM827" s="3"/>
      <c r="BN827" s="4"/>
      <c r="BO827" s="3"/>
      <c r="BP827" s="4"/>
      <c r="BQ827" s="3"/>
      <c r="BR827" s="4"/>
      <c r="BS827" s="3"/>
      <c r="BT827" s="4"/>
      <c r="BU827" s="3"/>
      <c r="BV827" s="4"/>
      <c r="BW827" s="3"/>
      <c r="BX827" s="4"/>
      <c r="BY827" s="3"/>
      <c r="BZ827" s="4"/>
      <c r="CA827" s="3"/>
      <c r="CB827" s="4"/>
      <c r="CC827" s="3"/>
      <c r="CD827" s="4"/>
    </row>
    <row r="828">
      <c r="A828" s="3"/>
      <c r="B828" s="4"/>
      <c r="C828" s="3"/>
      <c r="D828" s="4"/>
      <c r="E828" s="3"/>
      <c r="F828" s="4"/>
      <c r="G828" s="3"/>
      <c r="H828" s="4"/>
      <c r="I828" s="3"/>
      <c r="J828" s="4"/>
      <c r="K828" s="3"/>
      <c r="L828" s="4"/>
      <c r="M828" s="3"/>
      <c r="N828" s="4"/>
      <c r="O828" s="3"/>
      <c r="P828" s="4"/>
      <c r="Q828" s="3"/>
      <c r="R828" s="4"/>
      <c r="S828" s="3"/>
      <c r="T828" s="4"/>
      <c r="U828" s="3"/>
      <c r="V828" s="4"/>
      <c r="W828" s="3"/>
      <c r="X828" s="4"/>
      <c r="Y828" s="3"/>
      <c r="Z828" s="4"/>
      <c r="AA828" s="3"/>
      <c r="AB828" s="4"/>
      <c r="AC828" s="3"/>
      <c r="AD828" s="4"/>
      <c r="AE828" s="3"/>
      <c r="AF828" s="4"/>
      <c r="AG828" s="3"/>
      <c r="AH828" s="4"/>
      <c r="AI828" s="3"/>
      <c r="AJ828" s="4"/>
      <c r="AK828" s="3"/>
      <c r="AL828" s="4"/>
      <c r="AM828" s="3"/>
      <c r="AN828" s="4"/>
      <c r="AO828" s="3"/>
      <c r="AP828" s="4"/>
      <c r="AQ828" s="3"/>
      <c r="AR828" s="4"/>
      <c r="AS828" s="3"/>
      <c r="AT828" s="4"/>
      <c r="AU828" s="3"/>
      <c r="AV828" s="4"/>
      <c r="AW828" s="3"/>
      <c r="AX828" s="4"/>
      <c r="AY828" s="3"/>
      <c r="AZ828" s="4"/>
      <c r="BA828" s="3"/>
      <c r="BB828" s="4"/>
      <c r="BC828" s="3"/>
      <c r="BD828" s="4"/>
      <c r="BE828" s="3"/>
      <c r="BF828" s="4"/>
      <c r="BG828" s="3"/>
      <c r="BH828" s="4"/>
      <c r="BI828" s="3"/>
      <c r="BJ828" s="4"/>
      <c r="BK828" s="3"/>
      <c r="BL828" s="4"/>
      <c r="BM828" s="3"/>
      <c r="BN828" s="4"/>
      <c r="BO828" s="3"/>
      <c r="BP828" s="4"/>
      <c r="BQ828" s="3"/>
      <c r="BR828" s="4"/>
      <c r="BS828" s="3"/>
      <c r="BT828" s="4"/>
      <c r="BU828" s="3"/>
      <c r="BV828" s="4"/>
      <c r="BW828" s="3"/>
      <c r="BX828" s="4"/>
      <c r="BY828" s="3"/>
      <c r="BZ828" s="4"/>
      <c r="CA828" s="3"/>
      <c r="CB828" s="4"/>
      <c r="CC828" s="3"/>
      <c r="CD828" s="4"/>
    </row>
    <row r="829">
      <c r="A829" s="3"/>
      <c r="B829" s="4"/>
      <c r="C829" s="3"/>
      <c r="D829" s="4"/>
      <c r="E829" s="3"/>
      <c r="F829" s="4"/>
      <c r="G829" s="3"/>
      <c r="H829" s="4"/>
      <c r="I829" s="3"/>
      <c r="J829" s="4"/>
      <c r="K829" s="3"/>
      <c r="L829" s="4"/>
      <c r="M829" s="3"/>
      <c r="N829" s="4"/>
      <c r="O829" s="3"/>
      <c r="P829" s="4"/>
      <c r="Q829" s="3"/>
      <c r="R829" s="4"/>
      <c r="S829" s="3"/>
      <c r="T829" s="4"/>
      <c r="U829" s="3"/>
      <c r="V829" s="4"/>
      <c r="W829" s="3"/>
      <c r="X829" s="4"/>
      <c r="Y829" s="3"/>
      <c r="Z829" s="4"/>
      <c r="AA829" s="3"/>
      <c r="AB829" s="4"/>
      <c r="AC829" s="3"/>
      <c r="AD829" s="4"/>
      <c r="AE829" s="3"/>
      <c r="AF829" s="4"/>
      <c r="AG829" s="3"/>
      <c r="AH829" s="4"/>
      <c r="AI829" s="3"/>
      <c r="AJ829" s="4"/>
      <c r="AK829" s="3"/>
      <c r="AL829" s="4"/>
      <c r="AM829" s="3"/>
      <c r="AN829" s="4"/>
      <c r="AO829" s="3"/>
      <c r="AP829" s="4"/>
      <c r="AQ829" s="3"/>
      <c r="AR829" s="4"/>
      <c r="AS829" s="3"/>
      <c r="AT829" s="4"/>
      <c r="AU829" s="3"/>
      <c r="AV829" s="4"/>
      <c r="AW829" s="3"/>
      <c r="AX829" s="4"/>
      <c r="AY829" s="3"/>
      <c r="AZ829" s="4"/>
      <c r="BA829" s="3"/>
      <c r="BB829" s="4"/>
      <c r="BC829" s="3"/>
      <c r="BD829" s="4"/>
      <c r="BE829" s="3"/>
      <c r="BF829" s="4"/>
      <c r="BG829" s="3"/>
      <c r="BH829" s="4"/>
      <c r="BI829" s="3"/>
      <c r="BJ829" s="4"/>
      <c r="BK829" s="3"/>
      <c r="BL829" s="4"/>
      <c r="BM829" s="3"/>
      <c r="BN829" s="4"/>
      <c r="BO829" s="3"/>
      <c r="BP829" s="4"/>
      <c r="BQ829" s="3"/>
      <c r="BR829" s="4"/>
      <c r="BS829" s="3"/>
      <c r="BT829" s="4"/>
      <c r="BU829" s="3"/>
      <c r="BV829" s="4"/>
      <c r="BW829" s="3"/>
      <c r="BX829" s="4"/>
      <c r="BY829" s="3"/>
      <c r="BZ829" s="4"/>
      <c r="CA829" s="3"/>
      <c r="CB829" s="4"/>
      <c r="CC829" s="3"/>
      <c r="CD829" s="4"/>
    </row>
    <row r="830">
      <c r="A830" s="3"/>
      <c r="B830" s="4"/>
      <c r="C830" s="3"/>
      <c r="D830" s="4"/>
      <c r="E830" s="3"/>
      <c r="F830" s="4"/>
      <c r="G830" s="3"/>
      <c r="H830" s="4"/>
      <c r="I830" s="3"/>
      <c r="J830" s="4"/>
      <c r="K830" s="3"/>
      <c r="L830" s="4"/>
      <c r="M830" s="3"/>
      <c r="N830" s="4"/>
      <c r="O830" s="3"/>
      <c r="P830" s="4"/>
      <c r="Q830" s="3"/>
      <c r="R830" s="4"/>
      <c r="S830" s="3"/>
      <c r="T830" s="4"/>
      <c r="U830" s="3"/>
      <c r="V830" s="4"/>
      <c r="W830" s="3"/>
      <c r="X830" s="4"/>
      <c r="Y830" s="3"/>
      <c r="Z830" s="4"/>
      <c r="AA830" s="3"/>
      <c r="AB830" s="4"/>
      <c r="AC830" s="3"/>
      <c r="AD830" s="4"/>
      <c r="AE830" s="3"/>
      <c r="AF830" s="4"/>
      <c r="AG830" s="3"/>
      <c r="AH830" s="4"/>
      <c r="AI830" s="3"/>
      <c r="AJ830" s="4"/>
      <c r="AK830" s="3"/>
      <c r="AL830" s="4"/>
      <c r="AM830" s="3"/>
      <c r="AN830" s="4"/>
      <c r="AO830" s="3"/>
      <c r="AP830" s="4"/>
      <c r="AQ830" s="3"/>
      <c r="AR830" s="4"/>
      <c r="AS830" s="3"/>
      <c r="AT830" s="4"/>
      <c r="AU830" s="3"/>
      <c r="AV830" s="4"/>
      <c r="AW830" s="3"/>
      <c r="AX830" s="4"/>
      <c r="AY830" s="3"/>
      <c r="AZ830" s="4"/>
      <c r="BA830" s="3"/>
      <c r="BB830" s="4"/>
      <c r="BC830" s="3"/>
      <c r="BD830" s="4"/>
      <c r="BE830" s="3"/>
      <c r="BF830" s="4"/>
      <c r="BG830" s="3"/>
      <c r="BH830" s="4"/>
      <c r="BI830" s="3"/>
      <c r="BJ830" s="4"/>
      <c r="BK830" s="3"/>
      <c r="BL830" s="4"/>
      <c r="BM830" s="3"/>
      <c r="BN830" s="4"/>
      <c r="BO830" s="3"/>
      <c r="BP830" s="4"/>
      <c r="BQ830" s="3"/>
      <c r="BR830" s="4"/>
      <c r="BS830" s="3"/>
      <c r="BT830" s="4"/>
      <c r="BU830" s="3"/>
      <c r="BV830" s="4"/>
      <c r="BW830" s="3"/>
      <c r="BX830" s="4"/>
      <c r="BY830" s="3"/>
      <c r="BZ830" s="4"/>
      <c r="CA830" s="3"/>
      <c r="CB830" s="4"/>
      <c r="CC830" s="3"/>
      <c r="CD830" s="4"/>
    </row>
    <row r="831">
      <c r="A831" s="3"/>
      <c r="B831" s="4"/>
      <c r="C831" s="3"/>
      <c r="D831" s="4"/>
      <c r="E831" s="3"/>
      <c r="F831" s="4"/>
      <c r="G831" s="3"/>
      <c r="H831" s="4"/>
      <c r="I831" s="3"/>
      <c r="J831" s="4"/>
      <c r="K831" s="3"/>
      <c r="L831" s="4"/>
      <c r="M831" s="3"/>
      <c r="N831" s="4"/>
      <c r="O831" s="3"/>
      <c r="P831" s="4"/>
      <c r="Q831" s="3"/>
      <c r="R831" s="4"/>
      <c r="S831" s="3"/>
      <c r="T831" s="4"/>
      <c r="U831" s="3"/>
      <c r="V831" s="4"/>
      <c r="W831" s="3"/>
      <c r="X831" s="4"/>
      <c r="Y831" s="3"/>
      <c r="Z831" s="4"/>
      <c r="AA831" s="3"/>
      <c r="AB831" s="4"/>
      <c r="AC831" s="3"/>
      <c r="AD831" s="4"/>
      <c r="AE831" s="3"/>
      <c r="AF831" s="4"/>
      <c r="AG831" s="3"/>
      <c r="AH831" s="4"/>
      <c r="AI831" s="3"/>
      <c r="AJ831" s="4"/>
      <c r="AK831" s="3"/>
      <c r="AL831" s="4"/>
      <c r="AM831" s="3"/>
      <c r="AN831" s="4"/>
      <c r="AO831" s="3"/>
      <c r="AP831" s="4"/>
      <c r="AQ831" s="3"/>
      <c r="AR831" s="4"/>
      <c r="AS831" s="3"/>
      <c r="AT831" s="4"/>
      <c r="AU831" s="3"/>
      <c r="AV831" s="4"/>
      <c r="AW831" s="3"/>
      <c r="AX831" s="4"/>
      <c r="AY831" s="3"/>
      <c r="AZ831" s="4"/>
      <c r="BA831" s="3"/>
      <c r="BB831" s="4"/>
      <c r="BC831" s="3"/>
      <c r="BD831" s="4"/>
      <c r="BE831" s="3"/>
      <c r="BF831" s="4"/>
      <c r="BG831" s="3"/>
      <c r="BH831" s="4"/>
      <c r="BI831" s="3"/>
      <c r="BJ831" s="4"/>
      <c r="BK831" s="3"/>
      <c r="BL831" s="4"/>
      <c r="BM831" s="3"/>
      <c r="BN831" s="4"/>
      <c r="BO831" s="3"/>
      <c r="BP831" s="4"/>
      <c r="BQ831" s="3"/>
      <c r="BR831" s="4"/>
      <c r="BS831" s="3"/>
      <c r="BT831" s="4"/>
      <c r="BU831" s="3"/>
      <c r="BV831" s="4"/>
      <c r="BW831" s="3"/>
      <c r="BX831" s="4"/>
      <c r="BY831" s="3"/>
      <c r="BZ831" s="4"/>
      <c r="CA831" s="3"/>
      <c r="CB831" s="4"/>
      <c r="CC831" s="3"/>
      <c r="CD831" s="4"/>
    </row>
    <row r="832">
      <c r="A832" s="3"/>
      <c r="B832" s="4"/>
      <c r="C832" s="3"/>
      <c r="D832" s="4"/>
      <c r="E832" s="3"/>
      <c r="F832" s="4"/>
      <c r="G832" s="3"/>
      <c r="H832" s="4"/>
      <c r="I832" s="3"/>
      <c r="J832" s="4"/>
      <c r="K832" s="3"/>
      <c r="L832" s="4"/>
      <c r="M832" s="3"/>
      <c r="N832" s="4"/>
      <c r="O832" s="3"/>
      <c r="P832" s="4"/>
      <c r="Q832" s="3"/>
      <c r="R832" s="4"/>
      <c r="S832" s="3"/>
      <c r="T832" s="4"/>
      <c r="U832" s="3"/>
      <c r="V832" s="4"/>
      <c r="W832" s="3"/>
      <c r="X832" s="4"/>
      <c r="Y832" s="3"/>
      <c r="Z832" s="4"/>
      <c r="AA832" s="3"/>
      <c r="AB832" s="4"/>
      <c r="AC832" s="3"/>
      <c r="AD832" s="4"/>
      <c r="AE832" s="3"/>
      <c r="AF832" s="4"/>
      <c r="AG832" s="3"/>
      <c r="AH832" s="4"/>
      <c r="AI832" s="3"/>
      <c r="AJ832" s="4"/>
      <c r="AK832" s="3"/>
      <c r="AL832" s="4"/>
      <c r="AM832" s="3"/>
      <c r="AN832" s="4"/>
      <c r="AO832" s="3"/>
      <c r="AP832" s="4"/>
      <c r="AQ832" s="3"/>
      <c r="AR832" s="4"/>
      <c r="AS832" s="3"/>
      <c r="AT832" s="4"/>
      <c r="AU832" s="3"/>
      <c r="AV832" s="4"/>
      <c r="AW832" s="3"/>
      <c r="AX832" s="4"/>
      <c r="AY832" s="3"/>
      <c r="AZ832" s="4"/>
      <c r="BA832" s="3"/>
      <c r="BB832" s="4"/>
      <c r="BC832" s="3"/>
      <c r="BD832" s="4"/>
      <c r="BE832" s="3"/>
      <c r="BF832" s="4"/>
      <c r="BG832" s="3"/>
      <c r="BH832" s="4"/>
      <c r="BI832" s="3"/>
      <c r="BJ832" s="4"/>
      <c r="BK832" s="3"/>
      <c r="BL832" s="4"/>
      <c r="BM832" s="3"/>
      <c r="BN832" s="4"/>
      <c r="BO832" s="3"/>
      <c r="BP832" s="4"/>
      <c r="BQ832" s="3"/>
      <c r="BR832" s="4"/>
      <c r="BS832" s="3"/>
      <c r="BT832" s="4"/>
      <c r="BU832" s="3"/>
      <c r="BV832" s="4"/>
      <c r="BW832" s="3"/>
      <c r="BX832" s="4"/>
      <c r="BY832" s="3"/>
      <c r="BZ832" s="4"/>
      <c r="CA832" s="3"/>
      <c r="CB832" s="4"/>
      <c r="CC832" s="3"/>
      <c r="CD832" s="4"/>
    </row>
    <row r="833">
      <c r="A833" s="3"/>
      <c r="B833" s="4"/>
      <c r="C833" s="3"/>
      <c r="D833" s="4"/>
      <c r="E833" s="3"/>
      <c r="F833" s="4"/>
      <c r="G833" s="3"/>
      <c r="H833" s="4"/>
      <c r="I833" s="3"/>
      <c r="J833" s="4"/>
      <c r="K833" s="3"/>
      <c r="L833" s="4"/>
      <c r="M833" s="3"/>
      <c r="N833" s="4"/>
      <c r="O833" s="3"/>
      <c r="P833" s="4"/>
      <c r="Q833" s="3"/>
      <c r="R833" s="4"/>
      <c r="S833" s="3"/>
      <c r="T833" s="4"/>
      <c r="U833" s="3"/>
      <c r="V833" s="4"/>
      <c r="W833" s="3"/>
      <c r="X833" s="4"/>
      <c r="Y833" s="3"/>
      <c r="Z833" s="4"/>
      <c r="AA833" s="3"/>
      <c r="AB833" s="4"/>
      <c r="AC833" s="3"/>
      <c r="AD833" s="4"/>
      <c r="AE833" s="3"/>
      <c r="AF833" s="4"/>
      <c r="AG833" s="3"/>
      <c r="AH833" s="4"/>
      <c r="AI833" s="3"/>
      <c r="AJ833" s="4"/>
      <c r="AK833" s="3"/>
      <c r="AL833" s="4"/>
      <c r="AM833" s="3"/>
      <c r="AN833" s="4"/>
      <c r="AO833" s="3"/>
      <c r="AP833" s="4"/>
      <c r="AQ833" s="3"/>
      <c r="AR833" s="4"/>
      <c r="AS833" s="3"/>
      <c r="AT833" s="4"/>
      <c r="AU833" s="3"/>
      <c r="AV833" s="4"/>
      <c r="AW833" s="3"/>
      <c r="AX833" s="4"/>
      <c r="AY833" s="3"/>
      <c r="AZ833" s="4"/>
      <c r="BA833" s="3"/>
      <c r="BB833" s="4"/>
      <c r="BC833" s="3"/>
      <c r="BD833" s="4"/>
      <c r="BE833" s="3"/>
      <c r="BF833" s="4"/>
      <c r="BG833" s="3"/>
      <c r="BH833" s="4"/>
      <c r="BI833" s="3"/>
      <c r="BJ833" s="4"/>
      <c r="BK833" s="3"/>
      <c r="BL833" s="4"/>
      <c r="BM833" s="3"/>
      <c r="BN833" s="4"/>
      <c r="BO833" s="3"/>
      <c r="BP833" s="4"/>
      <c r="BQ833" s="3"/>
      <c r="BR833" s="4"/>
      <c r="BS833" s="3"/>
      <c r="BT833" s="4"/>
      <c r="BU833" s="3"/>
      <c r="BV833" s="4"/>
      <c r="BW833" s="3"/>
      <c r="BX833" s="4"/>
      <c r="BY833" s="3"/>
      <c r="BZ833" s="4"/>
      <c r="CA833" s="3"/>
      <c r="CB833" s="4"/>
      <c r="CC833" s="3"/>
      <c r="CD833" s="4"/>
    </row>
    <row r="834">
      <c r="A834" s="3"/>
      <c r="B834" s="4"/>
      <c r="C834" s="3"/>
      <c r="D834" s="4"/>
      <c r="E834" s="3"/>
      <c r="F834" s="4"/>
      <c r="G834" s="3"/>
      <c r="H834" s="4"/>
      <c r="I834" s="3"/>
      <c r="J834" s="4"/>
      <c r="K834" s="3"/>
      <c r="L834" s="4"/>
      <c r="M834" s="3"/>
      <c r="N834" s="4"/>
      <c r="O834" s="3"/>
      <c r="P834" s="4"/>
      <c r="Q834" s="3"/>
      <c r="R834" s="4"/>
      <c r="S834" s="3"/>
      <c r="T834" s="4"/>
      <c r="U834" s="3"/>
      <c r="V834" s="4"/>
      <c r="W834" s="3"/>
      <c r="X834" s="4"/>
      <c r="Y834" s="3"/>
      <c r="Z834" s="4"/>
      <c r="AA834" s="3"/>
      <c r="AB834" s="4"/>
      <c r="AC834" s="3"/>
      <c r="AD834" s="4"/>
      <c r="AE834" s="3"/>
      <c r="AF834" s="4"/>
      <c r="AG834" s="3"/>
      <c r="AH834" s="4"/>
      <c r="AI834" s="3"/>
      <c r="AJ834" s="4"/>
      <c r="AK834" s="3"/>
      <c r="AL834" s="4"/>
      <c r="AM834" s="3"/>
      <c r="AN834" s="4"/>
      <c r="AO834" s="3"/>
      <c r="AP834" s="4"/>
      <c r="AQ834" s="3"/>
      <c r="AR834" s="4"/>
      <c r="AS834" s="3"/>
      <c r="AT834" s="4"/>
      <c r="AU834" s="3"/>
      <c r="AV834" s="4"/>
      <c r="AW834" s="3"/>
      <c r="AX834" s="4"/>
      <c r="AY834" s="3"/>
      <c r="AZ834" s="4"/>
      <c r="BA834" s="3"/>
      <c r="BB834" s="4"/>
      <c r="BC834" s="3"/>
      <c r="BD834" s="4"/>
      <c r="BE834" s="3"/>
      <c r="BF834" s="4"/>
      <c r="BG834" s="3"/>
      <c r="BH834" s="4"/>
      <c r="BI834" s="3"/>
      <c r="BJ834" s="4"/>
      <c r="BK834" s="3"/>
      <c r="BL834" s="4"/>
      <c r="BM834" s="3"/>
      <c r="BN834" s="4"/>
      <c r="BO834" s="3"/>
      <c r="BP834" s="4"/>
      <c r="BQ834" s="3"/>
      <c r="BR834" s="4"/>
      <c r="BS834" s="3"/>
      <c r="BT834" s="4"/>
      <c r="BU834" s="3"/>
      <c r="BV834" s="4"/>
      <c r="BW834" s="3"/>
      <c r="BX834" s="4"/>
      <c r="BY834" s="3"/>
      <c r="BZ834" s="4"/>
      <c r="CA834" s="3"/>
      <c r="CB834" s="4"/>
      <c r="CC834" s="3"/>
      <c r="CD834" s="4"/>
    </row>
    <row r="835">
      <c r="A835" s="3"/>
      <c r="B835" s="4"/>
      <c r="C835" s="3"/>
      <c r="D835" s="4"/>
      <c r="E835" s="3"/>
      <c r="F835" s="4"/>
      <c r="G835" s="3"/>
      <c r="H835" s="4"/>
      <c r="I835" s="3"/>
      <c r="J835" s="4"/>
      <c r="K835" s="3"/>
      <c r="L835" s="4"/>
      <c r="M835" s="3"/>
      <c r="N835" s="4"/>
      <c r="O835" s="3"/>
      <c r="P835" s="4"/>
      <c r="Q835" s="3"/>
      <c r="R835" s="4"/>
      <c r="S835" s="3"/>
      <c r="T835" s="4"/>
      <c r="U835" s="3"/>
      <c r="V835" s="4"/>
      <c r="W835" s="3"/>
      <c r="X835" s="4"/>
      <c r="Y835" s="3"/>
      <c r="Z835" s="4"/>
      <c r="AA835" s="3"/>
      <c r="AB835" s="4"/>
      <c r="AC835" s="3"/>
      <c r="AD835" s="4"/>
      <c r="AE835" s="3"/>
      <c r="AF835" s="4"/>
      <c r="AG835" s="3"/>
      <c r="AH835" s="4"/>
      <c r="AI835" s="3"/>
      <c r="AJ835" s="4"/>
      <c r="AK835" s="3"/>
      <c r="AL835" s="4"/>
      <c r="AM835" s="3"/>
      <c r="AN835" s="4"/>
      <c r="AO835" s="3"/>
      <c r="AP835" s="4"/>
      <c r="AQ835" s="3"/>
      <c r="AR835" s="4"/>
      <c r="AS835" s="3"/>
      <c r="AT835" s="4"/>
      <c r="AU835" s="3"/>
      <c r="AV835" s="4"/>
      <c r="AW835" s="3"/>
      <c r="AX835" s="4"/>
      <c r="AY835" s="3"/>
      <c r="AZ835" s="4"/>
      <c r="BA835" s="3"/>
      <c r="BB835" s="4"/>
      <c r="BC835" s="3"/>
      <c r="BD835" s="4"/>
      <c r="BE835" s="3"/>
      <c r="BF835" s="4"/>
      <c r="BG835" s="3"/>
      <c r="BH835" s="4"/>
      <c r="BI835" s="3"/>
      <c r="BJ835" s="4"/>
      <c r="BK835" s="3"/>
      <c r="BL835" s="4"/>
      <c r="BM835" s="3"/>
      <c r="BN835" s="4"/>
      <c r="BO835" s="3"/>
      <c r="BP835" s="4"/>
      <c r="BQ835" s="3"/>
      <c r="BR835" s="4"/>
      <c r="BS835" s="3"/>
      <c r="BT835" s="4"/>
      <c r="BU835" s="3"/>
      <c r="BV835" s="4"/>
      <c r="BW835" s="3"/>
      <c r="BX835" s="4"/>
      <c r="BY835" s="3"/>
      <c r="BZ835" s="4"/>
      <c r="CA835" s="3"/>
      <c r="CB835" s="4"/>
      <c r="CC835" s="3"/>
      <c r="CD835" s="4"/>
    </row>
    <row r="836">
      <c r="A836" s="3"/>
      <c r="B836" s="4"/>
      <c r="C836" s="3"/>
      <c r="D836" s="4"/>
      <c r="E836" s="3"/>
      <c r="F836" s="4"/>
      <c r="G836" s="3"/>
      <c r="H836" s="4"/>
      <c r="I836" s="3"/>
      <c r="J836" s="4"/>
      <c r="K836" s="3"/>
      <c r="L836" s="4"/>
      <c r="M836" s="3"/>
      <c r="N836" s="4"/>
      <c r="O836" s="3"/>
      <c r="P836" s="4"/>
      <c r="Q836" s="3"/>
      <c r="R836" s="4"/>
      <c r="S836" s="3"/>
      <c r="T836" s="4"/>
      <c r="U836" s="3"/>
      <c r="V836" s="4"/>
      <c r="W836" s="3"/>
      <c r="X836" s="4"/>
      <c r="Y836" s="3"/>
      <c r="Z836" s="4"/>
      <c r="AA836" s="3"/>
      <c r="AB836" s="4"/>
      <c r="AC836" s="3"/>
      <c r="AD836" s="4"/>
      <c r="AE836" s="3"/>
      <c r="AF836" s="4"/>
      <c r="AG836" s="3"/>
      <c r="AH836" s="4"/>
      <c r="AI836" s="3"/>
      <c r="AJ836" s="4"/>
      <c r="AK836" s="3"/>
      <c r="AL836" s="4"/>
      <c r="AM836" s="3"/>
      <c r="AN836" s="4"/>
      <c r="AO836" s="3"/>
      <c r="AP836" s="4"/>
      <c r="AQ836" s="3"/>
      <c r="AR836" s="4"/>
      <c r="AS836" s="3"/>
      <c r="AT836" s="4"/>
      <c r="AU836" s="3"/>
      <c r="AV836" s="4"/>
      <c r="AW836" s="3"/>
      <c r="AX836" s="4"/>
      <c r="AY836" s="3"/>
      <c r="AZ836" s="4"/>
      <c r="BA836" s="3"/>
      <c r="BB836" s="4"/>
      <c r="BC836" s="3"/>
      <c r="BD836" s="4"/>
      <c r="BE836" s="3"/>
      <c r="BF836" s="4"/>
      <c r="BG836" s="3"/>
      <c r="BH836" s="4"/>
      <c r="BI836" s="3"/>
      <c r="BJ836" s="4"/>
      <c r="BK836" s="3"/>
      <c r="BL836" s="4"/>
      <c r="BM836" s="3"/>
      <c r="BN836" s="4"/>
      <c r="BO836" s="3"/>
      <c r="BP836" s="4"/>
      <c r="BQ836" s="3"/>
      <c r="BR836" s="4"/>
      <c r="BS836" s="3"/>
      <c r="BT836" s="4"/>
      <c r="BU836" s="3"/>
      <c r="BV836" s="4"/>
      <c r="BW836" s="3"/>
      <c r="BX836" s="4"/>
      <c r="BY836" s="3"/>
      <c r="BZ836" s="4"/>
      <c r="CA836" s="3"/>
      <c r="CB836" s="4"/>
      <c r="CC836" s="3"/>
      <c r="CD836" s="4"/>
    </row>
    <row r="837">
      <c r="A837" s="3"/>
      <c r="B837" s="4"/>
      <c r="C837" s="3"/>
      <c r="D837" s="4"/>
      <c r="E837" s="3"/>
      <c r="F837" s="4"/>
      <c r="G837" s="3"/>
      <c r="H837" s="4"/>
      <c r="I837" s="3"/>
      <c r="J837" s="4"/>
      <c r="K837" s="3"/>
      <c r="L837" s="4"/>
      <c r="M837" s="3"/>
      <c r="N837" s="4"/>
      <c r="O837" s="3"/>
      <c r="P837" s="4"/>
      <c r="Q837" s="3"/>
      <c r="R837" s="4"/>
      <c r="S837" s="3"/>
      <c r="T837" s="4"/>
      <c r="U837" s="3"/>
      <c r="V837" s="4"/>
      <c r="W837" s="3"/>
      <c r="X837" s="4"/>
      <c r="Y837" s="3"/>
      <c r="Z837" s="4"/>
      <c r="AA837" s="3"/>
      <c r="AB837" s="4"/>
      <c r="AC837" s="3"/>
      <c r="AD837" s="4"/>
      <c r="AE837" s="3"/>
      <c r="AF837" s="4"/>
      <c r="AG837" s="3"/>
      <c r="AH837" s="4"/>
      <c r="AI837" s="3"/>
      <c r="AJ837" s="4"/>
      <c r="AK837" s="3"/>
      <c r="AL837" s="4"/>
      <c r="AM837" s="3"/>
      <c r="AN837" s="4"/>
      <c r="AO837" s="3"/>
      <c r="AP837" s="4"/>
      <c r="AQ837" s="3"/>
      <c r="AR837" s="4"/>
      <c r="AS837" s="3"/>
      <c r="AT837" s="4"/>
      <c r="AU837" s="3"/>
      <c r="AV837" s="4"/>
      <c r="AW837" s="3"/>
      <c r="AX837" s="4"/>
      <c r="AY837" s="3"/>
      <c r="AZ837" s="4"/>
      <c r="BA837" s="3"/>
      <c r="BB837" s="4"/>
      <c r="BC837" s="3"/>
      <c r="BD837" s="4"/>
      <c r="BE837" s="3"/>
      <c r="BF837" s="4"/>
      <c r="BG837" s="3"/>
      <c r="BH837" s="4"/>
      <c r="BI837" s="3"/>
      <c r="BJ837" s="4"/>
      <c r="BK837" s="3"/>
      <c r="BL837" s="4"/>
      <c r="BM837" s="3"/>
      <c r="BN837" s="4"/>
      <c r="BO837" s="3"/>
      <c r="BP837" s="4"/>
      <c r="BQ837" s="3"/>
      <c r="BR837" s="4"/>
      <c r="BS837" s="3"/>
      <c r="BT837" s="4"/>
      <c r="BU837" s="3"/>
      <c r="BV837" s="4"/>
      <c r="BW837" s="3"/>
      <c r="BX837" s="4"/>
      <c r="BY837" s="3"/>
      <c r="BZ837" s="4"/>
      <c r="CA837" s="3"/>
      <c r="CB837" s="4"/>
      <c r="CC837" s="3"/>
      <c r="CD837" s="4"/>
    </row>
    <row r="838">
      <c r="A838" s="3"/>
      <c r="B838" s="4"/>
      <c r="C838" s="3"/>
      <c r="D838" s="4"/>
      <c r="E838" s="3"/>
      <c r="F838" s="4"/>
      <c r="G838" s="3"/>
      <c r="H838" s="4"/>
      <c r="I838" s="3"/>
      <c r="J838" s="4"/>
      <c r="K838" s="3"/>
      <c r="L838" s="4"/>
      <c r="M838" s="3"/>
      <c r="N838" s="4"/>
      <c r="O838" s="3"/>
      <c r="P838" s="4"/>
      <c r="Q838" s="3"/>
      <c r="R838" s="4"/>
      <c r="S838" s="3"/>
      <c r="T838" s="4"/>
      <c r="U838" s="3"/>
      <c r="V838" s="4"/>
      <c r="W838" s="3"/>
      <c r="X838" s="4"/>
      <c r="Y838" s="3"/>
      <c r="Z838" s="4"/>
      <c r="AA838" s="3"/>
      <c r="AB838" s="4"/>
      <c r="AC838" s="3"/>
      <c r="AD838" s="4"/>
      <c r="AE838" s="3"/>
      <c r="AF838" s="4"/>
      <c r="AG838" s="3"/>
      <c r="AH838" s="4"/>
      <c r="AI838" s="3"/>
      <c r="AJ838" s="4"/>
      <c r="AK838" s="3"/>
      <c r="AL838" s="4"/>
      <c r="AM838" s="3"/>
      <c r="AN838" s="4"/>
      <c r="AO838" s="3"/>
      <c r="AP838" s="4"/>
      <c r="AQ838" s="3"/>
      <c r="AR838" s="4"/>
      <c r="AS838" s="3"/>
      <c r="AT838" s="4"/>
      <c r="AU838" s="3"/>
      <c r="AV838" s="4"/>
      <c r="AW838" s="3"/>
      <c r="AX838" s="4"/>
      <c r="AY838" s="3"/>
      <c r="AZ838" s="4"/>
      <c r="BA838" s="3"/>
      <c r="BB838" s="4"/>
      <c r="BC838" s="3"/>
      <c r="BD838" s="4"/>
      <c r="BE838" s="3"/>
      <c r="BF838" s="4"/>
      <c r="BG838" s="3"/>
      <c r="BH838" s="4"/>
      <c r="BI838" s="3"/>
      <c r="BJ838" s="4"/>
      <c r="BK838" s="3"/>
      <c r="BL838" s="4"/>
      <c r="BM838" s="3"/>
      <c r="BN838" s="4"/>
      <c r="BO838" s="3"/>
      <c r="BP838" s="4"/>
      <c r="BQ838" s="3"/>
      <c r="BR838" s="4"/>
      <c r="BS838" s="3"/>
      <c r="BT838" s="4"/>
      <c r="BU838" s="3"/>
      <c r="BV838" s="4"/>
      <c r="BW838" s="3"/>
      <c r="BX838" s="4"/>
      <c r="BY838" s="3"/>
      <c r="BZ838" s="4"/>
      <c r="CA838" s="3"/>
      <c r="CB838" s="4"/>
      <c r="CC838" s="3"/>
      <c r="CD838" s="4"/>
    </row>
    <row r="839">
      <c r="A839" s="3"/>
      <c r="B839" s="4"/>
      <c r="C839" s="3"/>
      <c r="D839" s="4"/>
      <c r="E839" s="3"/>
      <c r="F839" s="4"/>
      <c r="G839" s="3"/>
      <c r="H839" s="4"/>
      <c r="I839" s="3"/>
      <c r="J839" s="4"/>
      <c r="K839" s="3"/>
      <c r="L839" s="4"/>
      <c r="M839" s="3"/>
      <c r="N839" s="4"/>
      <c r="O839" s="3"/>
      <c r="P839" s="4"/>
      <c r="Q839" s="3"/>
      <c r="R839" s="4"/>
      <c r="S839" s="3"/>
      <c r="T839" s="4"/>
      <c r="U839" s="3"/>
      <c r="V839" s="4"/>
      <c r="W839" s="3"/>
      <c r="X839" s="4"/>
      <c r="Y839" s="3"/>
      <c r="Z839" s="4"/>
      <c r="AA839" s="3"/>
      <c r="AB839" s="4"/>
      <c r="AC839" s="3"/>
      <c r="AD839" s="4"/>
      <c r="AE839" s="3"/>
      <c r="AF839" s="4"/>
      <c r="AG839" s="3"/>
      <c r="AH839" s="4"/>
      <c r="AI839" s="3"/>
      <c r="AJ839" s="4"/>
      <c r="AK839" s="3"/>
      <c r="AL839" s="4"/>
      <c r="AM839" s="3"/>
      <c r="AN839" s="4"/>
      <c r="AO839" s="3"/>
      <c r="AP839" s="4"/>
      <c r="AQ839" s="3"/>
      <c r="AR839" s="4"/>
      <c r="AS839" s="3"/>
      <c r="AT839" s="4"/>
      <c r="AU839" s="3"/>
      <c r="AV839" s="4"/>
      <c r="AW839" s="3"/>
      <c r="AX839" s="4"/>
      <c r="AY839" s="3"/>
      <c r="AZ839" s="4"/>
      <c r="BA839" s="3"/>
      <c r="BB839" s="4"/>
      <c r="BC839" s="3"/>
      <c r="BD839" s="4"/>
      <c r="BE839" s="3"/>
      <c r="BF839" s="4"/>
      <c r="BG839" s="3"/>
      <c r="BH839" s="4"/>
      <c r="BI839" s="3"/>
      <c r="BJ839" s="4"/>
      <c r="BK839" s="3"/>
      <c r="BL839" s="4"/>
      <c r="BM839" s="3"/>
      <c r="BN839" s="4"/>
      <c r="BO839" s="3"/>
      <c r="BP839" s="4"/>
      <c r="BQ839" s="3"/>
      <c r="BR839" s="4"/>
      <c r="BS839" s="3"/>
      <c r="BT839" s="4"/>
      <c r="BU839" s="3"/>
      <c r="BV839" s="4"/>
      <c r="BW839" s="3"/>
      <c r="BX839" s="4"/>
      <c r="BY839" s="3"/>
      <c r="BZ839" s="4"/>
      <c r="CA839" s="3"/>
      <c r="CB839" s="4"/>
      <c r="CC839" s="3"/>
      <c r="CD839" s="4"/>
    </row>
    <row r="840">
      <c r="A840" s="3"/>
      <c r="B840" s="4"/>
      <c r="C840" s="3"/>
      <c r="D840" s="4"/>
      <c r="E840" s="3"/>
      <c r="F840" s="4"/>
      <c r="G840" s="3"/>
      <c r="H840" s="4"/>
      <c r="I840" s="3"/>
      <c r="J840" s="4"/>
      <c r="K840" s="3"/>
      <c r="L840" s="4"/>
      <c r="M840" s="3"/>
      <c r="N840" s="4"/>
      <c r="O840" s="3"/>
      <c r="P840" s="4"/>
      <c r="Q840" s="3"/>
      <c r="R840" s="4"/>
      <c r="S840" s="3"/>
      <c r="T840" s="4"/>
      <c r="U840" s="3"/>
      <c r="V840" s="4"/>
      <c r="W840" s="3"/>
      <c r="X840" s="4"/>
      <c r="Y840" s="3"/>
      <c r="Z840" s="4"/>
      <c r="AA840" s="3"/>
      <c r="AB840" s="4"/>
      <c r="AC840" s="3"/>
      <c r="AD840" s="4"/>
      <c r="AE840" s="3"/>
      <c r="AF840" s="4"/>
      <c r="AG840" s="3"/>
      <c r="AH840" s="4"/>
      <c r="AI840" s="3"/>
      <c r="AJ840" s="4"/>
      <c r="AK840" s="3"/>
      <c r="AL840" s="4"/>
      <c r="AM840" s="3"/>
      <c r="AN840" s="4"/>
      <c r="AO840" s="3"/>
      <c r="AP840" s="4"/>
      <c r="AQ840" s="3"/>
      <c r="AR840" s="4"/>
      <c r="AS840" s="3"/>
      <c r="AT840" s="4"/>
      <c r="AU840" s="3"/>
      <c r="AV840" s="4"/>
      <c r="AW840" s="3"/>
      <c r="AX840" s="4"/>
      <c r="AY840" s="3"/>
      <c r="AZ840" s="4"/>
      <c r="BA840" s="3"/>
      <c r="BB840" s="4"/>
      <c r="BC840" s="3"/>
      <c r="BD840" s="4"/>
      <c r="BE840" s="3"/>
      <c r="BF840" s="4"/>
      <c r="BG840" s="3"/>
      <c r="BH840" s="4"/>
      <c r="BI840" s="3"/>
      <c r="BJ840" s="4"/>
      <c r="BK840" s="3"/>
      <c r="BL840" s="4"/>
      <c r="BM840" s="3"/>
      <c r="BN840" s="4"/>
      <c r="BO840" s="3"/>
      <c r="BP840" s="4"/>
      <c r="BQ840" s="3"/>
      <c r="BR840" s="4"/>
      <c r="BS840" s="3"/>
      <c r="BT840" s="4"/>
      <c r="BU840" s="3"/>
      <c r="BV840" s="4"/>
      <c r="BW840" s="3"/>
      <c r="BX840" s="4"/>
      <c r="BY840" s="3"/>
      <c r="BZ840" s="4"/>
      <c r="CA840" s="3"/>
      <c r="CB840" s="4"/>
      <c r="CC840" s="3"/>
      <c r="CD840" s="4"/>
    </row>
    <row r="841">
      <c r="A841" s="3"/>
      <c r="B841" s="4"/>
      <c r="C841" s="3"/>
      <c r="D841" s="4"/>
      <c r="E841" s="3"/>
      <c r="F841" s="4"/>
      <c r="G841" s="3"/>
      <c r="H841" s="4"/>
      <c r="I841" s="3"/>
      <c r="J841" s="4"/>
      <c r="K841" s="3"/>
      <c r="L841" s="4"/>
      <c r="M841" s="3"/>
      <c r="N841" s="4"/>
      <c r="O841" s="3"/>
      <c r="P841" s="4"/>
      <c r="Q841" s="3"/>
      <c r="R841" s="4"/>
      <c r="S841" s="3"/>
      <c r="T841" s="4"/>
      <c r="U841" s="3"/>
      <c r="V841" s="4"/>
      <c r="W841" s="3"/>
      <c r="X841" s="4"/>
      <c r="Y841" s="3"/>
      <c r="Z841" s="4"/>
      <c r="AA841" s="3"/>
      <c r="AB841" s="4"/>
      <c r="AC841" s="3"/>
      <c r="AD841" s="4"/>
      <c r="AE841" s="3"/>
      <c r="AF841" s="4"/>
      <c r="AG841" s="3"/>
      <c r="AH841" s="4"/>
      <c r="AI841" s="3"/>
      <c r="AJ841" s="4"/>
      <c r="AK841" s="3"/>
      <c r="AL841" s="4"/>
      <c r="AM841" s="3"/>
      <c r="AN841" s="4"/>
      <c r="AO841" s="3"/>
      <c r="AP841" s="4"/>
      <c r="AQ841" s="3"/>
      <c r="AR841" s="4"/>
      <c r="AS841" s="3"/>
      <c r="AT841" s="4"/>
      <c r="AU841" s="3"/>
      <c r="AV841" s="4"/>
      <c r="AW841" s="3"/>
      <c r="AX841" s="4"/>
      <c r="AY841" s="3"/>
      <c r="AZ841" s="4"/>
      <c r="BA841" s="3"/>
      <c r="BB841" s="4"/>
      <c r="BC841" s="3"/>
      <c r="BD841" s="4"/>
      <c r="BE841" s="3"/>
      <c r="BF841" s="4"/>
      <c r="BG841" s="3"/>
      <c r="BH841" s="4"/>
      <c r="BI841" s="3"/>
      <c r="BJ841" s="4"/>
      <c r="BK841" s="3"/>
      <c r="BL841" s="4"/>
      <c r="BM841" s="3"/>
      <c r="BN841" s="4"/>
      <c r="BO841" s="3"/>
      <c r="BP841" s="4"/>
      <c r="BQ841" s="3"/>
      <c r="BR841" s="4"/>
      <c r="BS841" s="3"/>
      <c r="BT841" s="4"/>
      <c r="BU841" s="3"/>
      <c r="BV841" s="4"/>
      <c r="BW841" s="3"/>
      <c r="BX841" s="4"/>
      <c r="BY841" s="3"/>
      <c r="BZ841" s="4"/>
      <c r="CA841" s="3"/>
      <c r="CB841" s="4"/>
      <c r="CC841" s="3"/>
      <c r="CD841" s="4"/>
    </row>
    <row r="842">
      <c r="A842" s="3"/>
      <c r="B842" s="4"/>
      <c r="C842" s="3"/>
      <c r="D842" s="4"/>
      <c r="E842" s="3"/>
      <c r="F842" s="4"/>
      <c r="G842" s="3"/>
      <c r="H842" s="4"/>
      <c r="I842" s="3"/>
      <c r="J842" s="4"/>
      <c r="K842" s="3"/>
      <c r="L842" s="4"/>
      <c r="M842" s="3"/>
      <c r="N842" s="4"/>
      <c r="O842" s="3"/>
      <c r="P842" s="4"/>
      <c r="Q842" s="3"/>
      <c r="R842" s="4"/>
      <c r="S842" s="3"/>
      <c r="T842" s="4"/>
      <c r="U842" s="3"/>
      <c r="V842" s="4"/>
      <c r="W842" s="3"/>
      <c r="X842" s="4"/>
      <c r="Y842" s="3"/>
      <c r="Z842" s="4"/>
      <c r="AA842" s="3"/>
      <c r="AB842" s="4"/>
      <c r="AC842" s="3"/>
      <c r="AD842" s="4"/>
      <c r="AE842" s="3"/>
      <c r="AF842" s="4"/>
      <c r="AG842" s="3"/>
      <c r="AH842" s="4"/>
      <c r="AI842" s="3"/>
      <c r="AJ842" s="4"/>
      <c r="AK842" s="3"/>
      <c r="AL842" s="4"/>
      <c r="AM842" s="3"/>
      <c r="AN842" s="4"/>
      <c r="AO842" s="3"/>
      <c r="AP842" s="4"/>
      <c r="AQ842" s="3"/>
      <c r="AR842" s="4"/>
      <c r="AS842" s="3"/>
      <c r="AT842" s="4"/>
      <c r="AU842" s="3"/>
      <c r="AV842" s="4"/>
      <c r="AW842" s="3"/>
      <c r="AX842" s="4"/>
      <c r="AY842" s="3"/>
      <c r="AZ842" s="4"/>
      <c r="BA842" s="3"/>
      <c r="BB842" s="4"/>
      <c r="BC842" s="3"/>
      <c r="BD842" s="4"/>
      <c r="BE842" s="3"/>
      <c r="BF842" s="4"/>
      <c r="BG842" s="3"/>
      <c r="BH842" s="4"/>
      <c r="BI842" s="3"/>
      <c r="BJ842" s="4"/>
      <c r="BK842" s="3"/>
      <c r="BL842" s="4"/>
      <c r="BM842" s="3"/>
      <c r="BN842" s="4"/>
      <c r="BO842" s="3"/>
      <c r="BP842" s="4"/>
      <c r="BQ842" s="3"/>
      <c r="BR842" s="4"/>
      <c r="BS842" s="3"/>
      <c r="BT842" s="4"/>
      <c r="BU842" s="3"/>
      <c r="BV842" s="4"/>
      <c r="BW842" s="3"/>
      <c r="BX842" s="4"/>
      <c r="BY842" s="3"/>
      <c r="BZ842" s="4"/>
      <c r="CA842" s="3"/>
      <c r="CB842" s="4"/>
      <c r="CC842" s="3"/>
      <c r="CD842" s="4"/>
    </row>
    <row r="843">
      <c r="A843" s="3"/>
      <c r="B843" s="4"/>
      <c r="C843" s="3"/>
      <c r="D843" s="4"/>
      <c r="E843" s="3"/>
      <c r="F843" s="4"/>
      <c r="G843" s="3"/>
      <c r="H843" s="4"/>
      <c r="I843" s="3"/>
      <c r="J843" s="4"/>
      <c r="K843" s="3"/>
      <c r="L843" s="4"/>
      <c r="M843" s="3"/>
      <c r="N843" s="4"/>
      <c r="O843" s="3"/>
      <c r="P843" s="4"/>
      <c r="Q843" s="3"/>
      <c r="R843" s="4"/>
      <c r="S843" s="3"/>
      <c r="T843" s="4"/>
      <c r="U843" s="3"/>
      <c r="V843" s="4"/>
      <c r="W843" s="3"/>
      <c r="X843" s="4"/>
      <c r="Y843" s="3"/>
      <c r="Z843" s="4"/>
      <c r="AA843" s="3"/>
      <c r="AB843" s="4"/>
      <c r="AC843" s="3"/>
      <c r="AD843" s="4"/>
      <c r="AE843" s="3"/>
      <c r="AF843" s="4"/>
      <c r="AG843" s="3"/>
      <c r="AH843" s="4"/>
      <c r="AI843" s="3"/>
      <c r="AJ843" s="4"/>
      <c r="AK843" s="3"/>
      <c r="AL843" s="4"/>
      <c r="AM843" s="3"/>
      <c r="AN843" s="4"/>
      <c r="AO843" s="3"/>
      <c r="AP843" s="4"/>
      <c r="AQ843" s="3"/>
      <c r="AR843" s="4"/>
      <c r="AS843" s="3"/>
      <c r="AT843" s="4"/>
      <c r="AU843" s="3"/>
      <c r="AV843" s="4"/>
      <c r="AW843" s="3"/>
      <c r="AX843" s="4"/>
      <c r="AY843" s="3"/>
      <c r="AZ843" s="4"/>
      <c r="BA843" s="3"/>
      <c r="BB843" s="4"/>
      <c r="BC843" s="3"/>
      <c r="BD843" s="4"/>
      <c r="BE843" s="3"/>
      <c r="BF843" s="4"/>
      <c r="BG843" s="3"/>
      <c r="BH843" s="4"/>
      <c r="BI843" s="3"/>
      <c r="BJ843" s="4"/>
      <c r="BK843" s="3"/>
      <c r="BL843" s="4"/>
      <c r="BM843" s="3"/>
      <c r="BN843" s="4"/>
      <c r="BO843" s="3"/>
      <c r="BP843" s="4"/>
      <c r="BQ843" s="3"/>
      <c r="BR843" s="4"/>
      <c r="BS843" s="3"/>
      <c r="BT843" s="4"/>
      <c r="BU843" s="3"/>
      <c r="BV843" s="4"/>
      <c r="BW843" s="3"/>
      <c r="BX843" s="4"/>
      <c r="BY843" s="3"/>
      <c r="BZ843" s="4"/>
      <c r="CA843" s="3"/>
      <c r="CB843" s="4"/>
      <c r="CC843" s="3"/>
      <c r="CD843" s="4"/>
    </row>
    <row r="844">
      <c r="A844" s="3"/>
      <c r="B844" s="4"/>
      <c r="C844" s="3"/>
      <c r="D844" s="4"/>
      <c r="E844" s="3"/>
      <c r="F844" s="4"/>
      <c r="G844" s="3"/>
      <c r="H844" s="4"/>
      <c r="I844" s="3"/>
      <c r="J844" s="4"/>
      <c r="K844" s="3"/>
      <c r="L844" s="4"/>
      <c r="M844" s="3"/>
      <c r="N844" s="4"/>
      <c r="O844" s="3"/>
      <c r="P844" s="4"/>
      <c r="Q844" s="3"/>
      <c r="R844" s="4"/>
      <c r="S844" s="3"/>
      <c r="T844" s="4"/>
      <c r="U844" s="3"/>
      <c r="V844" s="4"/>
      <c r="W844" s="3"/>
      <c r="X844" s="4"/>
      <c r="Y844" s="3"/>
      <c r="Z844" s="4"/>
      <c r="AA844" s="3"/>
      <c r="AB844" s="4"/>
      <c r="AC844" s="3"/>
      <c r="AD844" s="4"/>
      <c r="AE844" s="3"/>
      <c r="AF844" s="4"/>
      <c r="AG844" s="3"/>
      <c r="AH844" s="4"/>
      <c r="AI844" s="3"/>
      <c r="AJ844" s="4"/>
      <c r="AK844" s="3"/>
      <c r="AL844" s="4"/>
      <c r="AM844" s="3"/>
      <c r="AN844" s="4"/>
      <c r="AO844" s="3"/>
      <c r="AP844" s="4"/>
      <c r="AQ844" s="3"/>
      <c r="AR844" s="4"/>
      <c r="AS844" s="3"/>
      <c r="AT844" s="4"/>
      <c r="AU844" s="3"/>
      <c r="AV844" s="4"/>
      <c r="AW844" s="3"/>
      <c r="AX844" s="4"/>
      <c r="AY844" s="3"/>
      <c r="AZ844" s="4"/>
      <c r="BA844" s="3"/>
      <c r="BB844" s="4"/>
      <c r="BC844" s="3"/>
      <c r="BD844" s="4"/>
      <c r="BE844" s="3"/>
      <c r="BF844" s="4"/>
      <c r="BG844" s="3"/>
      <c r="BH844" s="4"/>
      <c r="BI844" s="3"/>
      <c r="BJ844" s="4"/>
      <c r="BK844" s="3"/>
      <c r="BL844" s="4"/>
      <c r="BM844" s="3"/>
      <c r="BN844" s="4"/>
      <c r="BO844" s="3"/>
      <c r="BP844" s="4"/>
      <c r="BQ844" s="3"/>
      <c r="BR844" s="4"/>
      <c r="BS844" s="3"/>
      <c r="BT844" s="4"/>
      <c r="BU844" s="3"/>
      <c r="BV844" s="4"/>
      <c r="BW844" s="3"/>
      <c r="BX844" s="4"/>
      <c r="BY844" s="3"/>
      <c r="BZ844" s="4"/>
      <c r="CA844" s="3"/>
      <c r="CB844" s="4"/>
      <c r="CC844" s="3"/>
      <c r="CD844" s="4"/>
    </row>
    <row r="845">
      <c r="A845" s="3"/>
      <c r="B845" s="4"/>
      <c r="C845" s="3"/>
      <c r="D845" s="4"/>
      <c r="E845" s="3"/>
      <c r="F845" s="4"/>
      <c r="G845" s="3"/>
      <c r="H845" s="4"/>
      <c r="I845" s="3"/>
      <c r="J845" s="4"/>
      <c r="K845" s="3"/>
      <c r="L845" s="4"/>
      <c r="M845" s="3"/>
      <c r="N845" s="4"/>
      <c r="O845" s="3"/>
      <c r="P845" s="4"/>
      <c r="Q845" s="3"/>
      <c r="R845" s="4"/>
      <c r="S845" s="3"/>
      <c r="T845" s="4"/>
      <c r="U845" s="3"/>
      <c r="V845" s="4"/>
      <c r="W845" s="3"/>
      <c r="X845" s="4"/>
      <c r="Y845" s="3"/>
      <c r="Z845" s="4"/>
      <c r="AA845" s="3"/>
      <c r="AB845" s="4"/>
      <c r="AC845" s="3"/>
      <c r="AD845" s="4"/>
      <c r="AE845" s="3"/>
      <c r="AF845" s="4"/>
      <c r="AG845" s="3"/>
      <c r="AH845" s="4"/>
      <c r="AI845" s="3"/>
      <c r="AJ845" s="4"/>
      <c r="AK845" s="3"/>
      <c r="AL845" s="4"/>
      <c r="AM845" s="3"/>
      <c r="AN845" s="4"/>
      <c r="AO845" s="3"/>
      <c r="AP845" s="4"/>
      <c r="AQ845" s="3"/>
      <c r="AR845" s="4"/>
      <c r="AS845" s="3"/>
      <c r="AT845" s="4"/>
      <c r="AU845" s="3"/>
      <c r="AV845" s="4"/>
      <c r="AW845" s="3"/>
      <c r="AX845" s="4"/>
      <c r="AY845" s="3"/>
      <c r="AZ845" s="4"/>
      <c r="BA845" s="3"/>
      <c r="BB845" s="4"/>
      <c r="BC845" s="3"/>
      <c r="BD845" s="4"/>
      <c r="BE845" s="3"/>
      <c r="BF845" s="4"/>
      <c r="BG845" s="3"/>
      <c r="BH845" s="4"/>
      <c r="BI845" s="3"/>
      <c r="BJ845" s="4"/>
      <c r="BK845" s="3"/>
      <c r="BL845" s="4"/>
      <c r="BM845" s="3"/>
      <c r="BN845" s="4"/>
      <c r="BO845" s="3"/>
      <c r="BP845" s="4"/>
      <c r="BQ845" s="3"/>
      <c r="BR845" s="4"/>
      <c r="BS845" s="3"/>
      <c r="BT845" s="4"/>
      <c r="BU845" s="3"/>
      <c r="BV845" s="4"/>
      <c r="BW845" s="3"/>
      <c r="BX845" s="4"/>
      <c r="BY845" s="3"/>
      <c r="BZ845" s="4"/>
      <c r="CA845" s="3"/>
      <c r="CB845" s="4"/>
      <c r="CC845" s="3"/>
      <c r="CD845" s="4"/>
    </row>
    <row r="846">
      <c r="A846" s="3"/>
      <c r="B846" s="4"/>
      <c r="C846" s="3"/>
      <c r="D846" s="4"/>
      <c r="E846" s="3"/>
      <c r="F846" s="4"/>
      <c r="G846" s="3"/>
      <c r="H846" s="4"/>
      <c r="I846" s="3"/>
      <c r="J846" s="4"/>
      <c r="K846" s="3"/>
      <c r="L846" s="4"/>
      <c r="M846" s="3"/>
      <c r="N846" s="4"/>
      <c r="O846" s="3"/>
      <c r="P846" s="4"/>
      <c r="Q846" s="3"/>
      <c r="R846" s="4"/>
      <c r="S846" s="3"/>
      <c r="T846" s="4"/>
      <c r="U846" s="3"/>
      <c r="V846" s="4"/>
      <c r="W846" s="3"/>
      <c r="X846" s="4"/>
      <c r="Y846" s="3"/>
      <c r="Z846" s="4"/>
      <c r="AA846" s="3"/>
      <c r="AB846" s="4"/>
      <c r="AC846" s="3"/>
      <c r="AD846" s="4"/>
      <c r="AE846" s="3"/>
      <c r="AF846" s="4"/>
      <c r="AG846" s="3"/>
      <c r="AH846" s="4"/>
      <c r="AI846" s="3"/>
      <c r="AJ846" s="4"/>
      <c r="AK846" s="3"/>
      <c r="AL846" s="4"/>
      <c r="AM846" s="3"/>
      <c r="AN846" s="4"/>
      <c r="AO846" s="3"/>
      <c r="AP846" s="4"/>
      <c r="AQ846" s="3"/>
      <c r="AR846" s="4"/>
      <c r="AS846" s="3"/>
      <c r="AT846" s="4"/>
      <c r="AU846" s="3"/>
      <c r="AV846" s="4"/>
      <c r="AW846" s="3"/>
      <c r="AX846" s="4"/>
      <c r="AY846" s="3"/>
      <c r="AZ846" s="4"/>
      <c r="BA846" s="3"/>
      <c r="BB846" s="4"/>
      <c r="BC846" s="3"/>
      <c r="BD846" s="4"/>
      <c r="BE846" s="3"/>
      <c r="BF846" s="4"/>
      <c r="BG846" s="3"/>
      <c r="BH846" s="4"/>
      <c r="BI846" s="3"/>
      <c r="BJ846" s="4"/>
      <c r="BK846" s="3"/>
      <c r="BL846" s="4"/>
      <c r="BM846" s="3"/>
      <c r="BN846" s="4"/>
      <c r="BO846" s="3"/>
      <c r="BP846" s="4"/>
      <c r="BQ846" s="3"/>
      <c r="BR846" s="4"/>
      <c r="BS846" s="3"/>
      <c r="BT846" s="4"/>
      <c r="BU846" s="3"/>
      <c r="BV846" s="4"/>
      <c r="BW846" s="3"/>
      <c r="BX846" s="4"/>
      <c r="BY846" s="3"/>
      <c r="BZ846" s="4"/>
      <c r="CA846" s="3"/>
      <c r="CB846" s="4"/>
      <c r="CC846" s="3"/>
      <c r="CD846" s="4"/>
    </row>
    <row r="847">
      <c r="A847" s="3"/>
      <c r="B847" s="4"/>
      <c r="C847" s="3"/>
      <c r="D847" s="4"/>
      <c r="E847" s="3"/>
      <c r="F847" s="4"/>
      <c r="G847" s="3"/>
      <c r="H847" s="4"/>
      <c r="I847" s="3"/>
      <c r="J847" s="4"/>
      <c r="K847" s="3"/>
      <c r="L847" s="4"/>
      <c r="M847" s="3"/>
      <c r="N847" s="4"/>
      <c r="O847" s="3"/>
      <c r="P847" s="4"/>
      <c r="Q847" s="3"/>
      <c r="R847" s="4"/>
      <c r="S847" s="3"/>
      <c r="T847" s="4"/>
      <c r="U847" s="3"/>
      <c r="V847" s="4"/>
      <c r="W847" s="3"/>
      <c r="X847" s="4"/>
      <c r="Y847" s="3"/>
      <c r="Z847" s="4"/>
      <c r="AA847" s="3"/>
      <c r="AB847" s="4"/>
      <c r="AC847" s="3"/>
      <c r="AD847" s="4"/>
      <c r="AE847" s="3"/>
      <c r="AF847" s="4"/>
      <c r="AG847" s="3"/>
      <c r="AH847" s="4"/>
      <c r="AI847" s="3"/>
      <c r="AJ847" s="4"/>
      <c r="AK847" s="3"/>
      <c r="AL847" s="4"/>
      <c r="AM847" s="3"/>
      <c r="AN847" s="4"/>
      <c r="AO847" s="3"/>
      <c r="AP847" s="4"/>
      <c r="AQ847" s="3"/>
      <c r="AR847" s="4"/>
      <c r="AS847" s="3"/>
      <c r="AT847" s="4"/>
      <c r="AU847" s="3"/>
      <c r="AV847" s="4"/>
      <c r="AW847" s="3"/>
      <c r="AX847" s="4"/>
      <c r="AY847" s="3"/>
      <c r="AZ847" s="4"/>
      <c r="BA847" s="3"/>
      <c r="BB847" s="4"/>
      <c r="BC847" s="3"/>
      <c r="BD847" s="4"/>
      <c r="BE847" s="3"/>
      <c r="BF847" s="4"/>
      <c r="BG847" s="3"/>
      <c r="BH847" s="4"/>
      <c r="BI847" s="3"/>
      <c r="BJ847" s="4"/>
      <c r="BK847" s="3"/>
      <c r="BL847" s="4"/>
      <c r="BM847" s="3"/>
      <c r="BN847" s="4"/>
      <c r="BO847" s="3"/>
      <c r="BP847" s="4"/>
      <c r="BQ847" s="3"/>
      <c r="BR847" s="4"/>
      <c r="BS847" s="3"/>
      <c r="BT847" s="4"/>
      <c r="BU847" s="3"/>
      <c r="BV847" s="4"/>
      <c r="BW847" s="3"/>
      <c r="BX847" s="4"/>
      <c r="BY847" s="3"/>
      <c r="BZ847" s="4"/>
      <c r="CA847" s="3"/>
      <c r="CB847" s="4"/>
      <c r="CC847" s="3"/>
      <c r="CD847" s="4"/>
    </row>
    <row r="848">
      <c r="A848" s="3"/>
      <c r="B848" s="4"/>
      <c r="C848" s="3"/>
      <c r="D848" s="4"/>
      <c r="E848" s="3"/>
      <c r="F848" s="4"/>
      <c r="G848" s="3"/>
      <c r="H848" s="4"/>
      <c r="I848" s="3"/>
      <c r="J848" s="4"/>
      <c r="K848" s="3"/>
      <c r="L848" s="4"/>
      <c r="M848" s="3"/>
      <c r="N848" s="4"/>
      <c r="O848" s="3"/>
      <c r="P848" s="4"/>
      <c r="Q848" s="3"/>
      <c r="R848" s="4"/>
      <c r="S848" s="3"/>
      <c r="T848" s="4"/>
      <c r="U848" s="3"/>
      <c r="V848" s="4"/>
      <c r="W848" s="3"/>
      <c r="X848" s="4"/>
      <c r="Y848" s="3"/>
      <c r="Z848" s="4"/>
      <c r="AA848" s="3"/>
      <c r="AB848" s="4"/>
      <c r="AC848" s="3"/>
      <c r="AD848" s="4"/>
      <c r="AE848" s="3"/>
      <c r="AF848" s="4"/>
      <c r="AG848" s="3"/>
      <c r="AH848" s="4"/>
      <c r="AI848" s="3"/>
      <c r="AJ848" s="4"/>
      <c r="AK848" s="3"/>
      <c r="AL848" s="4"/>
      <c r="AM848" s="3"/>
      <c r="AN848" s="4"/>
      <c r="AO848" s="3"/>
      <c r="AP848" s="4"/>
      <c r="AQ848" s="3"/>
      <c r="AR848" s="4"/>
      <c r="AS848" s="3"/>
      <c r="AT848" s="4"/>
      <c r="AU848" s="3"/>
      <c r="AV848" s="4"/>
      <c r="AW848" s="3"/>
      <c r="AX848" s="4"/>
      <c r="AY848" s="3"/>
      <c r="AZ848" s="4"/>
      <c r="BA848" s="3"/>
      <c r="BB848" s="4"/>
      <c r="BC848" s="3"/>
      <c r="BD848" s="4"/>
      <c r="BE848" s="3"/>
      <c r="BF848" s="4"/>
      <c r="BG848" s="3"/>
      <c r="BH848" s="4"/>
      <c r="BI848" s="3"/>
      <c r="BJ848" s="4"/>
      <c r="BK848" s="3"/>
      <c r="BL848" s="4"/>
      <c r="BM848" s="3"/>
      <c r="BN848" s="4"/>
      <c r="BO848" s="3"/>
      <c r="BP848" s="4"/>
      <c r="BQ848" s="3"/>
      <c r="BR848" s="4"/>
      <c r="BS848" s="3"/>
      <c r="BT848" s="4"/>
      <c r="BU848" s="3"/>
      <c r="BV848" s="4"/>
      <c r="BW848" s="3"/>
      <c r="BX848" s="4"/>
      <c r="BY848" s="3"/>
      <c r="BZ848" s="4"/>
      <c r="CA848" s="3"/>
      <c r="CB848" s="4"/>
      <c r="CC848" s="3"/>
      <c r="CD848" s="4"/>
    </row>
    <row r="849">
      <c r="A849" s="3"/>
      <c r="B849" s="4"/>
      <c r="C849" s="3"/>
      <c r="D849" s="4"/>
      <c r="E849" s="3"/>
      <c r="F849" s="4"/>
      <c r="G849" s="3"/>
      <c r="H849" s="4"/>
      <c r="I849" s="3"/>
      <c r="J849" s="4"/>
      <c r="K849" s="3"/>
      <c r="L849" s="4"/>
      <c r="M849" s="3"/>
      <c r="N849" s="4"/>
      <c r="O849" s="3"/>
      <c r="P849" s="4"/>
      <c r="Q849" s="3"/>
      <c r="R849" s="4"/>
      <c r="S849" s="3"/>
      <c r="T849" s="4"/>
      <c r="U849" s="3"/>
      <c r="V849" s="4"/>
      <c r="W849" s="3"/>
      <c r="X849" s="4"/>
      <c r="Y849" s="3"/>
      <c r="Z849" s="4"/>
      <c r="AA849" s="3"/>
      <c r="AB849" s="4"/>
      <c r="AC849" s="3"/>
      <c r="AD849" s="4"/>
      <c r="AE849" s="3"/>
      <c r="AF849" s="4"/>
      <c r="AG849" s="3"/>
      <c r="AH849" s="4"/>
      <c r="AI849" s="3"/>
      <c r="AJ849" s="4"/>
      <c r="AK849" s="3"/>
      <c r="AL849" s="4"/>
      <c r="AM849" s="3"/>
      <c r="AN849" s="4"/>
      <c r="AO849" s="3"/>
      <c r="AP849" s="4"/>
      <c r="AQ849" s="3"/>
      <c r="AR849" s="4"/>
      <c r="AS849" s="3"/>
      <c r="AT849" s="4"/>
      <c r="AU849" s="3"/>
      <c r="AV849" s="4"/>
      <c r="AW849" s="3"/>
      <c r="AX849" s="4"/>
      <c r="AY849" s="3"/>
      <c r="AZ849" s="4"/>
      <c r="BA849" s="3"/>
      <c r="BB849" s="4"/>
      <c r="BC849" s="3"/>
      <c r="BD849" s="4"/>
      <c r="BE849" s="3"/>
      <c r="BF849" s="4"/>
      <c r="BG849" s="3"/>
      <c r="BH849" s="4"/>
      <c r="BI849" s="3"/>
      <c r="BJ849" s="4"/>
      <c r="BK849" s="3"/>
      <c r="BL849" s="4"/>
      <c r="BM849" s="3"/>
      <c r="BN849" s="4"/>
      <c r="BO849" s="3"/>
      <c r="BP849" s="4"/>
      <c r="BQ849" s="3"/>
      <c r="BR849" s="4"/>
      <c r="BS849" s="3"/>
      <c r="BT849" s="4"/>
      <c r="BU849" s="3"/>
      <c r="BV849" s="4"/>
      <c r="BW849" s="3"/>
      <c r="BX849" s="4"/>
      <c r="BY849" s="3"/>
      <c r="BZ849" s="4"/>
      <c r="CA849" s="3"/>
      <c r="CB849" s="4"/>
      <c r="CC849" s="3"/>
      <c r="CD849" s="4"/>
    </row>
    <row r="850">
      <c r="A850" s="3"/>
      <c r="B850" s="4"/>
      <c r="C850" s="3"/>
      <c r="D850" s="4"/>
      <c r="E850" s="3"/>
      <c r="F850" s="4"/>
      <c r="G850" s="3"/>
      <c r="H850" s="4"/>
      <c r="I850" s="3"/>
      <c r="J850" s="4"/>
      <c r="K850" s="3"/>
      <c r="L850" s="4"/>
      <c r="M850" s="3"/>
      <c r="N850" s="4"/>
      <c r="O850" s="3"/>
      <c r="P850" s="4"/>
      <c r="Q850" s="3"/>
      <c r="R850" s="4"/>
      <c r="S850" s="3"/>
      <c r="T850" s="4"/>
      <c r="U850" s="3"/>
      <c r="V850" s="4"/>
      <c r="W850" s="3"/>
      <c r="X850" s="4"/>
      <c r="Y850" s="3"/>
      <c r="Z850" s="4"/>
      <c r="AA850" s="3"/>
      <c r="AB850" s="4"/>
      <c r="AC850" s="3"/>
      <c r="AD850" s="4"/>
      <c r="AE850" s="3"/>
      <c r="AF850" s="4"/>
      <c r="AG850" s="3"/>
      <c r="AH850" s="4"/>
      <c r="AI850" s="3"/>
      <c r="AJ850" s="4"/>
      <c r="AK850" s="3"/>
      <c r="AL850" s="4"/>
      <c r="AM850" s="3"/>
      <c r="AN850" s="4"/>
      <c r="AO850" s="3"/>
      <c r="AP850" s="4"/>
      <c r="AQ850" s="3"/>
      <c r="AR850" s="4"/>
      <c r="AS850" s="3"/>
      <c r="AT850" s="4"/>
      <c r="AU850" s="3"/>
      <c r="AV850" s="4"/>
      <c r="AW850" s="3"/>
      <c r="AX850" s="4"/>
      <c r="AY850" s="3"/>
      <c r="AZ850" s="4"/>
      <c r="BA850" s="3"/>
      <c r="BB850" s="4"/>
      <c r="BC850" s="3"/>
      <c r="BD850" s="4"/>
      <c r="BE850" s="3"/>
      <c r="BF850" s="4"/>
      <c r="BG850" s="3"/>
      <c r="BH850" s="4"/>
      <c r="BI850" s="3"/>
      <c r="BJ850" s="4"/>
      <c r="BK850" s="3"/>
      <c r="BL850" s="4"/>
      <c r="BM850" s="3"/>
      <c r="BN850" s="4"/>
      <c r="BO850" s="3"/>
      <c r="BP850" s="4"/>
      <c r="BQ850" s="3"/>
      <c r="BR850" s="4"/>
      <c r="BS850" s="3"/>
      <c r="BT850" s="4"/>
      <c r="BU850" s="3"/>
      <c r="BV850" s="4"/>
      <c r="BW850" s="3"/>
      <c r="BX850" s="4"/>
      <c r="BY850" s="3"/>
      <c r="BZ850" s="4"/>
      <c r="CA850" s="3"/>
      <c r="CB850" s="4"/>
      <c r="CC850" s="3"/>
      <c r="CD850" s="4"/>
    </row>
    <row r="851">
      <c r="A851" s="3"/>
      <c r="B851" s="4"/>
      <c r="C851" s="3"/>
      <c r="D851" s="4"/>
      <c r="E851" s="3"/>
      <c r="F851" s="4"/>
      <c r="G851" s="3"/>
      <c r="H851" s="4"/>
      <c r="I851" s="3"/>
      <c r="J851" s="4"/>
      <c r="K851" s="3"/>
      <c r="L851" s="4"/>
      <c r="M851" s="3"/>
      <c r="N851" s="4"/>
      <c r="O851" s="3"/>
      <c r="P851" s="4"/>
      <c r="Q851" s="3"/>
      <c r="R851" s="4"/>
      <c r="S851" s="3"/>
      <c r="T851" s="4"/>
      <c r="U851" s="3"/>
      <c r="V851" s="4"/>
      <c r="W851" s="3"/>
      <c r="X851" s="4"/>
      <c r="Y851" s="3"/>
      <c r="Z851" s="4"/>
      <c r="AA851" s="3"/>
      <c r="AB851" s="4"/>
      <c r="AC851" s="3"/>
      <c r="AD851" s="4"/>
      <c r="AE851" s="3"/>
      <c r="AF851" s="4"/>
      <c r="AG851" s="3"/>
      <c r="AH851" s="4"/>
      <c r="AI851" s="3"/>
      <c r="AJ851" s="4"/>
      <c r="AK851" s="3"/>
      <c r="AL851" s="4"/>
      <c r="AM851" s="3"/>
      <c r="AN851" s="4"/>
      <c r="AO851" s="3"/>
      <c r="AP851" s="4"/>
      <c r="AQ851" s="3"/>
      <c r="AR851" s="4"/>
      <c r="AS851" s="3"/>
      <c r="AT851" s="4"/>
      <c r="AU851" s="3"/>
      <c r="AV851" s="4"/>
      <c r="AW851" s="3"/>
      <c r="AX851" s="4"/>
      <c r="AY851" s="3"/>
      <c r="AZ851" s="4"/>
      <c r="BA851" s="3"/>
      <c r="BB851" s="4"/>
      <c r="BC851" s="3"/>
      <c r="BD851" s="4"/>
      <c r="BE851" s="3"/>
      <c r="BF851" s="4"/>
      <c r="BG851" s="3"/>
      <c r="BH851" s="4"/>
      <c r="BI851" s="3"/>
      <c r="BJ851" s="4"/>
      <c r="BK851" s="3"/>
      <c r="BL851" s="4"/>
      <c r="BM851" s="3"/>
      <c r="BN851" s="4"/>
      <c r="BO851" s="3"/>
      <c r="BP851" s="4"/>
      <c r="BQ851" s="3"/>
      <c r="BR851" s="4"/>
      <c r="BS851" s="3"/>
      <c r="BT851" s="4"/>
      <c r="BU851" s="3"/>
      <c r="BV851" s="4"/>
      <c r="BW851" s="3"/>
      <c r="BX851" s="4"/>
      <c r="BY851" s="3"/>
      <c r="BZ851" s="4"/>
      <c r="CA851" s="3"/>
      <c r="CB851" s="4"/>
      <c r="CC851" s="3"/>
      <c r="CD851" s="4"/>
    </row>
    <row r="852">
      <c r="A852" s="3"/>
      <c r="B852" s="4"/>
      <c r="C852" s="3"/>
      <c r="D852" s="4"/>
      <c r="E852" s="3"/>
      <c r="F852" s="4"/>
      <c r="G852" s="3"/>
      <c r="H852" s="4"/>
      <c r="I852" s="3"/>
      <c r="J852" s="4"/>
      <c r="K852" s="3"/>
      <c r="L852" s="4"/>
      <c r="M852" s="3"/>
      <c r="N852" s="4"/>
      <c r="O852" s="3"/>
      <c r="P852" s="4"/>
      <c r="Q852" s="3"/>
      <c r="R852" s="4"/>
      <c r="S852" s="3"/>
      <c r="T852" s="4"/>
      <c r="U852" s="3"/>
      <c r="V852" s="4"/>
      <c r="W852" s="3"/>
      <c r="X852" s="4"/>
      <c r="Y852" s="3"/>
      <c r="Z852" s="4"/>
      <c r="AA852" s="3"/>
      <c r="AB852" s="4"/>
      <c r="AC852" s="3"/>
      <c r="AD852" s="4"/>
      <c r="AE852" s="3"/>
      <c r="AF852" s="4"/>
      <c r="AG852" s="3"/>
      <c r="AH852" s="4"/>
      <c r="AI852" s="3"/>
      <c r="AJ852" s="4"/>
      <c r="AK852" s="3"/>
      <c r="AL852" s="4"/>
      <c r="AM852" s="3"/>
      <c r="AN852" s="4"/>
      <c r="AO852" s="3"/>
      <c r="AP852" s="4"/>
      <c r="AQ852" s="3"/>
      <c r="AR852" s="4"/>
      <c r="AS852" s="3"/>
      <c r="AT852" s="4"/>
      <c r="AU852" s="3"/>
      <c r="AV852" s="4"/>
      <c r="AW852" s="3"/>
      <c r="AX852" s="4"/>
      <c r="AY852" s="3"/>
      <c r="AZ852" s="4"/>
      <c r="BA852" s="3"/>
      <c r="BB852" s="4"/>
      <c r="BC852" s="3"/>
      <c r="BD852" s="4"/>
      <c r="BE852" s="3"/>
      <c r="BF852" s="4"/>
      <c r="BG852" s="3"/>
      <c r="BH852" s="4"/>
      <c r="BI852" s="3"/>
      <c r="BJ852" s="4"/>
      <c r="BK852" s="3"/>
      <c r="BL852" s="4"/>
      <c r="BM852" s="3"/>
      <c r="BN852" s="4"/>
      <c r="BO852" s="3"/>
      <c r="BP852" s="4"/>
      <c r="BQ852" s="3"/>
      <c r="BR852" s="4"/>
      <c r="BS852" s="3"/>
      <c r="BT852" s="4"/>
      <c r="BU852" s="3"/>
      <c r="BV852" s="4"/>
      <c r="BW852" s="3"/>
      <c r="BX852" s="4"/>
      <c r="BY852" s="3"/>
      <c r="BZ852" s="4"/>
      <c r="CA852" s="3"/>
      <c r="CB852" s="4"/>
      <c r="CC852" s="3"/>
      <c r="CD852" s="4"/>
    </row>
    <row r="853">
      <c r="A853" s="3"/>
      <c r="B853" s="4"/>
      <c r="C853" s="3"/>
      <c r="D853" s="4"/>
      <c r="E853" s="3"/>
      <c r="F853" s="4"/>
      <c r="G853" s="3"/>
      <c r="H853" s="4"/>
      <c r="I853" s="3"/>
      <c r="J853" s="4"/>
      <c r="K853" s="3"/>
      <c r="L853" s="4"/>
      <c r="M853" s="3"/>
      <c r="N853" s="4"/>
      <c r="O853" s="3"/>
      <c r="P853" s="4"/>
      <c r="Q853" s="3"/>
      <c r="R853" s="4"/>
      <c r="S853" s="3"/>
      <c r="T853" s="4"/>
      <c r="U853" s="3"/>
      <c r="V853" s="4"/>
      <c r="W853" s="3"/>
      <c r="X853" s="4"/>
      <c r="Y853" s="3"/>
      <c r="Z853" s="4"/>
      <c r="AA853" s="3"/>
      <c r="AB853" s="4"/>
      <c r="AC853" s="3"/>
      <c r="AD853" s="4"/>
      <c r="AE853" s="3"/>
      <c r="AF853" s="4"/>
      <c r="AG853" s="3"/>
      <c r="AH853" s="4"/>
      <c r="AI853" s="3"/>
      <c r="AJ853" s="4"/>
      <c r="AK853" s="3"/>
      <c r="AL853" s="4"/>
      <c r="AM853" s="3"/>
      <c r="AN853" s="4"/>
      <c r="AO853" s="3"/>
      <c r="AP853" s="4"/>
      <c r="AQ853" s="3"/>
      <c r="AR853" s="4"/>
      <c r="AS853" s="3"/>
      <c r="AT853" s="4"/>
      <c r="AU853" s="3"/>
      <c r="AV853" s="4"/>
      <c r="AW853" s="3"/>
      <c r="AX853" s="4"/>
      <c r="AY853" s="3"/>
      <c r="AZ853" s="4"/>
      <c r="BA853" s="3"/>
      <c r="BB853" s="4"/>
      <c r="BC853" s="3"/>
      <c r="BD853" s="4"/>
      <c r="BE853" s="3"/>
      <c r="BF853" s="4"/>
      <c r="BG853" s="3"/>
      <c r="BH853" s="4"/>
      <c r="BI853" s="3"/>
      <c r="BJ853" s="4"/>
      <c r="BK853" s="3"/>
      <c r="BL853" s="4"/>
      <c r="BM853" s="3"/>
      <c r="BN853" s="4"/>
      <c r="BO853" s="3"/>
      <c r="BP853" s="4"/>
      <c r="BQ853" s="3"/>
      <c r="BR853" s="4"/>
      <c r="BS853" s="3"/>
      <c r="BT853" s="4"/>
      <c r="BU853" s="3"/>
      <c r="BV853" s="4"/>
      <c r="BW853" s="3"/>
      <c r="BX853" s="4"/>
      <c r="BY853" s="3"/>
      <c r="BZ853" s="4"/>
      <c r="CA853" s="3"/>
      <c r="CB853" s="4"/>
      <c r="CC853" s="3"/>
      <c r="CD853" s="4"/>
    </row>
    <row r="854">
      <c r="A854" s="3"/>
      <c r="B854" s="4"/>
      <c r="C854" s="3"/>
      <c r="D854" s="4"/>
      <c r="E854" s="3"/>
      <c r="F854" s="4"/>
      <c r="G854" s="3"/>
      <c r="H854" s="4"/>
      <c r="I854" s="3"/>
      <c r="J854" s="4"/>
      <c r="K854" s="3"/>
      <c r="L854" s="4"/>
      <c r="M854" s="3"/>
      <c r="N854" s="4"/>
      <c r="O854" s="3"/>
      <c r="P854" s="4"/>
      <c r="Q854" s="3"/>
      <c r="R854" s="4"/>
      <c r="S854" s="3"/>
      <c r="T854" s="4"/>
      <c r="U854" s="3"/>
      <c r="V854" s="4"/>
      <c r="W854" s="3"/>
      <c r="X854" s="4"/>
      <c r="Y854" s="3"/>
      <c r="Z854" s="4"/>
      <c r="AA854" s="3"/>
      <c r="AB854" s="4"/>
      <c r="AC854" s="3"/>
      <c r="AD854" s="4"/>
      <c r="AE854" s="3"/>
      <c r="AF854" s="4"/>
      <c r="AG854" s="3"/>
      <c r="AH854" s="4"/>
      <c r="AI854" s="3"/>
      <c r="AJ854" s="4"/>
      <c r="AK854" s="3"/>
      <c r="AL854" s="4"/>
      <c r="AM854" s="3"/>
      <c r="AN854" s="4"/>
      <c r="AO854" s="3"/>
      <c r="AP854" s="4"/>
      <c r="AQ854" s="3"/>
      <c r="AR854" s="4"/>
      <c r="AS854" s="3"/>
      <c r="AT854" s="4"/>
      <c r="AU854" s="3"/>
      <c r="AV854" s="4"/>
      <c r="AW854" s="3"/>
      <c r="AX854" s="4"/>
      <c r="AY854" s="3"/>
      <c r="AZ854" s="4"/>
      <c r="BA854" s="3"/>
      <c r="BB854" s="4"/>
      <c r="BC854" s="3"/>
      <c r="BD854" s="4"/>
      <c r="BE854" s="3"/>
      <c r="BF854" s="4"/>
      <c r="BG854" s="3"/>
      <c r="BH854" s="4"/>
      <c r="BI854" s="3"/>
      <c r="BJ854" s="4"/>
      <c r="BK854" s="3"/>
      <c r="BL854" s="4"/>
      <c r="BM854" s="3"/>
      <c r="BN854" s="4"/>
      <c r="BO854" s="3"/>
      <c r="BP854" s="4"/>
      <c r="BQ854" s="3"/>
      <c r="BR854" s="4"/>
      <c r="BS854" s="3"/>
      <c r="BT854" s="4"/>
      <c r="BU854" s="3"/>
      <c r="BV854" s="4"/>
      <c r="BW854" s="3"/>
      <c r="BX854" s="4"/>
      <c r="BY854" s="3"/>
      <c r="BZ854" s="4"/>
      <c r="CA854" s="3"/>
      <c r="CB854" s="4"/>
      <c r="CC854" s="3"/>
      <c r="CD854" s="4"/>
    </row>
    <row r="855">
      <c r="A855" s="3"/>
      <c r="B855" s="4"/>
      <c r="C855" s="3"/>
      <c r="D855" s="4"/>
      <c r="E855" s="3"/>
      <c r="F855" s="4"/>
      <c r="G855" s="3"/>
      <c r="H855" s="4"/>
      <c r="I855" s="3"/>
      <c r="J855" s="4"/>
      <c r="K855" s="3"/>
      <c r="L855" s="4"/>
      <c r="M855" s="3"/>
      <c r="N855" s="4"/>
      <c r="O855" s="3"/>
      <c r="P855" s="4"/>
      <c r="Q855" s="3"/>
      <c r="R855" s="4"/>
      <c r="S855" s="3"/>
      <c r="T855" s="4"/>
      <c r="U855" s="3"/>
      <c r="V855" s="4"/>
      <c r="W855" s="3"/>
      <c r="X855" s="4"/>
      <c r="Y855" s="3"/>
      <c r="Z855" s="4"/>
      <c r="AA855" s="3"/>
      <c r="AB855" s="4"/>
      <c r="AC855" s="3"/>
      <c r="AD855" s="4"/>
      <c r="AE855" s="3"/>
      <c r="AF855" s="4"/>
      <c r="AG855" s="3"/>
      <c r="AH855" s="4"/>
      <c r="AI855" s="3"/>
      <c r="AJ855" s="4"/>
      <c r="AK855" s="3"/>
      <c r="AL855" s="4"/>
      <c r="AM855" s="3"/>
      <c r="AN855" s="4"/>
      <c r="AO855" s="3"/>
      <c r="AP855" s="4"/>
      <c r="AQ855" s="3"/>
      <c r="AR855" s="4"/>
      <c r="AS855" s="3"/>
      <c r="AT855" s="4"/>
      <c r="AU855" s="3"/>
      <c r="AV855" s="4"/>
      <c r="AW855" s="3"/>
      <c r="AX855" s="4"/>
      <c r="AY855" s="3"/>
      <c r="AZ855" s="4"/>
      <c r="BA855" s="3"/>
      <c r="BB855" s="4"/>
      <c r="BC855" s="3"/>
      <c r="BD855" s="4"/>
      <c r="BE855" s="3"/>
      <c r="BF855" s="4"/>
      <c r="BG855" s="3"/>
      <c r="BH855" s="4"/>
      <c r="BI855" s="3"/>
      <c r="BJ855" s="4"/>
      <c r="BK855" s="3"/>
      <c r="BL855" s="4"/>
      <c r="BM855" s="3"/>
      <c r="BN855" s="4"/>
      <c r="BO855" s="3"/>
      <c r="BP855" s="4"/>
      <c r="BQ855" s="3"/>
      <c r="BR855" s="4"/>
      <c r="BS855" s="3"/>
      <c r="BT855" s="4"/>
      <c r="BU855" s="3"/>
      <c r="BV855" s="4"/>
      <c r="BW855" s="3"/>
      <c r="BX855" s="4"/>
      <c r="BY855" s="3"/>
      <c r="BZ855" s="4"/>
      <c r="CA855" s="3"/>
      <c r="CB855" s="4"/>
      <c r="CC855" s="3"/>
      <c r="CD855" s="4"/>
    </row>
    <row r="856">
      <c r="A856" s="3"/>
      <c r="B856" s="4"/>
      <c r="C856" s="3"/>
      <c r="D856" s="4"/>
      <c r="E856" s="3"/>
      <c r="F856" s="4"/>
      <c r="G856" s="3"/>
      <c r="H856" s="4"/>
      <c r="I856" s="3"/>
      <c r="J856" s="4"/>
      <c r="K856" s="3"/>
      <c r="L856" s="4"/>
      <c r="M856" s="3"/>
      <c r="N856" s="4"/>
      <c r="O856" s="3"/>
      <c r="P856" s="4"/>
      <c r="Q856" s="3"/>
      <c r="R856" s="4"/>
      <c r="S856" s="3"/>
      <c r="T856" s="4"/>
      <c r="U856" s="3"/>
      <c r="V856" s="4"/>
      <c r="W856" s="3"/>
      <c r="X856" s="4"/>
      <c r="Y856" s="3"/>
      <c r="Z856" s="4"/>
      <c r="AA856" s="3"/>
      <c r="AB856" s="4"/>
      <c r="AC856" s="3"/>
      <c r="AD856" s="4"/>
      <c r="AE856" s="3"/>
      <c r="AF856" s="4"/>
      <c r="AG856" s="3"/>
      <c r="AH856" s="4"/>
      <c r="AI856" s="3"/>
      <c r="AJ856" s="4"/>
      <c r="AK856" s="3"/>
      <c r="AL856" s="4"/>
      <c r="AM856" s="3"/>
      <c r="AN856" s="4"/>
      <c r="AO856" s="3"/>
      <c r="AP856" s="4"/>
      <c r="AQ856" s="3"/>
      <c r="AR856" s="4"/>
      <c r="AS856" s="3"/>
      <c r="AT856" s="4"/>
      <c r="AU856" s="3"/>
      <c r="AV856" s="4"/>
      <c r="AW856" s="3"/>
      <c r="AX856" s="4"/>
      <c r="AY856" s="3"/>
      <c r="AZ856" s="4"/>
      <c r="BA856" s="3"/>
      <c r="BB856" s="4"/>
      <c r="BC856" s="3"/>
      <c r="BD856" s="4"/>
      <c r="BE856" s="3"/>
      <c r="BF856" s="4"/>
      <c r="BG856" s="3"/>
      <c r="BH856" s="4"/>
      <c r="BI856" s="3"/>
      <c r="BJ856" s="4"/>
      <c r="BK856" s="3"/>
      <c r="BL856" s="4"/>
      <c r="BM856" s="3"/>
      <c r="BN856" s="4"/>
      <c r="BO856" s="3"/>
      <c r="BP856" s="4"/>
      <c r="BQ856" s="3"/>
      <c r="BR856" s="4"/>
      <c r="BS856" s="3"/>
      <c r="BT856" s="4"/>
      <c r="BU856" s="3"/>
      <c r="BV856" s="4"/>
      <c r="BW856" s="3"/>
      <c r="BX856" s="4"/>
      <c r="BY856" s="3"/>
      <c r="BZ856" s="4"/>
      <c r="CA856" s="3"/>
      <c r="CB856" s="4"/>
      <c r="CC856" s="3"/>
      <c r="CD856" s="4"/>
    </row>
    <row r="857">
      <c r="A857" s="3"/>
      <c r="B857" s="4"/>
      <c r="C857" s="3"/>
      <c r="D857" s="4"/>
      <c r="E857" s="3"/>
      <c r="F857" s="4"/>
      <c r="G857" s="3"/>
      <c r="H857" s="4"/>
      <c r="I857" s="3"/>
      <c r="J857" s="4"/>
      <c r="K857" s="3"/>
      <c r="L857" s="4"/>
      <c r="M857" s="3"/>
      <c r="N857" s="4"/>
      <c r="O857" s="3"/>
      <c r="P857" s="4"/>
      <c r="Q857" s="3"/>
      <c r="R857" s="4"/>
      <c r="S857" s="3"/>
      <c r="T857" s="4"/>
      <c r="U857" s="3"/>
      <c r="V857" s="4"/>
      <c r="W857" s="3"/>
      <c r="X857" s="4"/>
      <c r="Y857" s="3"/>
      <c r="Z857" s="4"/>
      <c r="AA857" s="3"/>
      <c r="AB857" s="4"/>
      <c r="AC857" s="3"/>
      <c r="AD857" s="4"/>
      <c r="AE857" s="3"/>
      <c r="AF857" s="4"/>
      <c r="AG857" s="3"/>
      <c r="AH857" s="4"/>
      <c r="AI857" s="3"/>
      <c r="AJ857" s="4"/>
      <c r="AK857" s="3"/>
      <c r="AL857" s="4"/>
      <c r="AM857" s="3"/>
      <c r="AN857" s="4"/>
      <c r="AO857" s="3"/>
      <c r="AP857" s="4"/>
      <c r="AQ857" s="3"/>
      <c r="AR857" s="4"/>
      <c r="AS857" s="3"/>
      <c r="AT857" s="4"/>
      <c r="AU857" s="3"/>
      <c r="AV857" s="4"/>
      <c r="AW857" s="3"/>
      <c r="AX857" s="4"/>
      <c r="AY857" s="3"/>
      <c r="AZ857" s="4"/>
      <c r="BA857" s="3"/>
      <c r="BB857" s="4"/>
      <c r="BC857" s="3"/>
      <c r="BD857" s="4"/>
      <c r="BE857" s="3"/>
      <c r="BF857" s="4"/>
      <c r="BG857" s="3"/>
      <c r="BH857" s="4"/>
      <c r="BI857" s="3"/>
      <c r="BJ857" s="4"/>
      <c r="BK857" s="3"/>
      <c r="BL857" s="4"/>
      <c r="BM857" s="3"/>
      <c r="BN857" s="4"/>
      <c r="BO857" s="3"/>
      <c r="BP857" s="4"/>
      <c r="BQ857" s="3"/>
      <c r="BR857" s="4"/>
      <c r="BS857" s="3"/>
      <c r="BT857" s="4"/>
      <c r="BU857" s="3"/>
      <c r="BV857" s="4"/>
      <c r="BW857" s="3"/>
      <c r="BX857" s="4"/>
      <c r="BY857" s="3"/>
      <c r="BZ857" s="4"/>
      <c r="CA857" s="3"/>
      <c r="CB857" s="4"/>
      <c r="CC857" s="3"/>
      <c r="CD857" s="4"/>
    </row>
    <row r="858">
      <c r="A858" s="3"/>
      <c r="B858" s="4"/>
      <c r="C858" s="3"/>
      <c r="D858" s="4"/>
      <c r="E858" s="3"/>
      <c r="F858" s="4"/>
      <c r="G858" s="3"/>
      <c r="H858" s="4"/>
      <c r="I858" s="3"/>
      <c r="J858" s="4"/>
      <c r="K858" s="3"/>
      <c r="L858" s="4"/>
      <c r="M858" s="3"/>
      <c r="N858" s="4"/>
      <c r="O858" s="3"/>
      <c r="P858" s="4"/>
      <c r="Q858" s="3"/>
      <c r="R858" s="4"/>
      <c r="S858" s="3"/>
      <c r="T858" s="4"/>
      <c r="U858" s="3"/>
      <c r="V858" s="4"/>
      <c r="W858" s="3"/>
      <c r="X858" s="4"/>
      <c r="Y858" s="3"/>
      <c r="Z858" s="4"/>
      <c r="AA858" s="3"/>
      <c r="AB858" s="4"/>
      <c r="AC858" s="3"/>
      <c r="AD858" s="4"/>
      <c r="AE858" s="3"/>
      <c r="AF858" s="4"/>
      <c r="AG858" s="3"/>
      <c r="AH858" s="4"/>
      <c r="AI858" s="3"/>
      <c r="AJ858" s="4"/>
      <c r="AK858" s="3"/>
      <c r="AL858" s="4"/>
      <c r="AM858" s="3"/>
      <c r="AN858" s="4"/>
      <c r="AO858" s="3"/>
      <c r="AP858" s="4"/>
      <c r="AQ858" s="3"/>
      <c r="AR858" s="4"/>
      <c r="AS858" s="3"/>
      <c r="AT858" s="4"/>
      <c r="AU858" s="3"/>
      <c r="AV858" s="4"/>
      <c r="AW858" s="3"/>
      <c r="AX858" s="4"/>
      <c r="AY858" s="3"/>
      <c r="AZ858" s="4"/>
      <c r="BA858" s="3"/>
      <c r="BB858" s="4"/>
      <c r="BC858" s="3"/>
      <c r="BD858" s="4"/>
      <c r="BE858" s="3"/>
      <c r="BF858" s="4"/>
      <c r="BG858" s="3"/>
      <c r="BH858" s="4"/>
      <c r="BI858" s="3"/>
      <c r="BJ858" s="4"/>
      <c r="BK858" s="3"/>
      <c r="BL858" s="4"/>
      <c r="BM858" s="3"/>
      <c r="BN858" s="4"/>
      <c r="BO858" s="3"/>
      <c r="BP858" s="4"/>
      <c r="BQ858" s="3"/>
      <c r="BR858" s="4"/>
      <c r="BS858" s="3"/>
      <c r="BT858" s="4"/>
      <c r="BU858" s="3"/>
      <c r="BV858" s="4"/>
      <c r="BW858" s="3"/>
      <c r="BX858" s="4"/>
      <c r="BY858" s="3"/>
      <c r="BZ858" s="4"/>
      <c r="CA858" s="3"/>
      <c r="CB858" s="4"/>
      <c r="CC858" s="3"/>
      <c r="CD858" s="4"/>
    </row>
    <row r="859">
      <c r="A859" s="3"/>
      <c r="B859" s="4"/>
      <c r="C859" s="3"/>
      <c r="D859" s="4"/>
      <c r="E859" s="3"/>
      <c r="F859" s="4"/>
      <c r="G859" s="3"/>
      <c r="H859" s="4"/>
      <c r="I859" s="3"/>
      <c r="J859" s="4"/>
      <c r="K859" s="3"/>
      <c r="L859" s="4"/>
      <c r="M859" s="3"/>
      <c r="N859" s="4"/>
      <c r="O859" s="3"/>
      <c r="P859" s="4"/>
      <c r="Q859" s="3"/>
      <c r="R859" s="4"/>
      <c r="S859" s="3"/>
      <c r="T859" s="4"/>
      <c r="U859" s="3"/>
      <c r="V859" s="4"/>
      <c r="W859" s="3"/>
      <c r="X859" s="4"/>
      <c r="Y859" s="3"/>
      <c r="Z859" s="4"/>
      <c r="AA859" s="3"/>
      <c r="AB859" s="4"/>
      <c r="AC859" s="3"/>
      <c r="AD859" s="4"/>
      <c r="AE859" s="3"/>
      <c r="AF859" s="4"/>
      <c r="AG859" s="3"/>
      <c r="AH859" s="4"/>
      <c r="AI859" s="3"/>
      <c r="AJ859" s="4"/>
      <c r="AK859" s="3"/>
      <c r="AL859" s="4"/>
      <c r="AM859" s="3"/>
      <c r="AN859" s="4"/>
      <c r="AO859" s="3"/>
      <c r="AP859" s="4"/>
      <c r="AQ859" s="3"/>
      <c r="AR859" s="4"/>
      <c r="AS859" s="3"/>
      <c r="AT859" s="4"/>
      <c r="AU859" s="3"/>
      <c r="AV859" s="4"/>
      <c r="AW859" s="3"/>
      <c r="AX859" s="4"/>
      <c r="AY859" s="3"/>
      <c r="AZ859" s="4"/>
      <c r="BA859" s="3"/>
      <c r="BB859" s="4"/>
      <c r="BC859" s="3"/>
      <c r="BD859" s="4"/>
      <c r="BE859" s="3"/>
      <c r="BF859" s="4"/>
      <c r="BG859" s="3"/>
      <c r="BH859" s="4"/>
      <c r="BI859" s="3"/>
      <c r="BJ859" s="4"/>
      <c r="BK859" s="3"/>
      <c r="BL859" s="4"/>
      <c r="BM859" s="3"/>
      <c r="BN859" s="4"/>
      <c r="BO859" s="3"/>
      <c r="BP859" s="4"/>
      <c r="BQ859" s="3"/>
      <c r="BR859" s="4"/>
      <c r="BS859" s="3"/>
      <c r="BT859" s="4"/>
      <c r="BU859" s="3"/>
      <c r="BV859" s="4"/>
      <c r="BW859" s="3"/>
      <c r="BX859" s="4"/>
      <c r="BY859" s="3"/>
      <c r="BZ859" s="4"/>
      <c r="CA859" s="3"/>
      <c r="CB859" s="4"/>
      <c r="CC859" s="3"/>
      <c r="CD859" s="4"/>
    </row>
    <row r="860">
      <c r="A860" s="3"/>
      <c r="B860" s="4"/>
      <c r="C860" s="3"/>
      <c r="D860" s="4"/>
      <c r="E860" s="3"/>
      <c r="F860" s="4"/>
      <c r="G860" s="3"/>
      <c r="H860" s="4"/>
      <c r="I860" s="3"/>
      <c r="J860" s="4"/>
      <c r="K860" s="3"/>
      <c r="L860" s="4"/>
      <c r="M860" s="3"/>
      <c r="N860" s="4"/>
      <c r="O860" s="3"/>
      <c r="P860" s="4"/>
      <c r="Q860" s="3"/>
      <c r="R860" s="4"/>
      <c r="S860" s="3"/>
      <c r="T860" s="4"/>
      <c r="U860" s="3"/>
      <c r="V860" s="4"/>
      <c r="W860" s="3"/>
      <c r="X860" s="4"/>
      <c r="Y860" s="3"/>
      <c r="Z860" s="4"/>
      <c r="AA860" s="3"/>
      <c r="AB860" s="4"/>
      <c r="AC860" s="3"/>
      <c r="AD860" s="4"/>
      <c r="AE860" s="3"/>
      <c r="AF860" s="4"/>
      <c r="AG860" s="3"/>
      <c r="AH860" s="4"/>
      <c r="AI860" s="3"/>
      <c r="AJ860" s="4"/>
      <c r="AK860" s="3"/>
      <c r="AL860" s="4"/>
      <c r="AM860" s="3"/>
      <c r="AN860" s="4"/>
      <c r="AO860" s="3"/>
      <c r="AP860" s="4"/>
      <c r="AQ860" s="3"/>
      <c r="AR860" s="4"/>
      <c r="AS860" s="3"/>
      <c r="AT860" s="4"/>
      <c r="AU860" s="3"/>
      <c r="AV860" s="4"/>
      <c r="AW860" s="3"/>
      <c r="AX860" s="4"/>
      <c r="AY860" s="3"/>
      <c r="AZ860" s="4"/>
      <c r="BA860" s="3"/>
      <c r="BB860" s="4"/>
      <c r="BC860" s="3"/>
      <c r="BD860" s="4"/>
      <c r="BE860" s="3"/>
      <c r="BF860" s="4"/>
      <c r="BG860" s="3"/>
      <c r="BH860" s="4"/>
      <c r="BI860" s="3"/>
      <c r="BJ860" s="4"/>
      <c r="BK860" s="3"/>
      <c r="BL860" s="4"/>
      <c r="BM860" s="3"/>
      <c r="BN860" s="4"/>
      <c r="BO860" s="3"/>
      <c r="BP860" s="4"/>
      <c r="BQ860" s="3"/>
      <c r="BR860" s="4"/>
      <c r="BS860" s="3"/>
      <c r="BT860" s="4"/>
      <c r="BU860" s="3"/>
      <c r="BV860" s="4"/>
      <c r="BW860" s="3"/>
      <c r="BX860" s="4"/>
      <c r="BY860" s="3"/>
      <c r="BZ860" s="4"/>
      <c r="CA860" s="3"/>
      <c r="CB860" s="4"/>
      <c r="CC860" s="3"/>
      <c r="CD860" s="4"/>
    </row>
    <row r="861">
      <c r="A861" s="3"/>
      <c r="B861" s="4"/>
      <c r="C861" s="3"/>
      <c r="D861" s="4"/>
      <c r="E861" s="3"/>
      <c r="F861" s="4"/>
      <c r="G861" s="3"/>
      <c r="H861" s="4"/>
      <c r="I861" s="3"/>
      <c r="J861" s="4"/>
      <c r="K861" s="3"/>
      <c r="L861" s="4"/>
      <c r="M861" s="3"/>
      <c r="N861" s="4"/>
      <c r="O861" s="3"/>
      <c r="P861" s="4"/>
      <c r="Q861" s="3"/>
      <c r="R861" s="4"/>
      <c r="S861" s="3"/>
      <c r="T861" s="4"/>
      <c r="U861" s="3"/>
      <c r="V861" s="4"/>
      <c r="W861" s="3"/>
      <c r="X861" s="4"/>
      <c r="Y861" s="3"/>
      <c r="Z861" s="4"/>
      <c r="AA861" s="3"/>
      <c r="AB861" s="4"/>
      <c r="AC861" s="3"/>
      <c r="AD861" s="4"/>
      <c r="AE861" s="3"/>
      <c r="AF861" s="4"/>
      <c r="AG861" s="3"/>
      <c r="AH861" s="4"/>
      <c r="AI861" s="3"/>
      <c r="AJ861" s="4"/>
      <c r="AK861" s="3"/>
      <c r="AL861" s="4"/>
      <c r="AM861" s="3"/>
      <c r="AN861" s="4"/>
      <c r="AO861" s="3"/>
      <c r="AP861" s="4"/>
      <c r="AQ861" s="3"/>
      <c r="AR861" s="4"/>
      <c r="AS861" s="3"/>
      <c r="AT861" s="4"/>
      <c r="AU861" s="3"/>
      <c r="AV861" s="4"/>
      <c r="AW861" s="3"/>
      <c r="AX861" s="4"/>
      <c r="AY861" s="3"/>
      <c r="AZ861" s="4"/>
      <c r="BA861" s="3"/>
      <c r="BB861" s="4"/>
      <c r="BC861" s="3"/>
      <c r="BD861" s="4"/>
      <c r="BE861" s="3"/>
      <c r="BF861" s="4"/>
      <c r="BG861" s="3"/>
      <c r="BH861" s="4"/>
      <c r="BI861" s="3"/>
      <c r="BJ861" s="4"/>
      <c r="BK861" s="3"/>
      <c r="BL861" s="4"/>
      <c r="BM861" s="3"/>
      <c r="BN861" s="4"/>
      <c r="BO861" s="3"/>
      <c r="BP861" s="4"/>
      <c r="BQ861" s="3"/>
      <c r="BR861" s="4"/>
      <c r="BS861" s="3"/>
      <c r="BT861" s="4"/>
      <c r="BU861" s="3"/>
      <c r="BV861" s="4"/>
      <c r="BW861" s="3"/>
      <c r="BX861" s="4"/>
      <c r="BY861" s="3"/>
      <c r="BZ861" s="4"/>
      <c r="CA861" s="3"/>
      <c r="CB861" s="4"/>
      <c r="CC861" s="3"/>
      <c r="CD861" s="4"/>
    </row>
    <row r="862">
      <c r="A862" s="3"/>
      <c r="B862" s="4"/>
      <c r="C862" s="3"/>
      <c r="D862" s="4"/>
      <c r="E862" s="3"/>
      <c r="F862" s="4"/>
      <c r="G862" s="3"/>
      <c r="H862" s="4"/>
      <c r="I862" s="3"/>
      <c r="J862" s="4"/>
      <c r="K862" s="3"/>
      <c r="L862" s="4"/>
      <c r="M862" s="3"/>
      <c r="N862" s="4"/>
      <c r="O862" s="3"/>
      <c r="P862" s="4"/>
      <c r="Q862" s="3"/>
      <c r="R862" s="4"/>
      <c r="S862" s="3"/>
      <c r="T862" s="4"/>
      <c r="U862" s="3"/>
      <c r="V862" s="4"/>
      <c r="W862" s="3"/>
      <c r="X862" s="4"/>
      <c r="Y862" s="3"/>
      <c r="Z862" s="4"/>
      <c r="AA862" s="3"/>
      <c r="AB862" s="4"/>
      <c r="AC862" s="3"/>
      <c r="AD862" s="4"/>
      <c r="AE862" s="3"/>
      <c r="AF862" s="4"/>
      <c r="AG862" s="3"/>
      <c r="AH862" s="4"/>
      <c r="AI862" s="3"/>
      <c r="AJ862" s="4"/>
      <c r="AK862" s="3"/>
      <c r="AL862" s="4"/>
      <c r="AM862" s="3"/>
      <c r="AN862" s="4"/>
      <c r="AO862" s="3"/>
      <c r="AP862" s="4"/>
      <c r="AQ862" s="3"/>
      <c r="AR862" s="4"/>
      <c r="AS862" s="3"/>
      <c r="AT862" s="4"/>
      <c r="AU862" s="3"/>
      <c r="AV862" s="4"/>
      <c r="AW862" s="3"/>
      <c r="AX862" s="4"/>
      <c r="AY862" s="3"/>
      <c r="AZ862" s="4"/>
      <c r="BA862" s="3"/>
      <c r="BB862" s="4"/>
      <c r="BC862" s="3"/>
      <c r="BD862" s="4"/>
      <c r="BE862" s="3"/>
      <c r="BF862" s="4"/>
      <c r="BG862" s="3"/>
      <c r="BH862" s="4"/>
      <c r="BI862" s="3"/>
      <c r="BJ862" s="4"/>
      <c r="BK862" s="3"/>
      <c r="BL862" s="4"/>
      <c r="BM862" s="3"/>
      <c r="BN862" s="4"/>
      <c r="BO862" s="3"/>
      <c r="BP862" s="4"/>
      <c r="BQ862" s="3"/>
      <c r="BR862" s="4"/>
      <c r="BS862" s="3"/>
      <c r="BT862" s="4"/>
      <c r="BU862" s="3"/>
      <c r="BV862" s="4"/>
      <c r="BW862" s="3"/>
      <c r="BX862" s="4"/>
      <c r="BY862" s="3"/>
      <c r="BZ862" s="4"/>
      <c r="CA862" s="3"/>
      <c r="CB862" s="4"/>
      <c r="CC862" s="3"/>
      <c r="CD862" s="4"/>
    </row>
    <row r="863">
      <c r="A863" s="3"/>
      <c r="B863" s="4"/>
      <c r="C863" s="3"/>
      <c r="D863" s="4"/>
      <c r="E863" s="3"/>
      <c r="F863" s="4"/>
      <c r="G863" s="3"/>
      <c r="H863" s="4"/>
      <c r="I863" s="3"/>
      <c r="J863" s="4"/>
      <c r="K863" s="3"/>
      <c r="L863" s="4"/>
      <c r="M863" s="3"/>
      <c r="N863" s="4"/>
      <c r="O863" s="3"/>
      <c r="P863" s="4"/>
      <c r="Q863" s="3"/>
      <c r="R863" s="4"/>
      <c r="S863" s="3"/>
      <c r="T863" s="4"/>
      <c r="U863" s="3"/>
      <c r="V863" s="4"/>
      <c r="W863" s="3"/>
      <c r="X863" s="4"/>
      <c r="Y863" s="3"/>
      <c r="Z863" s="4"/>
      <c r="AA863" s="3"/>
      <c r="AB863" s="4"/>
      <c r="AC863" s="3"/>
      <c r="AD863" s="4"/>
      <c r="AE863" s="3"/>
      <c r="AF863" s="4"/>
      <c r="AG863" s="3"/>
      <c r="AH863" s="4"/>
      <c r="AI863" s="3"/>
      <c r="AJ863" s="4"/>
      <c r="AK863" s="3"/>
      <c r="AL863" s="4"/>
      <c r="AM863" s="3"/>
      <c r="AN863" s="4"/>
      <c r="AO863" s="3"/>
      <c r="AP863" s="4"/>
      <c r="AQ863" s="3"/>
      <c r="AR863" s="4"/>
      <c r="AS863" s="3"/>
      <c r="AT863" s="4"/>
      <c r="AU863" s="3"/>
      <c r="AV863" s="4"/>
      <c r="AW863" s="3"/>
      <c r="AX863" s="4"/>
      <c r="AY863" s="3"/>
      <c r="AZ863" s="4"/>
      <c r="BA863" s="3"/>
      <c r="BB863" s="4"/>
      <c r="BC863" s="3"/>
      <c r="BD863" s="4"/>
      <c r="BE863" s="3"/>
      <c r="BF863" s="4"/>
      <c r="BG863" s="3"/>
      <c r="BH863" s="4"/>
      <c r="BI863" s="3"/>
      <c r="BJ863" s="4"/>
      <c r="BK863" s="3"/>
      <c r="BL863" s="4"/>
      <c r="BM863" s="3"/>
      <c r="BN863" s="4"/>
      <c r="BO863" s="3"/>
      <c r="BP863" s="4"/>
      <c r="BQ863" s="3"/>
      <c r="BR863" s="4"/>
      <c r="BS863" s="3"/>
      <c r="BT863" s="4"/>
      <c r="BU863" s="3"/>
      <c r="BV863" s="4"/>
      <c r="BW863" s="3"/>
      <c r="BX863" s="4"/>
      <c r="BY863" s="3"/>
      <c r="BZ863" s="4"/>
      <c r="CA863" s="3"/>
      <c r="CB863" s="4"/>
      <c r="CC863" s="3"/>
      <c r="CD863" s="4"/>
    </row>
    <row r="864">
      <c r="A864" s="3"/>
      <c r="B864" s="4"/>
      <c r="C864" s="3"/>
      <c r="D864" s="4"/>
      <c r="E864" s="3"/>
      <c r="F864" s="4"/>
      <c r="G864" s="3"/>
      <c r="H864" s="4"/>
      <c r="I864" s="3"/>
      <c r="J864" s="4"/>
      <c r="K864" s="3"/>
      <c r="L864" s="4"/>
      <c r="M864" s="3"/>
      <c r="N864" s="4"/>
      <c r="O864" s="3"/>
      <c r="P864" s="4"/>
      <c r="Q864" s="3"/>
      <c r="R864" s="4"/>
      <c r="S864" s="3"/>
      <c r="T864" s="4"/>
      <c r="U864" s="3"/>
      <c r="V864" s="4"/>
      <c r="W864" s="3"/>
      <c r="X864" s="4"/>
      <c r="Y864" s="3"/>
      <c r="Z864" s="4"/>
      <c r="AA864" s="3"/>
      <c r="AB864" s="4"/>
      <c r="AC864" s="3"/>
      <c r="AD864" s="4"/>
      <c r="AE864" s="3"/>
      <c r="AF864" s="4"/>
      <c r="AG864" s="3"/>
      <c r="AH864" s="4"/>
      <c r="AI864" s="3"/>
      <c r="AJ864" s="4"/>
      <c r="AK864" s="3"/>
      <c r="AL864" s="4"/>
      <c r="AM864" s="3"/>
      <c r="AN864" s="4"/>
      <c r="AO864" s="3"/>
      <c r="AP864" s="4"/>
      <c r="AQ864" s="3"/>
      <c r="AR864" s="4"/>
      <c r="AS864" s="3"/>
      <c r="AT864" s="4"/>
      <c r="AU864" s="3"/>
      <c r="AV864" s="4"/>
      <c r="AW864" s="3"/>
      <c r="AX864" s="4"/>
      <c r="AY864" s="3"/>
      <c r="AZ864" s="4"/>
      <c r="BA864" s="3"/>
      <c r="BB864" s="4"/>
      <c r="BC864" s="3"/>
      <c r="BD864" s="4"/>
      <c r="BE864" s="3"/>
      <c r="BF864" s="4"/>
      <c r="BG864" s="3"/>
      <c r="BH864" s="4"/>
      <c r="BI864" s="3"/>
      <c r="BJ864" s="4"/>
      <c r="BK864" s="3"/>
      <c r="BL864" s="4"/>
      <c r="BM864" s="3"/>
      <c r="BN864" s="4"/>
      <c r="BO864" s="3"/>
      <c r="BP864" s="4"/>
      <c r="BQ864" s="3"/>
      <c r="BR864" s="4"/>
      <c r="BS864" s="3"/>
      <c r="BT864" s="4"/>
      <c r="BU864" s="3"/>
      <c r="BV864" s="4"/>
      <c r="BW864" s="3"/>
      <c r="BX864" s="4"/>
      <c r="BY864" s="3"/>
      <c r="BZ864" s="4"/>
      <c r="CA864" s="3"/>
      <c r="CB864" s="4"/>
      <c r="CC864" s="3"/>
      <c r="CD864" s="4"/>
    </row>
    <row r="865">
      <c r="A865" s="3"/>
      <c r="B865" s="4"/>
      <c r="C865" s="3"/>
      <c r="D865" s="4"/>
      <c r="E865" s="3"/>
      <c r="F865" s="4"/>
      <c r="G865" s="3"/>
      <c r="H865" s="4"/>
      <c r="I865" s="3"/>
      <c r="J865" s="4"/>
      <c r="K865" s="3"/>
      <c r="L865" s="4"/>
      <c r="M865" s="3"/>
      <c r="N865" s="4"/>
      <c r="O865" s="3"/>
      <c r="P865" s="4"/>
      <c r="Q865" s="3"/>
      <c r="R865" s="4"/>
      <c r="S865" s="3"/>
      <c r="T865" s="4"/>
      <c r="U865" s="3"/>
      <c r="V865" s="4"/>
      <c r="W865" s="3"/>
      <c r="X865" s="4"/>
      <c r="Y865" s="3"/>
      <c r="Z865" s="4"/>
      <c r="AA865" s="3"/>
      <c r="AB865" s="4"/>
      <c r="AC865" s="3"/>
      <c r="AD865" s="4"/>
      <c r="AE865" s="3"/>
      <c r="AF865" s="4"/>
      <c r="AG865" s="3"/>
      <c r="AH865" s="4"/>
      <c r="AI865" s="3"/>
      <c r="AJ865" s="4"/>
      <c r="AK865" s="3"/>
      <c r="AL865" s="4"/>
      <c r="AM865" s="3"/>
      <c r="AN865" s="4"/>
      <c r="AO865" s="3"/>
      <c r="AP865" s="4"/>
      <c r="AQ865" s="3"/>
      <c r="AR865" s="4"/>
      <c r="AS865" s="3"/>
      <c r="AT865" s="4"/>
      <c r="AU865" s="3"/>
      <c r="AV865" s="4"/>
      <c r="AW865" s="3"/>
      <c r="AX865" s="4"/>
      <c r="AY865" s="3"/>
      <c r="AZ865" s="4"/>
      <c r="BA865" s="3"/>
      <c r="BB865" s="4"/>
      <c r="BC865" s="3"/>
      <c r="BD865" s="4"/>
      <c r="BE865" s="3"/>
      <c r="BF865" s="4"/>
      <c r="BG865" s="3"/>
      <c r="BH865" s="4"/>
      <c r="BI865" s="3"/>
      <c r="BJ865" s="4"/>
      <c r="BK865" s="3"/>
      <c r="BL865" s="4"/>
      <c r="BM865" s="3"/>
      <c r="BN865" s="4"/>
      <c r="BO865" s="3"/>
      <c r="BP865" s="4"/>
      <c r="BQ865" s="3"/>
      <c r="BR865" s="4"/>
      <c r="BS865" s="3"/>
      <c r="BT865" s="4"/>
      <c r="BU865" s="3"/>
      <c r="BV865" s="4"/>
      <c r="BW865" s="3"/>
      <c r="BX865" s="4"/>
      <c r="BY865" s="3"/>
      <c r="BZ865" s="4"/>
      <c r="CA865" s="3"/>
      <c r="CB865" s="4"/>
      <c r="CC865" s="3"/>
      <c r="CD865" s="4"/>
    </row>
    <row r="866">
      <c r="A866" s="3"/>
      <c r="B866" s="4"/>
      <c r="C866" s="3"/>
      <c r="D866" s="4"/>
      <c r="E866" s="3"/>
      <c r="F866" s="4"/>
      <c r="G866" s="3"/>
      <c r="H866" s="4"/>
      <c r="I866" s="3"/>
      <c r="J866" s="4"/>
      <c r="K866" s="3"/>
      <c r="L866" s="4"/>
      <c r="M866" s="3"/>
      <c r="N866" s="4"/>
      <c r="O866" s="3"/>
      <c r="P866" s="4"/>
      <c r="Q866" s="3"/>
      <c r="R866" s="4"/>
      <c r="S866" s="3"/>
      <c r="T866" s="4"/>
      <c r="U866" s="3"/>
      <c r="V866" s="4"/>
      <c r="W866" s="3"/>
      <c r="X866" s="4"/>
      <c r="Y866" s="3"/>
      <c r="Z866" s="4"/>
      <c r="AA866" s="3"/>
      <c r="AB866" s="4"/>
      <c r="AC866" s="3"/>
      <c r="AD866" s="4"/>
      <c r="AE866" s="3"/>
      <c r="AF866" s="4"/>
      <c r="AG866" s="3"/>
      <c r="AH866" s="4"/>
      <c r="AI866" s="3"/>
      <c r="AJ866" s="4"/>
      <c r="AK866" s="3"/>
      <c r="AL866" s="4"/>
      <c r="AM866" s="3"/>
      <c r="AN866" s="4"/>
      <c r="AO866" s="3"/>
      <c r="AP866" s="4"/>
      <c r="AQ866" s="3"/>
      <c r="AR866" s="4"/>
      <c r="AS866" s="3"/>
      <c r="AT866" s="4"/>
      <c r="AU866" s="3"/>
      <c r="AV866" s="4"/>
      <c r="AW866" s="3"/>
      <c r="AX866" s="4"/>
      <c r="AY866" s="3"/>
      <c r="AZ866" s="4"/>
      <c r="BA866" s="3"/>
      <c r="BB866" s="4"/>
      <c r="BC866" s="3"/>
      <c r="BD866" s="4"/>
      <c r="BE866" s="3"/>
      <c r="BF866" s="4"/>
      <c r="BG866" s="3"/>
      <c r="BH866" s="4"/>
      <c r="BI866" s="3"/>
      <c r="BJ866" s="4"/>
      <c r="BK866" s="3"/>
      <c r="BL866" s="4"/>
      <c r="BM866" s="3"/>
      <c r="BN866" s="4"/>
      <c r="BO866" s="3"/>
      <c r="BP866" s="4"/>
      <c r="BQ866" s="3"/>
      <c r="BR866" s="4"/>
      <c r="BS866" s="3"/>
      <c r="BT866" s="4"/>
      <c r="BU866" s="3"/>
      <c r="BV866" s="4"/>
      <c r="BW866" s="3"/>
      <c r="BX866" s="4"/>
      <c r="BY866" s="3"/>
      <c r="BZ866" s="4"/>
      <c r="CA866" s="3"/>
      <c r="CB866" s="4"/>
      <c r="CC866" s="3"/>
      <c r="CD866" s="4"/>
    </row>
    <row r="867">
      <c r="A867" s="3"/>
      <c r="B867" s="4"/>
      <c r="C867" s="3"/>
      <c r="D867" s="4"/>
      <c r="E867" s="3"/>
      <c r="F867" s="4"/>
      <c r="G867" s="3"/>
      <c r="H867" s="4"/>
      <c r="I867" s="3"/>
      <c r="J867" s="4"/>
      <c r="K867" s="3"/>
      <c r="L867" s="4"/>
      <c r="M867" s="3"/>
      <c r="N867" s="4"/>
      <c r="O867" s="3"/>
      <c r="P867" s="4"/>
      <c r="Q867" s="3"/>
      <c r="R867" s="4"/>
      <c r="S867" s="3"/>
      <c r="T867" s="4"/>
      <c r="U867" s="3"/>
      <c r="V867" s="4"/>
      <c r="W867" s="3"/>
      <c r="X867" s="4"/>
      <c r="Y867" s="3"/>
      <c r="Z867" s="4"/>
      <c r="AA867" s="3"/>
      <c r="AB867" s="4"/>
      <c r="AC867" s="3"/>
      <c r="AD867" s="4"/>
      <c r="AE867" s="3"/>
      <c r="AF867" s="4"/>
      <c r="AG867" s="3"/>
      <c r="AH867" s="4"/>
      <c r="AI867" s="3"/>
      <c r="AJ867" s="4"/>
      <c r="AK867" s="3"/>
      <c r="AL867" s="4"/>
      <c r="AM867" s="3"/>
      <c r="AN867" s="4"/>
      <c r="AO867" s="3"/>
      <c r="AP867" s="4"/>
      <c r="AQ867" s="3"/>
      <c r="AR867" s="4"/>
      <c r="AS867" s="3"/>
      <c r="AT867" s="4"/>
      <c r="AU867" s="3"/>
      <c r="AV867" s="4"/>
      <c r="AW867" s="3"/>
      <c r="AX867" s="4"/>
      <c r="AY867" s="3"/>
      <c r="AZ867" s="4"/>
      <c r="BA867" s="3"/>
      <c r="BB867" s="4"/>
      <c r="BC867" s="3"/>
      <c r="BD867" s="4"/>
      <c r="BE867" s="3"/>
      <c r="BF867" s="4"/>
      <c r="BG867" s="3"/>
      <c r="BH867" s="4"/>
      <c r="BI867" s="3"/>
      <c r="BJ867" s="4"/>
      <c r="BK867" s="3"/>
      <c r="BL867" s="4"/>
      <c r="BM867" s="3"/>
      <c r="BN867" s="4"/>
      <c r="BO867" s="3"/>
      <c r="BP867" s="4"/>
      <c r="BQ867" s="3"/>
      <c r="BR867" s="4"/>
      <c r="BS867" s="3"/>
      <c r="BT867" s="4"/>
      <c r="BU867" s="3"/>
      <c r="BV867" s="4"/>
      <c r="BW867" s="3"/>
      <c r="BX867" s="4"/>
      <c r="BY867" s="3"/>
      <c r="BZ867" s="4"/>
      <c r="CA867" s="3"/>
      <c r="CB867" s="4"/>
      <c r="CC867" s="3"/>
      <c r="CD867" s="4"/>
    </row>
    <row r="868">
      <c r="A868" s="3"/>
      <c r="B868" s="4"/>
      <c r="C868" s="3"/>
      <c r="D868" s="4"/>
      <c r="E868" s="3"/>
      <c r="F868" s="4"/>
      <c r="G868" s="3"/>
      <c r="H868" s="4"/>
      <c r="I868" s="3"/>
      <c r="J868" s="4"/>
      <c r="K868" s="3"/>
      <c r="L868" s="4"/>
      <c r="M868" s="3"/>
      <c r="N868" s="4"/>
      <c r="O868" s="3"/>
      <c r="P868" s="4"/>
      <c r="Q868" s="3"/>
      <c r="R868" s="4"/>
      <c r="S868" s="3"/>
      <c r="T868" s="4"/>
      <c r="U868" s="3"/>
      <c r="V868" s="4"/>
      <c r="W868" s="3"/>
      <c r="X868" s="4"/>
      <c r="Y868" s="3"/>
      <c r="Z868" s="4"/>
      <c r="AA868" s="3"/>
      <c r="AB868" s="4"/>
      <c r="AC868" s="3"/>
      <c r="AD868" s="4"/>
      <c r="AE868" s="3"/>
      <c r="AF868" s="4"/>
      <c r="AG868" s="3"/>
      <c r="AH868" s="4"/>
      <c r="AI868" s="3"/>
      <c r="AJ868" s="4"/>
      <c r="AK868" s="3"/>
      <c r="AL868" s="4"/>
      <c r="AM868" s="3"/>
      <c r="AN868" s="4"/>
      <c r="AO868" s="3"/>
      <c r="AP868" s="4"/>
      <c r="AQ868" s="3"/>
      <c r="AR868" s="4"/>
      <c r="AS868" s="3"/>
      <c r="AT868" s="4"/>
      <c r="AU868" s="3"/>
      <c r="AV868" s="4"/>
      <c r="AW868" s="3"/>
      <c r="AX868" s="4"/>
      <c r="AY868" s="3"/>
      <c r="AZ868" s="4"/>
      <c r="BA868" s="3"/>
      <c r="BB868" s="4"/>
      <c r="BC868" s="3"/>
      <c r="BD868" s="4"/>
      <c r="BE868" s="3"/>
      <c r="BF868" s="4"/>
      <c r="BG868" s="3"/>
      <c r="BH868" s="4"/>
      <c r="BI868" s="3"/>
      <c r="BJ868" s="4"/>
      <c r="BK868" s="3"/>
      <c r="BL868" s="4"/>
      <c r="BM868" s="3"/>
      <c r="BN868" s="4"/>
      <c r="BO868" s="3"/>
      <c r="BP868" s="4"/>
      <c r="BQ868" s="3"/>
      <c r="BR868" s="4"/>
      <c r="BS868" s="3"/>
      <c r="BT868" s="4"/>
      <c r="BU868" s="3"/>
      <c r="BV868" s="4"/>
      <c r="BW868" s="3"/>
      <c r="BX868" s="4"/>
      <c r="BY868" s="3"/>
      <c r="BZ868" s="4"/>
      <c r="CA868" s="3"/>
      <c r="CB868" s="4"/>
      <c r="CC868" s="3"/>
      <c r="CD868" s="4"/>
    </row>
    <row r="869">
      <c r="A869" s="3"/>
      <c r="B869" s="4"/>
      <c r="C869" s="3"/>
      <c r="D869" s="4"/>
      <c r="E869" s="3"/>
      <c r="F869" s="4"/>
      <c r="G869" s="3"/>
      <c r="H869" s="4"/>
      <c r="I869" s="3"/>
      <c r="J869" s="4"/>
      <c r="K869" s="3"/>
      <c r="L869" s="4"/>
      <c r="M869" s="3"/>
      <c r="N869" s="4"/>
      <c r="O869" s="3"/>
      <c r="P869" s="4"/>
      <c r="Q869" s="3"/>
      <c r="R869" s="4"/>
      <c r="S869" s="3"/>
      <c r="T869" s="4"/>
      <c r="U869" s="3"/>
      <c r="V869" s="4"/>
      <c r="W869" s="3"/>
      <c r="X869" s="4"/>
      <c r="Y869" s="3"/>
      <c r="Z869" s="4"/>
      <c r="AA869" s="3"/>
      <c r="AB869" s="4"/>
      <c r="AC869" s="3"/>
      <c r="AD869" s="4"/>
      <c r="AE869" s="3"/>
      <c r="AF869" s="4"/>
      <c r="AG869" s="3"/>
      <c r="AH869" s="4"/>
      <c r="AI869" s="3"/>
      <c r="AJ869" s="4"/>
      <c r="AK869" s="3"/>
      <c r="AL869" s="4"/>
      <c r="AM869" s="3"/>
      <c r="AN869" s="4"/>
      <c r="AO869" s="3"/>
      <c r="AP869" s="4"/>
      <c r="AQ869" s="3"/>
      <c r="AR869" s="4"/>
      <c r="AS869" s="3"/>
      <c r="AT869" s="4"/>
      <c r="AU869" s="3"/>
      <c r="AV869" s="4"/>
      <c r="AW869" s="3"/>
      <c r="AX869" s="4"/>
      <c r="AY869" s="3"/>
      <c r="AZ869" s="4"/>
      <c r="BA869" s="3"/>
      <c r="BB869" s="4"/>
      <c r="BC869" s="3"/>
      <c r="BD869" s="4"/>
      <c r="BE869" s="3"/>
      <c r="BF869" s="4"/>
      <c r="BG869" s="3"/>
      <c r="BH869" s="4"/>
      <c r="BI869" s="3"/>
      <c r="BJ869" s="4"/>
      <c r="BK869" s="3"/>
      <c r="BL869" s="4"/>
      <c r="BM869" s="3"/>
      <c r="BN869" s="4"/>
      <c r="BO869" s="3"/>
      <c r="BP869" s="4"/>
      <c r="BQ869" s="3"/>
      <c r="BR869" s="4"/>
      <c r="BS869" s="3"/>
      <c r="BT869" s="4"/>
      <c r="BU869" s="3"/>
      <c r="BV869" s="4"/>
      <c r="BW869" s="3"/>
      <c r="BX869" s="4"/>
      <c r="BY869" s="3"/>
      <c r="BZ869" s="4"/>
      <c r="CA869" s="3"/>
      <c r="CB869" s="4"/>
      <c r="CC869" s="3"/>
      <c r="CD869" s="4"/>
    </row>
    <row r="870">
      <c r="A870" s="3"/>
      <c r="B870" s="4"/>
      <c r="C870" s="3"/>
      <c r="D870" s="4"/>
      <c r="E870" s="3"/>
      <c r="F870" s="4"/>
      <c r="G870" s="3"/>
      <c r="H870" s="4"/>
      <c r="I870" s="3"/>
      <c r="J870" s="4"/>
      <c r="K870" s="3"/>
      <c r="L870" s="4"/>
      <c r="M870" s="3"/>
      <c r="N870" s="4"/>
      <c r="O870" s="3"/>
      <c r="P870" s="4"/>
      <c r="Q870" s="3"/>
      <c r="R870" s="4"/>
      <c r="S870" s="3"/>
      <c r="T870" s="4"/>
      <c r="U870" s="3"/>
      <c r="V870" s="4"/>
      <c r="W870" s="3"/>
      <c r="X870" s="4"/>
      <c r="Y870" s="3"/>
      <c r="Z870" s="4"/>
      <c r="AA870" s="3"/>
      <c r="AB870" s="4"/>
      <c r="AC870" s="3"/>
      <c r="AD870" s="4"/>
      <c r="AE870" s="3"/>
      <c r="AF870" s="4"/>
      <c r="AG870" s="3"/>
      <c r="AH870" s="4"/>
      <c r="AI870" s="3"/>
      <c r="AJ870" s="4"/>
      <c r="AK870" s="3"/>
      <c r="AL870" s="4"/>
      <c r="AM870" s="3"/>
      <c r="AN870" s="4"/>
      <c r="AO870" s="3"/>
      <c r="AP870" s="4"/>
      <c r="AQ870" s="3"/>
      <c r="AR870" s="4"/>
      <c r="AS870" s="3"/>
      <c r="AT870" s="4"/>
      <c r="AU870" s="3"/>
      <c r="AV870" s="4"/>
      <c r="AW870" s="3"/>
      <c r="AX870" s="4"/>
      <c r="AY870" s="3"/>
      <c r="AZ870" s="4"/>
      <c r="BA870" s="3"/>
      <c r="BB870" s="4"/>
      <c r="BC870" s="3"/>
      <c r="BD870" s="4"/>
      <c r="BE870" s="3"/>
      <c r="BF870" s="4"/>
      <c r="BG870" s="3"/>
      <c r="BH870" s="4"/>
      <c r="BI870" s="3"/>
      <c r="BJ870" s="4"/>
      <c r="BK870" s="3"/>
      <c r="BL870" s="4"/>
      <c r="BM870" s="3"/>
      <c r="BN870" s="4"/>
      <c r="BO870" s="3"/>
      <c r="BP870" s="4"/>
      <c r="BQ870" s="3"/>
      <c r="BR870" s="4"/>
      <c r="BS870" s="3"/>
      <c r="BT870" s="4"/>
      <c r="BU870" s="3"/>
      <c r="BV870" s="4"/>
      <c r="BW870" s="3"/>
      <c r="BX870" s="4"/>
      <c r="BY870" s="3"/>
      <c r="BZ870" s="4"/>
      <c r="CA870" s="3"/>
      <c r="CB870" s="4"/>
      <c r="CC870" s="3"/>
      <c r="CD870" s="4"/>
    </row>
    <row r="871">
      <c r="A871" s="3"/>
      <c r="B871" s="4"/>
      <c r="C871" s="3"/>
      <c r="D871" s="4"/>
      <c r="E871" s="3"/>
      <c r="F871" s="4"/>
      <c r="G871" s="3"/>
      <c r="H871" s="4"/>
      <c r="I871" s="3"/>
      <c r="J871" s="4"/>
      <c r="K871" s="3"/>
      <c r="L871" s="4"/>
      <c r="M871" s="3"/>
      <c r="N871" s="4"/>
      <c r="O871" s="3"/>
      <c r="P871" s="4"/>
      <c r="Q871" s="3"/>
      <c r="R871" s="4"/>
      <c r="S871" s="3"/>
      <c r="T871" s="4"/>
      <c r="U871" s="3"/>
      <c r="V871" s="4"/>
      <c r="W871" s="3"/>
      <c r="X871" s="4"/>
      <c r="Y871" s="3"/>
      <c r="Z871" s="4"/>
      <c r="AA871" s="3"/>
      <c r="AB871" s="4"/>
      <c r="AC871" s="3"/>
      <c r="AD871" s="4"/>
      <c r="AE871" s="3"/>
      <c r="AF871" s="4"/>
      <c r="AG871" s="3"/>
      <c r="AH871" s="4"/>
      <c r="AI871" s="3"/>
      <c r="AJ871" s="4"/>
      <c r="AK871" s="3"/>
      <c r="AL871" s="4"/>
      <c r="AM871" s="3"/>
      <c r="AN871" s="4"/>
      <c r="AO871" s="3"/>
      <c r="AP871" s="4"/>
      <c r="AQ871" s="3"/>
      <c r="AR871" s="4"/>
      <c r="AS871" s="3"/>
      <c r="AT871" s="4"/>
      <c r="AU871" s="3"/>
      <c r="AV871" s="4"/>
      <c r="AW871" s="3"/>
      <c r="AX871" s="4"/>
      <c r="AY871" s="3"/>
      <c r="AZ871" s="4"/>
      <c r="BA871" s="3"/>
      <c r="BB871" s="4"/>
      <c r="BC871" s="3"/>
      <c r="BD871" s="4"/>
      <c r="BE871" s="3"/>
      <c r="BF871" s="4"/>
      <c r="BG871" s="3"/>
      <c r="BH871" s="4"/>
      <c r="BI871" s="3"/>
      <c r="BJ871" s="4"/>
      <c r="BK871" s="3"/>
      <c r="BL871" s="4"/>
      <c r="BM871" s="3"/>
      <c r="BN871" s="4"/>
      <c r="BO871" s="3"/>
      <c r="BP871" s="4"/>
      <c r="BQ871" s="3"/>
      <c r="BR871" s="4"/>
      <c r="BS871" s="3"/>
      <c r="BT871" s="4"/>
      <c r="BU871" s="3"/>
      <c r="BV871" s="4"/>
      <c r="BW871" s="3"/>
      <c r="BX871" s="4"/>
      <c r="BY871" s="3"/>
      <c r="BZ871" s="4"/>
      <c r="CA871" s="3"/>
      <c r="CB871" s="4"/>
      <c r="CC871" s="3"/>
      <c r="CD871" s="4"/>
    </row>
    <row r="872">
      <c r="A872" s="3"/>
      <c r="B872" s="4"/>
      <c r="C872" s="3"/>
      <c r="D872" s="4"/>
      <c r="E872" s="3"/>
      <c r="F872" s="4"/>
      <c r="G872" s="3"/>
      <c r="H872" s="4"/>
      <c r="I872" s="3"/>
      <c r="J872" s="4"/>
      <c r="K872" s="3"/>
      <c r="L872" s="4"/>
      <c r="M872" s="3"/>
      <c r="N872" s="4"/>
      <c r="O872" s="3"/>
      <c r="P872" s="4"/>
      <c r="Q872" s="3"/>
      <c r="R872" s="4"/>
      <c r="S872" s="3"/>
      <c r="T872" s="4"/>
      <c r="U872" s="3"/>
      <c r="V872" s="4"/>
      <c r="W872" s="3"/>
      <c r="X872" s="4"/>
      <c r="Y872" s="3"/>
      <c r="Z872" s="4"/>
      <c r="AA872" s="3"/>
      <c r="AB872" s="4"/>
      <c r="AC872" s="3"/>
      <c r="AD872" s="4"/>
      <c r="AE872" s="3"/>
      <c r="AF872" s="4"/>
      <c r="AG872" s="3"/>
      <c r="AH872" s="4"/>
      <c r="AI872" s="3"/>
      <c r="AJ872" s="4"/>
      <c r="AK872" s="3"/>
      <c r="AL872" s="4"/>
      <c r="AM872" s="3"/>
      <c r="AN872" s="4"/>
      <c r="AO872" s="3"/>
      <c r="AP872" s="4"/>
      <c r="AQ872" s="3"/>
      <c r="AR872" s="4"/>
      <c r="AS872" s="3"/>
      <c r="AT872" s="4"/>
      <c r="AU872" s="3"/>
      <c r="AV872" s="4"/>
      <c r="AW872" s="3"/>
      <c r="AX872" s="4"/>
      <c r="AY872" s="3"/>
      <c r="AZ872" s="4"/>
      <c r="BA872" s="3"/>
      <c r="BB872" s="4"/>
      <c r="BC872" s="3"/>
      <c r="BD872" s="4"/>
      <c r="BE872" s="3"/>
      <c r="BF872" s="4"/>
      <c r="BG872" s="3"/>
      <c r="BH872" s="4"/>
      <c r="BI872" s="3"/>
      <c r="BJ872" s="4"/>
      <c r="BK872" s="3"/>
      <c r="BL872" s="4"/>
      <c r="BM872" s="3"/>
      <c r="BN872" s="4"/>
      <c r="BO872" s="3"/>
      <c r="BP872" s="4"/>
      <c r="BQ872" s="3"/>
      <c r="BR872" s="4"/>
      <c r="BS872" s="3"/>
      <c r="BT872" s="4"/>
      <c r="BU872" s="3"/>
      <c r="BV872" s="4"/>
      <c r="BW872" s="3"/>
      <c r="BX872" s="4"/>
      <c r="BY872" s="3"/>
      <c r="BZ872" s="4"/>
      <c r="CA872" s="3"/>
      <c r="CB872" s="4"/>
      <c r="CC872" s="3"/>
      <c r="CD872" s="4"/>
    </row>
    <row r="873">
      <c r="A873" s="3"/>
      <c r="B873" s="4"/>
      <c r="C873" s="3"/>
      <c r="D873" s="4"/>
      <c r="E873" s="3"/>
      <c r="F873" s="4"/>
      <c r="G873" s="3"/>
      <c r="H873" s="4"/>
      <c r="I873" s="3"/>
      <c r="J873" s="4"/>
      <c r="K873" s="3"/>
      <c r="L873" s="4"/>
      <c r="M873" s="3"/>
      <c r="N873" s="4"/>
      <c r="O873" s="3"/>
      <c r="P873" s="4"/>
      <c r="Q873" s="3"/>
      <c r="R873" s="4"/>
      <c r="S873" s="3"/>
      <c r="T873" s="4"/>
      <c r="U873" s="3"/>
      <c r="V873" s="4"/>
      <c r="W873" s="3"/>
      <c r="X873" s="4"/>
      <c r="Y873" s="3"/>
      <c r="Z873" s="4"/>
      <c r="AA873" s="3"/>
      <c r="AB873" s="4"/>
      <c r="AC873" s="3"/>
      <c r="AD873" s="4"/>
      <c r="AE873" s="3"/>
      <c r="AF873" s="4"/>
      <c r="AG873" s="3"/>
      <c r="AH873" s="4"/>
      <c r="AI873" s="3"/>
      <c r="AJ873" s="4"/>
      <c r="AK873" s="3"/>
      <c r="AL873" s="4"/>
      <c r="AM873" s="3"/>
      <c r="AN873" s="4"/>
      <c r="AO873" s="3"/>
      <c r="AP873" s="4"/>
      <c r="AQ873" s="3"/>
      <c r="AR873" s="4"/>
      <c r="AS873" s="3"/>
      <c r="AT873" s="4"/>
      <c r="AU873" s="3"/>
      <c r="AV873" s="4"/>
      <c r="AW873" s="3"/>
      <c r="AX873" s="4"/>
      <c r="AY873" s="3"/>
      <c r="AZ873" s="4"/>
      <c r="BA873" s="3"/>
      <c r="BB873" s="4"/>
      <c r="BC873" s="3"/>
      <c r="BD873" s="4"/>
      <c r="BE873" s="3"/>
      <c r="BF873" s="4"/>
      <c r="BG873" s="3"/>
      <c r="BH873" s="4"/>
      <c r="BI873" s="3"/>
      <c r="BJ873" s="4"/>
      <c r="BK873" s="3"/>
      <c r="BL873" s="4"/>
      <c r="BM873" s="3"/>
      <c r="BN873" s="4"/>
      <c r="BO873" s="3"/>
      <c r="BP873" s="4"/>
      <c r="BQ873" s="3"/>
      <c r="BR873" s="4"/>
      <c r="BS873" s="3"/>
      <c r="BT873" s="4"/>
      <c r="BU873" s="3"/>
      <c r="BV873" s="4"/>
      <c r="BW873" s="3"/>
      <c r="BX873" s="4"/>
      <c r="BY873" s="3"/>
      <c r="BZ873" s="4"/>
      <c r="CA873" s="3"/>
      <c r="CB873" s="4"/>
      <c r="CC873" s="3"/>
      <c r="CD873" s="4"/>
    </row>
    <row r="874">
      <c r="A874" s="3"/>
      <c r="B874" s="4"/>
      <c r="C874" s="3"/>
      <c r="D874" s="4"/>
      <c r="E874" s="3"/>
      <c r="F874" s="4"/>
      <c r="G874" s="3"/>
      <c r="H874" s="4"/>
      <c r="I874" s="3"/>
      <c r="J874" s="4"/>
      <c r="K874" s="3"/>
      <c r="L874" s="4"/>
      <c r="M874" s="3"/>
      <c r="N874" s="4"/>
      <c r="O874" s="3"/>
      <c r="P874" s="4"/>
      <c r="Q874" s="3"/>
      <c r="R874" s="4"/>
      <c r="S874" s="3"/>
      <c r="T874" s="4"/>
      <c r="U874" s="3"/>
      <c r="V874" s="4"/>
      <c r="W874" s="3"/>
      <c r="X874" s="4"/>
      <c r="Y874" s="3"/>
      <c r="Z874" s="4"/>
      <c r="AA874" s="3"/>
      <c r="AB874" s="4"/>
      <c r="AC874" s="3"/>
      <c r="AD874" s="4"/>
      <c r="AE874" s="3"/>
      <c r="AF874" s="4"/>
      <c r="AG874" s="3"/>
      <c r="AH874" s="4"/>
      <c r="AI874" s="3"/>
      <c r="AJ874" s="4"/>
      <c r="AK874" s="3"/>
      <c r="AL874" s="4"/>
      <c r="AM874" s="3"/>
      <c r="AN874" s="4"/>
      <c r="AO874" s="3"/>
      <c r="AP874" s="4"/>
      <c r="AQ874" s="3"/>
      <c r="AR874" s="4"/>
      <c r="AS874" s="3"/>
      <c r="AT874" s="4"/>
      <c r="AU874" s="3"/>
      <c r="AV874" s="4"/>
      <c r="AW874" s="3"/>
      <c r="AX874" s="4"/>
      <c r="AY874" s="3"/>
      <c r="AZ874" s="4"/>
      <c r="BA874" s="3"/>
      <c r="BB874" s="4"/>
      <c r="BC874" s="3"/>
      <c r="BD874" s="4"/>
      <c r="BE874" s="3"/>
      <c r="BF874" s="4"/>
      <c r="BG874" s="3"/>
      <c r="BH874" s="4"/>
      <c r="BI874" s="3"/>
      <c r="BJ874" s="4"/>
      <c r="BK874" s="3"/>
      <c r="BL874" s="4"/>
      <c r="BM874" s="3"/>
      <c r="BN874" s="4"/>
      <c r="BO874" s="3"/>
      <c r="BP874" s="4"/>
      <c r="BQ874" s="3"/>
      <c r="BR874" s="4"/>
      <c r="BS874" s="3"/>
      <c r="BT874" s="4"/>
      <c r="BU874" s="3"/>
      <c r="BV874" s="4"/>
      <c r="BW874" s="3"/>
      <c r="BX874" s="4"/>
      <c r="BY874" s="3"/>
      <c r="BZ874" s="4"/>
      <c r="CA874" s="3"/>
      <c r="CB874" s="4"/>
      <c r="CC874" s="3"/>
      <c r="CD874" s="4"/>
    </row>
    <row r="875">
      <c r="A875" s="3"/>
      <c r="B875" s="4"/>
      <c r="C875" s="3"/>
      <c r="D875" s="4"/>
      <c r="E875" s="3"/>
      <c r="F875" s="4"/>
      <c r="G875" s="3"/>
      <c r="H875" s="4"/>
      <c r="I875" s="3"/>
      <c r="J875" s="4"/>
      <c r="K875" s="3"/>
      <c r="L875" s="4"/>
      <c r="M875" s="3"/>
      <c r="N875" s="4"/>
      <c r="O875" s="3"/>
      <c r="P875" s="4"/>
      <c r="Q875" s="3"/>
      <c r="R875" s="4"/>
      <c r="S875" s="3"/>
      <c r="T875" s="4"/>
      <c r="U875" s="3"/>
      <c r="V875" s="4"/>
      <c r="W875" s="3"/>
      <c r="X875" s="4"/>
      <c r="Y875" s="3"/>
      <c r="Z875" s="4"/>
      <c r="AA875" s="3"/>
      <c r="AB875" s="4"/>
      <c r="AC875" s="3"/>
      <c r="AD875" s="4"/>
      <c r="AE875" s="3"/>
      <c r="AF875" s="4"/>
      <c r="AG875" s="3"/>
      <c r="AH875" s="4"/>
      <c r="AI875" s="3"/>
      <c r="AJ875" s="4"/>
      <c r="AK875" s="3"/>
      <c r="AL875" s="4"/>
      <c r="AM875" s="3"/>
      <c r="AN875" s="4"/>
      <c r="AO875" s="3"/>
      <c r="AP875" s="4"/>
      <c r="AQ875" s="3"/>
      <c r="AR875" s="4"/>
      <c r="AS875" s="3"/>
      <c r="AT875" s="4"/>
      <c r="AU875" s="3"/>
      <c r="AV875" s="4"/>
      <c r="AW875" s="3"/>
      <c r="AX875" s="4"/>
      <c r="AY875" s="3"/>
      <c r="AZ875" s="4"/>
      <c r="BA875" s="3"/>
      <c r="BB875" s="4"/>
      <c r="BC875" s="3"/>
      <c r="BD875" s="4"/>
      <c r="BE875" s="3"/>
      <c r="BF875" s="4"/>
      <c r="BG875" s="3"/>
      <c r="BH875" s="4"/>
      <c r="BI875" s="3"/>
      <c r="BJ875" s="4"/>
      <c r="BK875" s="3"/>
      <c r="BL875" s="4"/>
      <c r="BM875" s="3"/>
      <c r="BN875" s="4"/>
      <c r="BO875" s="3"/>
      <c r="BP875" s="4"/>
      <c r="BQ875" s="3"/>
      <c r="BR875" s="4"/>
      <c r="BS875" s="3"/>
      <c r="BT875" s="4"/>
      <c r="BU875" s="3"/>
      <c r="BV875" s="4"/>
      <c r="BW875" s="3"/>
      <c r="BX875" s="4"/>
      <c r="BY875" s="3"/>
      <c r="BZ875" s="4"/>
      <c r="CA875" s="3"/>
      <c r="CB875" s="4"/>
      <c r="CC875" s="3"/>
      <c r="CD875" s="4"/>
    </row>
    <row r="876">
      <c r="A876" s="3"/>
      <c r="B876" s="4"/>
      <c r="C876" s="3"/>
      <c r="D876" s="4"/>
      <c r="E876" s="3"/>
      <c r="F876" s="4"/>
      <c r="G876" s="3"/>
      <c r="H876" s="4"/>
      <c r="I876" s="3"/>
      <c r="J876" s="4"/>
      <c r="K876" s="3"/>
      <c r="L876" s="4"/>
      <c r="M876" s="3"/>
      <c r="N876" s="4"/>
      <c r="O876" s="3"/>
      <c r="P876" s="4"/>
      <c r="Q876" s="3"/>
      <c r="R876" s="4"/>
      <c r="S876" s="3"/>
      <c r="T876" s="4"/>
      <c r="U876" s="3"/>
      <c r="V876" s="4"/>
      <c r="W876" s="3"/>
      <c r="X876" s="4"/>
      <c r="Y876" s="3"/>
      <c r="Z876" s="4"/>
      <c r="AA876" s="3"/>
      <c r="AB876" s="4"/>
      <c r="AC876" s="3"/>
      <c r="AD876" s="4"/>
      <c r="AE876" s="3"/>
      <c r="AF876" s="4"/>
      <c r="AG876" s="3"/>
      <c r="AH876" s="4"/>
      <c r="AI876" s="3"/>
      <c r="AJ876" s="4"/>
      <c r="AK876" s="3"/>
      <c r="AL876" s="4"/>
      <c r="AM876" s="3"/>
      <c r="AN876" s="4"/>
      <c r="AO876" s="3"/>
      <c r="AP876" s="4"/>
      <c r="AQ876" s="3"/>
      <c r="AR876" s="4"/>
      <c r="AS876" s="3"/>
      <c r="AT876" s="4"/>
      <c r="AU876" s="3"/>
      <c r="AV876" s="4"/>
      <c r="AW876" s="3"/>
      <c r="AX876" s="4"/>
      <c r="AY876" s="3"/>
      <c r="AZ876" s="4"/>
      <c r="BA876" s="3"/>
      <c r="BB876" s="4"/>
      <c r="BC876" s="3"/>
      <c r="BD876" s="4"/>
      <c r="BE876" s="3"/>
      <c r="BF876" s="4"/>
      <c r="BG876" s="3"/>
      <c r="BH876" s="4"/>
      <c r="BI876" s="3"/>
      <c r="BJ876" s="4"/>
      <c r="BK876" s="3"/>
      <c r="BL876" s="4"/>
      <c r="BM876" s="3"/>
      <c r="BN876" s="4"/>
      <c r="BO876" s="3"/>
      <c r="BP876" s="4"/>
      <c r="BQ876" s="3"/>
      <c r="BR876" s="4"/>
      <c r="BS876" s="3"/>
      <c r="BT876" s="4"/>
      <c r="BU876" s="3"/>
      <c r="BV876" s="4"/>
      <c r="BW876" s="3"/>
      <c r="BX876" s="4"/>
      <c r="BY876" s="3"/>
      <c r="BZ876" s="4"/>
      <c r="CA876" s="3"/>
      <c r="CB876" s="4"/>
      <c r="CC876" s="3"/>
      <c r="CD876" s="4"/>
    </row>
    <row r="877">
      <c r="A877" s="3"/>
      <c r="B877" s="4"/>
      <c r="C877" s="3"/>
      <c r="D877" s="4"/>
      <c r="E877" s="3"/>
      <c r="F877" s="4"/>
      <c r="G877" s="3"/>
      <c r="H877" s="4"/>
      <c r="I877" s="3"/>
      <c r="J877" s="4"/>
      <c r="K877" s="3"/>
      <c r="L877" s="4"/>
      <c r="M877" s="3"/>
      <c r="N877" s="4"/>
      <c r="O877" s="3"/>
      <c r="P877" s="4"/>
      <c r="Q877" s="3"/>
      <c r="R877" s="4"/>
      <c r="S877" s="3"/>
      <c r="T877" s="4"/>
      <c r="U877" s="3"/>
      <c r="V877" s="4"/>
      <c r="W877" s="3"/>
      <c r="X877" s="4"/>
      <c r="Y877" s="3"/>
      <c r="Z877" s="4"/>
      <c r="AA877" s="3"/>
      <c r="AB877" s="4"/>
      <c r="AC877" s="3"/>
      <c r="AD877" s="4"/>
      <c r="AE877" s="3"/>
      <c r="AF877" s="4"/>
      <c r="AG877" s="3"/>
      <c r="AH877" s="4"/>
      <c r="AI877" s="3"/>
      <c r="AJ877" s="4"/>
      <c r="AK877" s="3"/>
      <c r="AL877" s="4"/>
      <c r="AM877" s="3"/>
      <c r="AN877" s="4"/>
      <c r="AO877" s="3"/>
      <c r="AP877" s="4"/>
      <c r="AQ877" s="3"/>
      <c r="AR877" s="4"/>
      <c r="AS877" s="3"/>
      <c r="AT877" s="4"/>
      <c r="AU877" s="3"/>
      <c r="AV877" s="4"/>
      <c r="AW877" s="3"/>
      <c r="AX877" s="4"/>
      <c r="AY877" s="3"/>
      <c r="AZ877" s="4"/>
      <c r="BA877" s="3"/>
      <c r="BB877" s="4"/>
      <c r="BC877" s="3"/>
      <c r="BD877" s="4"/>
      <c r="BE877" s="3"/>
      <c r="BF877" s="4"/>
      <c r="BG877" s="3"/>
      <c r="BH877" s="4"/>
      <c r="BI877" s="3"/>
      <c r="BJ877" s="4"/>
      <c r="BK877" s="3"/>
      <c r="BL877" s="4"/>
      <c r="BM877" s="3"/>
      <c r="BN877" s="4"/>
      <c r="BO877" s="3"/>
      <c r="BP877" s="4"/>
      <c r="BQ877" s="3"/>
      <c r="BR877" s="4"/>
      <c r="BS877" s="3"/>
      <c r="BT877" s="4"/>
      <c r="BU877" s="3"/>
      <c r="BV877" s="4"/>
      <c r="BW877" s="3"/>
      <c r="BX877" s="4"/>
      <c r="BY877" s="3"/>
      <c r="BZ877" s="4"/>
      <c r="CA877" s="3"/>
      <c r="CB877" s="4"/>
      <c r="CC877" s="3"/>
      <c r="CD877" s="4"/>
    </row>
    <row r="878">
      <c r="A878" s="3"/>
      <c r="B878" s="4"/>
      <c r="C878" s="3"/>
      <c r="D878" s="4"/>
      <c r="E878" s="3"/>
      <c r="F878" s="4"/>
      <c r="G878" s="3"/>
      <c r="H878" s="4"/>
      <c r="I878" s="3"/>
      <c r="J878" s="4"/>
      <c r="K878" s="3"/>
      <c r="L878" s="4"/>
      <c r="M878" s="3"/>
      <c r="N878" s="4"/>
      <c r="O878" s="3"/>
      <c r="P878" s="4"/>
      <c r="Q878" s="3"/>
      <c r="R878" s="4"/>
      <c r="S878" s="3"/>
      <c r="T878" s="4"/>
      <c r="U878" s="3"/>
      <c r="V878" s="4"/>
      <c r="W878" s="3"/>
      <c r="X878" s="4"/>
      <c r="Y878" s="3"/>
      <c r="Z878" s="4"/>
      <c r="AA878" s="3"/>
      <c r="AB878" s="4"/>
      <c r="AC878" s="3"/>
      <c r="AD878" s="4"/>
      <c r="AE878" s="3"/>
      <c r="AF878" s="4"/>
      <c r="AG878" s="3"/>
      <c r="AH878" s="4"/>
      <c r="AI878" s="3"/>
      <c r="AJ878" s="4"/>
      <c r="AK878" s="3"/>
      <c r="AL878" s="4"/>
      <c r="AM878" s="3"/>
      <c r="AN878" s="4"/>
      <c r="AO878" s="3"/>
      <c r="AP878" s="4"/>
      <c r="AQ878" s="3"/>
      <c r="AR878" s="4"/>
      <c r="AS878" s="3"/>
      <c r="AT878" s="4"/>
      <c r="AU878" s="3"/>
      <c r="AV878" s="4"/>
      <c r="AW878" s="3"/>
      <c r="AX878" s="4"/>
      <c r="AY878" s="3"/>
      <c r="AZ878" s="4"/>
      <c r="BA878" s="3"/>
      <c r="BB878" s="4"/>
      <c r="BC878" s="3"/>
      <c r="BD878" s="4"/>
      <c r="BE878" s="3"/>
      <c r="BF878" s="4"/>
      <c r="BG878" s="3"/>
      <c r="BH878" s="4"/>
      <c r="BI878" s="3"/>
      <c r="BJ878" s="4"/>
      <c r="BK878" s="3"/>
      <c r="BL878" s="4"/>
      <c r="BM878" s="3"/>
      <c r="BN878" s="4"/>
      <c r="BO878" s="3"/>
      <c r="BP878" s="4"/>
      <c r="BQ878" s="3"/>
      <c r="BR878" s="4"/>
      <c r="BS878" s="3"/>
      <c r="BT878" s="4"/>
      <c r="BU878" s="3"/>
      <c r="BV878" s="4"/>
      <c r="BW878" s="3"/>
      <c r="BX878" s="4"/>
      <c r="BY878" s="3"/>
      <c r="BZ878" s="4"/>
      <c r="CA878" s="3"/>
      <c r="CB878" s="4"/>
      <c r="CC878" s="3"/>
      <c r="CD878" s="4"/>
    </row>
    <row r="879">
      <c r="A879" s="3"/>
      <c r="B879" s="4"/>
      <c r="C879" s="3"/>
      <c r="D879" s="4"/>
      <c r="E879" s="3"/>
      <c r="F879" s="4"/>
      <c r="G879" s="3"/>
      <c r="H879" s="4"/>
      <c r="I879" s="3"/>
      <c r="J879" s="4"/>
      <c r="K879" s="3"/>
      <c r="L879" s="4"/>
      <c r="M879" s="3"/>
      <c r="N879" s="4"/>
      <c r="O879" s="3"/>
      <c r="P879" s="4"/>
      <c r="Q879" s="3"/>
      <c r="R879" s="4"/>
      <c r="S879" s="3"/>
      <c r="T879" s="4"/>
      <c r="U879" s="3"/>
      <c r="V879" s="4"/>
      <c r="W879" s="3"/>
      <c r="X879" s="4"/>
      <c r="Y879" s="3"/>
      <c r="Z879" s="4"/>
      <c r="AA879" s="3"/>
      <c r="AB879" s="4"/>
      <c r="AC879" s="3"/>
      <c r="AD879" s="4"/>
      <c r="AE879" s="3"/>
      <c r="AF879" s="4"/>
      <c r="AG879" s="3"/>
      <c r="AH879" s="4"/>
      <c r="AI879" s="3"/>
      <c r="AJ879" s="4"/>
      <c r="AK879" s="3"/>
      <c r="AL879" s="4"/>
      <c r="AM879" s="3"/>
      <c r="AN879" s="4"/>
      <c r="AO879" s="3"/>
      <c r="AP879" s="4"/>
      <c r="AQ879" s="3"/>
      <c r="AR879" s="4"/>
      <c r="AS879" s="3"/>
      <c r="AT879" s="4"/>
      <c r="AU879" s="3"/>
      <c r="AV879" s="4"/>
      <c r="AW879" s="3"/>
      <c r="AX879" s="4"/>
      <c r="AY879" s="3"/>
      <c r="AZ879" s="4"/>
      <c r="BA879" s="3"/>
      <c r="BB879" s="4"/>
      <c r="BC879" s="3"/>
      <c r="BD879" s="4"/>
      <c r="BE879" s="3"/>
      <c r="BF879" s="4"/>
      <c r="BG879" s="3"/>
      <c r="BH879" s="4"/>
      <c r="BI879" s="3"/>
      <c r="BJ879" s="4"/>
      <c r="BK879" s="3"/>
      <c r="BL879" s="4"/>
      <c r="BM879" s="3"/>
      <c r="BN879" s="4"/>
      <c r="BO879" s="3"/>
      <c r="BP879" s="4"/>
      <c r="BQ879" s="3"/>
      <c r="BR879" s="4"/>
      <c r="BS879" s="3"/>
      <c r="BT879" s="4"/>
      <c r="BU879" s="3"/>
      <c r="BV879" s="4"/>
      <c r="BW879" s="3"/>
      <c r="BX879" s="4"/>
      <c r="BY879" s="3"/>
      <c r="BZ879" s="4"/>
      <c r="CA879" s="3"/>
      <c r="CB879" s="4"/>
      <c r="CC879" s="3"/>
      <c r="CD879" s="4"/>
    </row>
    <row r="880">
      <c r="A880" s="3"/>
      <c r="B880" s="4"/>
      <c r="C880" s="3"/>
      <c r="D880" s="4"/>
      <c r="E880" s="3"/>
      <c r="F880" s="4"/>
      <c r="G880" s="3"/>
      <c r="H880" s="4"/>
      <c r="I880" s="3"/>
      <c r="J880" s="4"/>
      <c r="K880" s="3"/>
      <c r="L880" s="4"/>
      <c r="M880" s="3"/>
      <c r="N880" s="4"/>
      <c r="O880" s="3"/>
      <c r="P880" s="4"/>
      <c r="Q880" s="3"/>
      <c r="R880" s="4"/>
      <c r="S880" s="3"/>
      <c r="T880" s="4"/>
      <c r="U880" s="3"/>
      <c r="V880" s="4"/>
      <c r="W880" s="3"/>
      <c r="X880" s="4"/>
      <c r="Y880" s="3"/>
      <c r="Z880" s="4"/>
      <c r="AA880" s="3"/>
      <c r="AB880" s="4"/>
      <c r="AC880" s="3"/>
      <c r="AD880" s="4"/>
      <c r="AE880" s="3"/>
      <c r="AF880" s="4"/>
      <c r="AG880" s="3"/>
      <c r="AH880" s="4"/>
      <c r="AI880" s="3"/>
      <c r="AJ880" s="4"/>
      <c r="AK880" s="3"/>
      <c r="AL880" s="4"/>
      <c r="AM880" s="3"/>
      <c r="AN880" s="4"/>
      <c r="AO880" s="3"/>
      <c r="AP880" s="4"/>
      <c r="AQ880" s="3"/>
      <c r="AR880" s="4"/>
      <c r="AS880" s="3"/>
      <c r="AT880" s="4"/>
      <c r="AU880" s="3"/>
      <c r="AV880" s="4"/>
      <c r="AW880" s="3"/>
      <c r="AX880" s="4"/>
      <c r="AY880" s="3"/>
      <c r="AZ880" s="4"/>
      <c r="BA880" s="3"/>
      <c r="BB880" s="4"/>
      <c r="BC880" s="3"/>
      <c r="BD880" s="4"/>
      <c r="BE880" s="3"/>
      <c r="BF880" s="4"/>
      <c r="BG880" s="3"/>
      <c r="BH880" s="4"/>
      <c r="BI880" s="3"/>
      <c r="BJ880" s="4"/>
      <c r="BK880" s="3"/>
      <c r="BL880" s="4"/>
      <c r="BM880" s="3"/>
      <c r="BN880" s="4"/>
      <c r="BO880" s="3"/>
      <c r="BP880" s="4"/>
      <c r="BQ880" s="3"/>
      <c r="BR880" s="4"/>
      <c r="BS880" s="3"/>
      <c r="BT880" s="4"/>
      <c r="BU880" s="3"/>
      <c r="BV880" s="4"/>
      <c r="BW880" s="3"/>
      <c r="BX880" s="4"/>
      <c r="BY880" s="3"/>
      <c r="BZ880" s="4"/>
      <c r="CA880" s="3"/>
      <c r="CB880" s="4"/>
      <c r="CC880" s="3"/>
      <c r="CD880" s="4"/>
    </row>
    <row r="881">
      <c r="A881" s="3"/>
      <c r="B881" s="4"/>
      <c r="C881" s="3"/>
      <c r="D881" s="4"/>
      <c r="E881" s="3"/>
      <c r="F881" s="4"/>
      <c r="G881" s="3"/>
      <c r="H881" s="4"/>
      <c r="I881" s="3"/>
      <c r="J881" s="4"/>
      <c r="K881" s="3"/>
      <c r="L881" s="4"/>
      <c r="M881" s="3"/>
      <c r="N881" s="4"/>
      <c r="O881" s="3"/>
      <c r="P881" s="4"/>
      <c r="Q881" s="3"/>
      <c r="R881" s="4"/>
      <c r="S881" s="3"/>
      <c r="T881" s="4"/>
      <c r="U881" s="3"/>
      <c r="V881" s="4"/>
      <c r="W881" s="3"/>
      <c r="X881" s="4"/>
      <c r="Y881" s="3"/>
      <c r="Z881" s="4"/>
      <c r="AA881" s="3"/>
      <c r="AB881" s="4"/>
      <c r="AC881" s="3"/>
      <c r="AD881" s="4"/>
      <c r="AE881" s="3"/>
      <c r="AF881" s="4"/>
      <c r="AG881" s="3"/>
      <c r="AH881" s="4"/>
      <c r="AI881" s="3"/>
      <c r="AJ881" s="4"/>
      <c r="AK881" s="3"/>
      <c r="AL881" s="4"/>
      <c r="AM881" s="3"/>
      <c r="AN881" s="4"/>
      <c r="AO881" s="3"/>
      <c r="AP881" s="4"/>
      <c r="AQ881" s="3"/>
      <c r="AR881" s="4"/>
      <c r="AS881" s="3"/>
      <c r="AT881" s="4"/>
      <c r="AU881" s="3"/>
      <c r="AV881" s="4"/>
      <c r="AW881" s="3"/>
      <c r="AX881" s="4"/>
      <c r="AY881" s="3"/>
      <c r="AZ881" s="4"/>
      <c r="BA881" s="3"/>
      <c r="BB881" s="4"/>
      <c r="BC881" s="3"/>
      <c r="BD881" s="4"/>
      <c r="BE881" s="3"/>
      <c r="BF881" s="4"/>
      <c r="BG881" s="3"/>
      <c r="BH881" s="4"/>
      <c r="BI881" s="3"/>
      <c r="BJ881" s="4"/>
      <c r="BK881" s="3"/>
      <c r="BL881" s="4"/>
      <c r="BM881" s="3"/>
      <c r="BN881" s="4"/>
      <c r="BO881" s="3"/>
      <c r="BP881" s="4"/>
      <c r="BQ881" s="3"/>
      <c r="BR881" s="4"/>
      <c r="BS881" s="3"/>
      <c r="BT881" s="4"/>
      <c r="BU881" s="3"/>
      <c r="BV881" s="4"/>
      <c r="BW881" s="3"/>
      <c r="BX881" s="4"/>
      <c r="BY881" s="3"/>
      <c r="BZ881" s="4"/>
      <c r="CA881" s="3"/>
      <c r="CB881" s="4"/>
      <c r="CC881" s="3"/>
      <c r="CD881" s="4"/>
    </row>
    <row r="882">
      <c r="A882" s="3"/>
      <c r="B882" s="4"/>
      <c r="C882" s="3"/>
      <c r="D882" s="4"/>
      <c r="E882" s="3"/>
      <c r="F882" s="4"/>
      <c r="G882" s="3"/>
      <c r="H882" s="4"/>
      <c r="I882" s="3"/>
      <c r="J882" s="4"/>
      <c r="K882" s="3"/>
      <c r="L882" s="4"/>
      <c r="M882" s="3"/>
      <c r="N882" s="4"/>
      <c r="O882" s="3"/>
      <c r="P882" s="4"/>
      <c r="Q882" s="3"/>
      <c r="R882" s="4"/>
      <c r="S882" s="3"/>
      <c r="T882" s="4"/>
      <c r="U882" s="3"/>
      <c r="V882" s="4"/>
      <c r="W882" s="3"/>
      <c r="X882" s="4"/>
      <c r="Y882" s="3"/>
      <c r="Z882" s="4"/>
      <c r="AA882" s="3"/>
      <c r="AB882" s="4"/>
      <c r="AC882" s="3"/>
      <c r="AD882" s="4"/>
      <c r="AE882" s="3"/>
      <c r="AF882" s="4"/>
      <c r="AG882" s="3"/>
      <c r="AH882" s="4"/>
      <c r="AI882" s="3"/>
      <c r="AJ882" s="4"/>
      <c r="AK882" s="3"/>
      <c r="AL882" s="4"/>
      <c r="AM882" s="3"/>
      <c r="AN882" s="4"/>
      <c r="AO882" s="3"/>
      <c r="AP882" s="4"/>
      <c r="AQ882" s="3"/>
      <c r="AR882" s="4"/>
      <c r="AS882" s="3"/>
      <c r="AT882" s="4"/>
      <c r="AU882" s="3"/>
      <c r="AV882" s="4"/>
      <c r="AW882" s="3"/>
      <c r="AX882" s="4"/>
      <c r="AY882" s="3"/>
      <c r="AZ882" s="4"/>
      <c r="BA882" s="3"/>
      <c r="BB882" s="4"/>
      <c r="BC882" s="3"/>
      <c r="BD882" s="4"/>
      <c r="BE882" s="3"/>
      <c r="BF882" s="4"/>
      <c r="BG882" s="3"/>
      <c r="BH882" s="4"/>
      <c r="BI882" s="3"/>
      <c r="BJ882" s="4"/>
      <c r="BK882" s="3"/>
      <c r="BL882" s="4"/>
      <c r="BM882" s="3"/>
      <c r="BN882" s="4"/>
      <c r="BO882" s="3"/>
      <c r="BP882" s="4"/>
      <c r="BQ882" s="3"/>
      <c r="BR882" s="4"/>
      <c r="BS882" s="3"/>
      <c r="BT882" s="4"/>
      <c r="BU882" s="3"/>
      <c r="BV882" s="4"/>
      <c r="BW882" s="3"/>
      <c r="BX882" s="4"/>
      <c r="BY882" s="3"/>
      <c r="BZ882" s="4"/>
      <c r="CA882" s="3"/>
      <c r="CB882" s="4"/>
      <c r="CC882" s="3"/>
      <c r="CD882" s="4"/>
    </row>
    <row r="883">
      <c r="A883" s="3"/>
      <c r="B883" s="4"/>
      <c r="C883" s="3"/>
      <c r="D883" s="4"/>
      <c r="E883" s="3"/>
      <c r="F883" s="4"/>
      <c r="G883" s="3"/>
      <c r="H883" s="4"/>
      <c r="I883" s="3"/>
      <c r="J883" s="4"/>
      <c r="K883" s="3"/>
      <c r="L883" s="4"/>
      <c r="M883" s="3"/>
      <c r="N883" s="4"/>
      <c r="O883" s="3"/>
      <c r="P883" s="4"/>
      <c r="Q883" s="3"/>
      <c r="R883" s="4"/>
      <c r="S883" s="3"/>
      <c r="T883" s="4"/>
      <c r="U883" s="3"/>
      <c r="V883" s="4"/>
      <c r="W883" s="3"/>
      <c r="X883" s="4"/>
      <c r="Y883" s="3"/>
      <c r="Z883" s="4"/>
      <c r="AA883" s="3"/>
      <c r="AB883" s="4"/>
      <c r="AC883" s="3"/>
      <c r="AD883" s="4"/>
      <c r="AE883" s="3"/>
      <c r="AF883" s="4"/>
      <c r="AG883" s="3"/>
      <c r="AH883" s="4"/>
      <c r="AI883" s="3"/>
      <c r="AJ883" s="4"/>
      <c r="AK883" s="3"/>
      <c r="AL883" s="4"/>
      <c r="AM883" s="3"/>
      <c r="AN883" s="4"/>
      <c r="AO883" s="3"/>
      <c r="AP883" s="4"/>
      <c r="AQ883" s="3"/>
      <c r="AR883" s="4"/>
      <c r="AS883" s="3"/>
      <c r="AT883" s="4"/>
      <c r="AU883" s="3"/>
      <c r="AV883" s="4"/>
      <c r="AW883" s="3"/>
      <c r="AX883" s="4"/>
      <c r="AY883" s="3"/>
      <c r="AZ883" s="4"/>
      <c r="BA883" s="3"/>
      <c r="BB883" s="4"/>
      <c r="BC883" s="3"/>
      <c r="BD883" s="4"/>
      <c r="BE883" s="3"/>
      <c r="BF883" s="4"/>
      <c r="BG883" s="3"/>
      <c r="BH883" s="4"/>
      <c r="BI883" s="3"/>
      <c r="BJ883" s="4"/>
      <c r="BK883" s="3"/>
      <c r="BL883" s="4"/>
      <c r="BM883" s="3"/>
      <c r="BN883" s="4"/>
      <c r="BO883" s="3"/>
      <c r="BP883" s="4"/>
      <c r="BQ883" s="3"/>
      <c r="BR883" s="4"/>
      <c r="BS883" s="3"/>
      <c r="BT883" s="4"/>
      <c r="BU883" s="3"/>
      <c r="BV883" s="4"/>
      <c r="BW883" s="3"/>
      <c r="BX883" s="4"/>
      <c r="BY883" s="3"/>
      <c r="BZ883" s="4"/>
      <c r="CA883" s="3"/>
      <c r="CB883" s="4"/>
      <c r="CC883" s="3"/>
      <c r="CD883" s="4"/>
    </row>
    <row r="884">
      <c r="A884" s="3"/>
      <c r="B884" s="4"/>
      <c r="C884" s="3"/>
      <c r="D884" s="4"/>
      <c r="E884" s="3"/>
      <c r="F884" s="4"/>
      <c r="G884" s="3"/>
      <c r="H884" s="4"/>
      <c r="I884" s="3"/>
      <c r="J884" s="4"/>
      <c r="K884" s="3"/>
      <c r="L884" s="4"/>
      <c r="M884" s="3"/>
      <c r="N884" s="4"/>
      <c r="O884" s="3"/>
      <c r="P884" s="4"/>
      <c r="Q884" s="3"/>
      <c r="R884" s="4"/>
      <c r="S884" s="3"/>
      <c r="T884" s="4"/>
      <c r="U884" s="3"/>
      <c r="V884" s="4"/>
      <c r="W884" s="3"/>
      <c r="X884" s="4"/>
      <c r="Y884" s="3"/>
      <c r="Z884" s="4"/>
      <c r="AA884" s="3"/>
      <c r="AB884" s="4"/>
      <c r="AC884" s="3"/>
      <c r="AD884" s="4"/>
      <c r="AE884" s="3"/>
      <c r="AF884" s="4"/>
      <c r="AG884" s="3"/>
      <c r="AH884" s="4"/>
      <c r="AI884" s="3"/>
      <c r="AJ884" s="4"/>
      <c r="AK884" s="3"/>
      <c r="AL884" s="4"/>
      <c r="AM884" s="3"/>
      <c r="AN884" s="4"/>
      <c r="AO884" s="3"/>
      <c r="AP884" s="4"/>
      <c r="AQ884" s="3"/>
      <c r="AR884" s="4"/>
      <c r="AS884" s="3"/>
      <c r="AT884" s="4"/>
      <c r="AU884" s="3"/>
      <c r="AV884" s="4"/>
      <c r="AW884" s="3"/>
      <c r="AX884" s="4"/>
      <c r="AY884" s="3"/>
      <c r="AZ884" s="4"/>
      <c r="BA884" s="3"/>
      <c r="BB884" s="4"/>
      <c r="BC884" s="3"/>
      <c r="BD884" s="4"/>
      <c r="BE884" s="3"/>
      <c r="BF884" s="4"/>
      <c r="BG884" s="3"/>
      <c r="BH884" s="4"/>
      <c r="BI884" s="3"/>
      <c r="BJ884" s="4"/>
      <c r="BK884" s="3"/>
      <c r="BL884" s="4"/>
      <c r="BM884" s="3"/>
      <c r="BN884" s="4"/>
      <c r="BO884" s="3"/>
      <c r="BP884" s="4"/>
      <c r="BQ884" s="3"/>
      <c r="BR884" s="4"/>
      <c r="BS884" s="3"/>
      <c r="BT884" s="4"/>
      <c r="BU884" s="3"/>
      <c r="BV884" s="4"/>
      <c r="BW884" s="3"/>
      <c r="BX884" s="4"/>
      <c r="BY884" s="3"/>
      <c r="BZ884" s="4"/>
      <c r="CA884" s="3"/>
      <c r="CB884" s="4"/>
      <c r="CC884" s="3"/>
      <c r="CD884" s="4"/>
    </row>
    <row r="885">
      <c r="A885" s="3"/>
      <c r="B885" s="4"/>
      <c r="C885" s="3"/>
      <c r="D885" s="4"/>
      <c r="E885" s="3"/>
      <c r="F885" s="4"/>
      <c r="G885" s="3"/>
      <c r="H885" s="4"/>
      <c r="I885" s="3"/>
      <c r="J885" s="4"/>
      <c r="K885" s="3"/>
      <c r="L885" s="4"/>
      <c r="M885" s="3"/>
      <c r="N885" s="4"/>
      <c r="O885" s="3"/>
      <c r="P885" s="4"/>
      <c r="Q885" s="3"/>
      <c r="R885" s="4"/>
      <c r="S885" s="3"/>
      <c r="T885" s="4"/>
      <c r="U885" s="3"/>
      <c r="V885" s="4"/>
      <c r="W885" s="3"/>
      <c r="X885" s="4"/>
      <c r="Y885" s="3"/>
      <c r="Z885" s="4"/>
      <c r="AA885" s="3"/>
      <c r="AB885" s="4"/>
      <c r="AC885" s="3"/>
      <c r="AD885" s="4"/>
      <c r="AE885" s="3"/>
      <c r="AF885" s="4"/>
      <c r="AG885" s="3"/>
      <c r="AH885" s="4"/>
      <c r="AI885" s="3"/>
      <c r="AJ885" s="4"/>
      <c r="AK885" s="3"/>
      <c r="AL885" s="4"/>
      <c r="AM885" s="3"/>
      <c r="AN885" s="4"/>
      <c r="AO885" s="3"/>
      <c r="AP885" s="4"/>
      <c r="AQ885" s="3"/>
      <c r="AR885" s="4"/>
      <c r="AS885" s="3"/>
      <c r="AT885" s="4"/>
      <c r="AU885" s="3"/>
      <c r="AV885" s="4"/>
      <c r="AW885" s="3"/>
      <c r="AX885" s="4"/>
      <c r="AY885" s="3"/>
      <c r="AZ885" s="4"/>
      <c r="BA885" s="3"/>
      <c r="BB885" s="4"/>
      <c r="BC885" s="3"/>
      <c r="BD885" s="4"/>
      <c r="BE885" s="3"/>
      <c r="BF885" s="4"/>
      <c r="BG885" s="3"/>
      <c r="BH885" s="4"/>
      <c r="BI885" s="3"/>
      <c r="BJ885" s="4"/>
      <c r="BK885" s="3"/>
      <c r="BL885" s="4"/>
      <c r="BM885" s="3"/>
      <c r="BN885" s="4"/>
      <c r="BO885" s="3"/>
      <c r="BP885" s="4"/>
      <c r="BQ885" s="3"/>
      <c r="BR885" s="4"/>
      <c r="BS885" s="3"/>
      <c r="BT885" s="4"/>
      <c r="BU885" s="3"/>
      <c r="BV885" s="4"/>
      <c r="BW885" s="3"/>
      <c r="BX885" s="4"/>
      <c r="BY885" s="3"/>
      <c r="BZ885" s="4"/>
      <c r="CA885" s="3"/>
      <c r="CB885" s="4"/>
      <c r="CC885" s="3"/>
      <c r="CD885" s="4"/>
    </row>
    <row r="886">
      <c r="A886" s="3"/>
      <c r="B886" s="4"/>
      <c r="C886" s="3"/>
      <c r="D886" s="4"/>
      <c r="E886" s="3"/>
      <c r="F886" s="4"/>
      <c r="G886" s="3"/>
      <c r="H886" s="4"/>
      <c r="I886" s="3"/>
      <c r="J886" s="4"/>
      <c r="K886" s="3"/>
      <c r="L886" s="4"/>
      <c r="M886" s="3"/>
      <c r="N886" s="4"/>
      <c r="O886" s="3"/>
      <c r="P886" s="4"/>
      <c r="Q886" s="3"/>
      <c r="R886" s="4"/>
      <c r="S886" s="3"/>
      <c r="T886" s="4"/>
      <c r="U886" s="3"/>
      <c r="V886" s="4"/>
      <c r="W886" s="3"/>
      <c r="X886" s="4"/>
      <c r="Y886" s="3"/>
      <c r="Z886" s="4"/>
      <c r="AA886" s="3"/>
      <c r="AB886" s="4"/>
      <c r="AC886" s="3"/>
      <c r="AD886" s="4"/>
      <c r="AE886" s="3"/>
      <c r="AF886" s="4"/>
      <c r="AG886" s="3"/>
      <c r="AH886" s="4"/>
      <c r="AI886" s="3"/>
      <c r="AJ886" s="4"/>
      <c r="AK886" s="3"/>
      <c r="AL886" s="4"/>
      <c r="AM886" s="3"/>
      <c r="AN886" s="4"/>
      <c r="AO886" s="3"/>
      <c r="AP886" s="4"/>
      <c r="AQ886" s="3"/>
      <c r="AR886" s="4"/>
      <c r="AS886" s="3"/>
      <c r="AT886" s="4"/>
      <c r="AU886" s="3"/>
      <c r="AV886" s="4"/>
      <c r="AW886" s="3"/>
      <c r="AX886" s="4"/>
      <c r="AY886" s="3"/>
      <c r="AZ886" s="4"/>
      <c r="BA886" s="3"/>
      <c r="BB886" s="4"/>
      <c r="BC886" s="3"/>
      <c r="BD886" s="4"/>
      <c r="BE886" s="3"/>
      <c r="BF886" s="4"/>
      <c r="BG886" s="3"/>
      <c r="BH886" s="4"/>
      <c r="BI886" s="3"/>
      <c r="BJ886" s="4"/>
      <c r="BK886" s="3"/>
      <c r="BL886" s="4"/>
      <c r="BM886" s="3"/>
      <c r="BN886" s="4"/>
      <c r="BO886" s="3"/>
      <c r="BP886" s="4"/>
      <c r="BQ886" s="3"/>
      <c r="BR886" s="4"/>
      <c r="BS886" s="3"/>
      <c r="BT886" s="4"/>
      <c r="BU886" s="3"/>
      <c r="BV886" s="4"/>
      <c r="BW886" s="3"/>
      <c r="BX886" s="4"/>
      <c r="BY886" s="3"/>
      <c r="BZ886" s="4"/>
      <c r="CA886" s="3"/>
      <c r="CB886" s="4"/>
      <c r="CC886" s="3"/>
      <c r="CD886" s="4"/>
    </row>
    <row r="887">
      <c r="A887" s="3"/>
      <c r="B887" s="4"/>
      <c r="C887" s="3"/>
      <c r="D887" s="4"/>
      <c r="E887" s="3"/>
      <c r="F887" s="4"/>
      <c r="G887" s="3"/>
      <c r="H887" s="4"/>
      <c r="I887" s="3"/>
      <c r="J887" s="4"/>
      <c r="K887" s="3"/>
      <c r="L887" s="4"/>
      <c r="M887" s="3"/>
      <c r="N887" s="4"/>
      <c r="O887" s="3"/>
      <c r="P887" s="4"/>
      <c r="Q887" s="3"/>
      <c r="R887" s="4"/>
      <c r="S887" s="3"/>
      <c r="T887" s="4"/>
      <c r="U887" s="3"/>
      <c r="V887" s="4"/>
      <c r="W887" s="3"/>
      <c r="X887" s="4"/>
      <c r="Y887" s="3"/>
      <c r="Z887" s="4"/>
      <c r="AA887" s="3"/>
      <c r="AB887" s="4"/>
      <c r="AC887" s="3"/>
      <c r="AD887" s="4"/>
      <c r="AE887" s="3"/>
      <c r="AF887" s="4"/>
      <c r="AG887" s="3"/>
      <c r="AH887" s="4"/>
      <c r="AI887" s="3"/>
      <c r="AJ887" s="4"/>
      <c r="AK887" s="3"/>
      <c r="AL887" s="4"/>
      <c r="AM887" s="3"/>
      <c r="AN887" s="4"/>
      <c r="AO887" s="3"/>
      <c r="AP887" s="4"/>
      <c r="AQ887" s="3"/>
      <c r="AR887" s="4"/>
      <c r="AS887" s="3"/>
      <c r="AT887" s="4"/>
      <c r="AU887" s="3"/>
      <c r="AV887" s="4"/>
      <c r="AW887" s="3"/>
      <c r="AX887" s="4"/>
      <c r="AY887" s="3"/>
      <c r="AZ887" s="4"/>
      <c r="BA887" s="3"/>
      <c r="BB887" s="4"/>
      <c r="BC887" s="3"/>
      <c r="BD887" s="4"/>
      <c r="BE887" s="3"/>
      <c r="BF887" s="4"/>
      <c r="BG887" s="3"/>
      <c r="BH887" s="4"/>
      <c r="BI887" s="3"/>
      <c r="BJ887" s="4"/>
      <c r="BK887" s="3"/>
      <c r="BL887" s="4"/>
      <c r="BM887" s="3"/>
      <c r="BN887" s="4"/>
      <c r="BO887" s="3"/>
      <c r="BP887" s="4"/>
      <c r="BQ887" s="3"/>
      <c r="BR887" s="4"/>
      <c r="BS887" s="3"/>
      <c r="BT887" s="4"/>
      <c r="BU887" s="3"/>
      <c r="BV887" s="4"/>
      <c r="BW887" s="3"/>
      <c r="BX887" s="4"/>
      <c r="BY887" s="3"/>
      <c r="BZ887" s="4"/>
      <c r="CA887" s="3"/>
      <c r="CB887" s="4"/>
      <c r="CC887" s="3"/>
      <c r="CD887" s="4"/>
    </row>
    <row r="888">
      <c r="A888" s="3"/>
      <c r="B888" s="4"/>
      <c r="C888" s="3"/>
      <c r="D888" s="4"/>
      <c r="E888" s="3"/>
      <c r="F888" s="4"/>
      <c r="G888" s="3"/>
      <c r="H888" s="4"/>
      <c r="I888" s="3"/>
      <c r="J888" s="4"/>
      <c r="K888" s="3"/>
      <c r="L888" s="4"/>
      <c r="M888" s="3"/>
      <c r="N888" s="4"/>
      <c r="O888" s="3"/>
      <c r="P888" s="4"/>
      <c r="Q888" s="3"/>
      <c r="R888" s="4"/>
      <c r="S888" s="3"/>
      <c r="T888" s="4"/>
      <c r="U888" s="3"/>
      <c r="V888" s="4"/>
      <c r="W888" s="3"/>
      <c r="X888" s="4"/>
      <c r="Y888" s="3"/>
      <c r="Z888" s="4"/>
      <c r="AA888" s="3"/>
      <c r="AB888" s="4"/>
      <c r="AC888" s="3"/>
      <c r="AD888" s="4"/>
      <c r="AE888" s="3"/>
      <c r="AF888" s="4"/>
      <c r="AG888" s="3"/>
      <c r="AH888" s="4"/>
      <c r="AI888" s="3"/>
      <c r="AJ888" s="4"/>
      <c r="AK888" s="3"/>
      <c r="AL888" s="4"/>
      <c r="AM888" s="3"/>
      <c r="AN888" s="4"/>
      <c r="AO888" s="3"/>
      <c r="AP888" s="4"/>
      <c r="AQ888" s="3"/>
      <c r="AR888" s="4"/>
      <c r="AS888" s="3"/>
      <c r="AT888" s="4"/>
      <c r="AU888" s="3"/>
      <c r="AV888" s="4"/>
      <c r="AW888" s="3"/>
      <c r="AX888" s="4"/>
      <c r="AY888" s="3"/>
      <c r="AZ888" s="4"/>
      <c r="BA888" s="3"/>
      <c r="BB888" s="4"/>
      <c r="BC888" s="3"/>
      <c r="BD888" s="4"/>
      <c r="BE888" s="3"/>
      <c r="BF888" s="4"/>
      <c r="BG888" s="3"/>
      <c r="BH888" s="4"/>
      <c r="BI888" s="3"/>
      <c r="BJ888" s="4"/>
      <c r="BK888" s="3"/>
      <c r="BL888" s="4"/>
      <c r="BM888" s="3"/>
      <c r="BN888" s="4"/>
      <c r="BO888" s="3"/>
      <c r="BP888" s="4"/>
      <c r="BQ888" s="3"/>
      <c r="BR888" s="4"/>
      <c r="BS888" s="3"/>
      <c r="BT888" s="4"/>
      <c r="BU888" s="3"/>
      <c r="BV888" s="4"/>
      <c r="BW888" s="3"/>
      <c r="BX888" s="4"/>
      <c r="BY888" s="3"/>
      <c r="BZ888" s="4"/>
      <c r="CA888" s="3"/>
      <c r="CB888" s="4"/>
      <c r="CC888" s="3"/>
      <c r="CD888" s="4"/>
    </row>
    <row r="889">
      <c r="A889" s="3"/>
      <c r="B889" s="4"/>
      <c r="C889" s="3"/>
      <c r="D889" s="4"/>
      <c r="E889" s="3"/>
      <c r="F889" s="4"/>
      <c r="G889" s="3"/>
      <c r="H889" s="4"/>
      <c r="I889" s="3"/>
      <c r="J889" s="4"/>
      <c r="K889" s="3"/>
      <c r="L889" s="4"/>
      <c r="M889" s="3"/>
      <c r="N889" s="4"/>
      <c r="O889" s="3"/>
      <c r="P889" s="4"/>
      <c r="Q889" s="3"/>
      <c r="R889" s="4"/>
      <c r="S889" s="3"/>
      <c r="T889" s="4"/>
      <c r="U889" s="3"/>
      <c r="V889" s="4"/>
      <c r="W889" s="3"/>
      <c r="X889" s="4"/>
      <c r="Y889" s="3"/>
      <c r="Z889" s="4"/>
      <c r="AA889" s="3"/>
      <c r="AB889" s="4"/>
      <c r="AC889" s="3"/>
      <c r="AD889" s="4"/>
      <c r="AE889" s="3"/>
      <c r="AF889" s="4"/>
      <c r="AG889" s="3"/>
      <c r="AH889" s="4"/>
      <c r="AI889" s="3"/>
      <c r="AJ889" s="4"/>
      <c r="AK889" s="3"/>
      <c r="AL889" s="4"/>
      <c r="AM889" s="3"/>
      <c r="AN889" s="4"/>
      <c r="AO889" s="3"/>
      <c r="AP889" s="4"/>
      <c r="AQ889" s="3"/>
      <c r="AR889" s="4"/>
      <c r="AS889" s="3"/>
      <c r="AT889" s="4"/>
      <c r="AU889" s="3"/>
      <c r="AV889" s="4"/>
      <c r="AW889" s="3"/>
      <c r="AX889" s="4"/>
      <c r="AY889" s="3"/>
      <c r="AZ889" s="4"/>
      <c r="BA889" s="3"/>
      <c r="BB889" s="4"/>
      <c r="BC889" s="3"/>
      <c r="BD889" s="4"/>
      <c r="BE889" s="3"/>
      <c r="BF889" s="4"/>
      <c r="BG889" s="3"/>
      <c r="BH889" s="4"/>
      <c r="BI889" s="3"/>
      <c r="BJ889" s="4"/>
      <c r="BK889" s="3"/>
      <c r="BL889" s="4"/>
      <c r="BM889" s="3"/>
      <c r="BN889" s="4"/>
      <c r="BO889" s="3"/>
      <c r="BP889" s="4"/>
      <c r="BQ889" s="3"/>
      <c r="BR889" s="4"/>
      <c r="BS889" s="3"/>
      <c r="BT889" s="4"/>
      <c r="BU889" s="3"/>
      <c r="BV889" s="4"/>
      <c r="BW889" s="3"/>
      <c r="BX889" s="4"/>
      <c r="BY889" s="3"/>
      <c r="BZ889" s="4"/>
      <c r="CA889" s="3"/>
      <c r="CB889" s="4"/>
      <c r="CC889" s="3"/>
      <c r="CD889" s="4"/>
    </row>
    <row r="890">
      <c r="A890" s="3"/>
      <c r="B890" s="4"/>
      <c r="C890" s="3"/>
      <c r="D890" s="4"/>
      <c r="E890" s="3"/>
      <c r="F890" s="4"/>
      <c r="G890" s="3"/>
      <c r="H890" s="4"/>
      <c r="I890" s="3"/>
      <c r="J890" s="4"/>
      <c r="K890" s="3"/>
      <c r="L890" s="4"/>
      <c r="M890" s="3"/>
      <c r="N890" s="4"/>
      <c r="O890" s="3"/>
      <c r="P890" s="4"/>
      <c r="Q890" s="3"/>
      <c r="R890" s="4"/>
      <c r="S890" s="3"/>
      <c r="T890" s="4"/>
      <c r="U890" s="3"/>
      <c r="V890" s="4"/>
      <c r="W890" s="3"/>
      <c r="X890" s="4"/>
      <c r="Y890" s="3"/>
      <c r="Z890" s="4"/>
      <c r="AA890" s="3"/>
      <c r="AB890" s="4"/>
      <c r="AC890" s="3"/>
      <c r="AD890" s="4"/>
      <c r="AE890" s="3"/>
      <c r="AF890" s="4"/>
      <c r="AG890" s="3"/>
      <c r="AH890" s="4"/>
      <c r="AI890" s="3"/>
      <c r="AJ890" s="4"/>
      <c r="AK890" s="3"/>
      <c r="AL890" s="4"/>
      <c r="AM890" s="3"/>
      <c r="AN890" s="4"/>
      <c r="AO890" s="3"/>
      <c r="AP890" s="4"/>
      <c r="AQ890" s="3"/>
      <c r="AR890" s="4"/>
      <c r="AS890" s="3"/>
      <c r="AT890" s="4"/>
      <c r="AU890" s="3"/>
      <c r="AV890" s="4"/>
      <c r="AW890" s="3"/>
      <c r="AX890" s="4"/>
      <c r="AY890" s="3"/>
      <c r="AZ890" s="4"/>
      <c r="BA890" s="3"/>
      <c r="BB890" s="4"/>
      <c r="BC890" s="3"/>
      <c r="BD890" s="4"/>
      <c r="BE890" s="3"/>
      <c r="BF890" s="4"/>
      <c r="BG890" s="3"/>
      <c r="BH890" s="4"/>
      <c r="BI890" s="3"/>
      <c r="BJ890" s="4"/>
      <c r="BK890" s="3"/>
      <c r="BL890" s="4"/>
      <c r="BM890" s="3"/>
      <c r="BN890" s="4"/>
      <c r="BO890" s="3"/>
      <c r="BP890" s="4"/>
      <c r="BQ890" s="3"/>
      <c r="BR890" s="4"/>
      <c r="BS890" s="3"/>
      <c r="BT890" s="4"/>
      <c r="BU890" s="3"/>
      <c r="BV890" s="4"/>
      <c r="BW890" s="3"/>
      <c r="BX890" s="4"/>
      <c r="BY890" s="3"/>
      <c r="BZ890" s="4"/>
      <c r="CA890" s="3"/>
      <c r="CB890" s="4"/>
      <c r="CC890" s="3"/>
      <c r="CD890" s="4"/>
    </row>
    <row r="891">
      <c r="A891" s="3"/>
      <c r="B891" s="4"/>
      <c r="C891" s="3"/>
      <c r="D891" s="4"/>
      <c r="E891" s="3"/>
      <c r="F891" s="4"/>
      <c r="G891" s="3"/>
      <c r="H891" s="4"/>
      <c r="I891" s="3"/>
      <c r="J891" s="4"/>
      <c r="K891" s="3"/>
      <c r="L891" s="4"/>
      <c r="M891" s="3"/>
      <c r="N891" s="4"/>
      <c r="O891" s="3"/>
      <c r="P891" s="4"/>
      <c r="Q891" s="3"/>
      <c r="R891" s="4"/>
      <c r="S891" s="3"/>
      <c r="T891" s="4"/>
      <c r="U891" s="3"/>
      <c r="V891" s="4"/>
      <c r="W891" s="3"/>
      <c r="X891" s="4"/>
      <c r="Y891" s="3"/>
      <c r="Z891" s="4"/>
      <c r="AA891" s="3"/>
      <c r="AB891" s="4"/>
      <c r="AC891" s="3"/>
      <c r="AD891" s="4"/>
      <c r="AE891" s="3"/>
      <c r="AF891" s="4"/>
      <c r="AG891" s="3"/>
      <c r="AH891" s="4"/>
      <c r="AI891" s="3"/>
      <c r="AJ891" s="4"/>
      <c r="AK891" s="3"/>
      <c r="AL891" s="4"/>
      <c r="AM891" s="3"/>
      <c r="AN891" s="4"/>
      <c r="AO891" s="3"/>
      <c r="AP891" s="4"/>
      <c r="AQ891" s="3"/>
      <c r="AR891" s="4"/>
      <c r="AS891" s="3"/>
      <c r="AT891" s="4"/>
      <c r="AU891" s="3"/>
      <c r="AV891" s="4"/>
      <c r="AW891" s="3"/>
      <c r="AX891" s="4"/>
      <c r="AY891" s="3"/>
      <c r="AZ891" s="4"/>
      <c r="BA891" s="3"/>
      <c r="BB891" s="4"/>
      <c r="BC891" s="3"/>
      <c r="BD891" s="4"/>
      <c r="BE891" s="3"/>
      <c r="BF891" s="4"/>
      <c r="BG891" s="3"/>
      <c r="BH891" s="4"/>
      <c r="BI891" s="3"/>
      <c r="BJ891" s="4"/>
      <c r="BK891" s="3"/>
      <c r="BL891" s="4"/>
      <c r="BM891" s="3"/>
      <c r="BN891" s="4"/>
      <c r="BO891" s="3"/>
      <c r="BP891" s="4"/>
      <c r="BQ891" s="3"/>
      <c r="BR891" s="4"/>
      <c r="BS891" s="3"/>
      <c r="BT891" s="4"/>
      <c r="BU891" s="3"/>
      <c r="BV891" s="4"/>
      <c r="BW891" s="3"/>
      <c r="BX891" s="4"/>
      <c r="BY891" s="3"/>
      <c r="BZ891" s="4"/>
      <c r="CA891" s="3"/>
      <c r="CB891" s="4"/>
      <c r="CC891" s="3"/>
      <c r="CD891" s="4"/>
    </row>
    <row r="892">
      <c r="A892" s="3"/>
      <c r="B892" s="4"/>
      <c r="C892" s="3"/>
      <c r="D892" s="4"/>
      <c r="E892" s="3"/>
      <c r="F892" s="4"/>
      <c r="G892" s="3"/>
      <c r="H892" s="4"/>
      <c r="I892" s="3"/>
      <c r="J892" s="4"/>
      <c r="K892" s="3"/>
      <c r="L892" s="4"/>
      <c r="M892" s="3"/>
      <c r="N892" s="4"/>
      <c r="O892" s="3"/>
      <c r="P892" s="4"/>
      <c r="Q892" s="3"/>
      <c r="R892" s="4"/>
      <c r="S892" s="3"/>
      <c r="T892" s="4"/>
      <c r="U892" s="3"/>
      <c r="V892" s="4"/>
      <c r="W892" s="3"/>
      <c r="X892" s="4"/>
      <c r="Y892" s="3"/>
      <c r="Z892" s="4"/>
      <c r="AA892" s="3"/>
      <c r="AB892" s="4"/>
      <c r="AC892" s="3"/>
      <c r="AD892" s="4"/>
      <c r="AE892" s="3"/>
      <c r="AF892" s="4"/>
      <c r="AG892" s="3"/>
      <c r="AH892" s="4"/>
      <c r="AI892" s="3"/>
      <c r="AJ892" s="4"/>
      <c r="AK892" s="3"/>
      <c r="AL892" s="4"/>
      <c r="AM892" s="3"/>
      <c r="AN892" s="4"/>
      <c r="AO892" s="3"/>
      <c r="AP892" s="4"/>
      <c r="AQ892" s="3"/>
      <c r="AR892" s="4"/>
      <c r="AS892" s="3"/>
      <c r="AT892" s="4"/>
      <c r="AU892" s="3"/>
      <c r="AV892" s="4"/>
      <c r="AW892" s="3"/>
      <c r="AX892" s="4"/>
      <c r="AY892" s="3"/>
      <c r="AZ892" s="4"/>
      <c r="BA892" s="3"/>
      <c r="BB892" s="4"/>
      <c r="BC892" s="3"/>
      <c r="BD892" s="4"/>
      <c r="BE892" s="3"/>
      <c r="BF892" s="4"/>
      <c r="BG892" s="3"/>
      <c r="BH892" s="4"/>
      <c r="BI892" s="3"/>
      <c r="BJ892" s="4"/>
      <c r="BK892" s="3"/>
      <c r="BL892" s="4"/>
      <c r="BM892" s="3"/>
      <c r="BN892" s="4"/>
      <c r="BO892" s="3"/>
      <c r="BP892" s="4"/>
      <c r="BQ892" s="3"/>
      <c r="BR892" s="4"/>
      <c r="BS892" s="3"/>
      <c r="BT892" s="4"/>
      <c r="BU892" s="3"/>
      <c r="BV892" s="4"/>
      <c r="BW892" s="3"/>
      <c r="BX892" s="4"/>
      <c r="BY892" s="3"/>
      <c r="BZ892" s="4"/>
      <c r="CA892" s="3"/>
      <c r="CB892" s="4"/>
      <c r="CC892" s="3"/>
      <c r="CD892" s="4"/>
    </row>
    <row r="893">
      <c r="A893" s="3"/>
      <c r="B893" s="4"/>
      <c r="C893" s="3"/>
      <c r="D893" s="4"/>
      <c r="E893" s="3"/>
      <c r="F893" s="4"/>
      <c r="G893" s="3"/>
      <c r="H893" s="4"/>
      <c r="I893" s="3"/>
      <c r="J893" s="4"/>
      <c r="K893" s="3"/>
      <c r="L893" s="4"/>
      <c r="M893" s="3"/>
      <c r="N893" s="4"/>
      <c r="O893" s="3"/>
      <c r="P893" s="4"/>
      <c r="Q893" s="3"/>
      <c r="R893" s="4"/>
      <c r="S893" s="3"/>
      <c r="T893" s="4"/>
      <c r="U893" s="3"/>
      <c r="V893" s="4"/>
      <c r="W893" s="3"/>
      <c r="X893" s="4"/>
      <c r="Y893" s="3"/>
      <c r="Z893" s="4"/>
      <c r="AA893" s="3"/>
      <c r="AB893" s="4"/>
      <c r="AC893" s="3"/>
      <c r="AD893" s="4"/>
      <c r="AE893" s="3"/>
      <c r="AF893" s="4"/>
      <c r="AG893" s="3"/>
      <c r="AH893" s="4"/>
      <c r="AI893" s="3"/>
      <c r="AJ893" s="4"/>
      <c r="AK893" s="3"/>
      <c r="AL893" s="4"/>
      <c r="AM893" s="3"/>
      <c r="AN893" s="4"/>
      <c r="AO893" s="3"/>
      <c r="AP893" s="4"/>
      <c r="AQ893" s="3"/>
      <c r="AR893" s="4"/>
      <c r="AS893" s="3"/>
      <c r="AT893" s="4"/>
      <c r="AU893" s="3"/>
      <c r="AV893" s="4"/>
      <c r="AW893" s="3"/>
      <c r="AX893" s="4"/>
      <c r="AY893" s="3"/>
      <c r="AZ893" s="4"/>
      <c r="BA893" s="3"/>
      <c r="BB893" s="4"/>
      <c r="BC893" s="3"/>
      <c r="BD893" s="4"/>
      <c r="BE893" s="3"/>
      <c r="BF893" s="4"/>
      <c r="BG893" s="3"/>
      <c r="BH893" s="4"/>
      <c r="BI893" s="3"/>
      <c r="BJ893" s="4"/>
      <c r="BK893" s="3"/>
      <c r="BL893" s="4"/>
      <c r="BM893" s="3"/>
      <c r="BN893" s="4"/>
      <c r="BO893" s="3"/>
      <c r="BP893" s="4"/>
      <c r="BQ893" s="3"/>
      <c r="BR893" s="4"/>
      <c r="BS893" s="3"/>
      <c r="BT893" s="4"/>
      <c r="BU893" s="3"/>
      <c r="BV893" s="4"/>
      <c r="BW893" s="3"/>
      <c r="BX893" s="4"/>
      <c r="BY893" s="3"/>
      <c r="BZ893" s="4"/>
      <c r="CA893" s="3"/>
      <c r="CB893" s="4"/>
      <c r="CC893" s="3"/>
      <c r="CD893" s="4"/>
    </row>
    <row r="894">
      <c r="A894" s="3"/>
      <c r="B894" s="4"/>
      <c r="C894" s="3"/>
      <c r="D894" s="4"/>
      <c r="E894" s="3"/>
      <c r="F894" s="4"/>
      <c r="G894" s="3"/>
      <c r="H894" s="4"/>
      <c r="I894" s="3"/>
      <c r="J894" s="4"/>
      <c r="K894" s="3"/>
      <c r="L894" s="4"/>
      <c r="M894" s="3"/>
      <c r="N894" s="4"/>
      <c r="O894" s="3"/>
      <c r="P894" s="4"/>
      <c r="Q894" s="3"/>
      <c r="R894" s="4"/>
      <c r="S894" s="3"/>
      <c r="T894" s="4"/>
      <c r="U894" s="3"/>
      <c r="V894" s="4"/>
      <c r="W894" s="3"/>
      <c r="X894" s="4"/>
      <c r="Y894" s="3"/>
      <c r="Z894" s="4"/>
      <c r="AA894" s="3"/>
      <c r="AB894" s="4"/>
      <c r="AC894" s="3"/>
      <c r="AD894" s="4"/>
      <c r="AE894" s="3"/>
      <c r="AF894" s="4"/>
      <c r="AG894" s="3"/>
      <c r="AH894" s="4"/>
      <c r="AI894" s="3"/>
      <c r="AJ894" s="4"/>
      <c r="AK894" s="3"/>
      <c r="AL894" s="4"/>
      <c r="AM894" s="3"/>
      <c r="AN894" s="4"/>
      <c r="AO894" s="3"/>
      <c r="AP894" s="4"/>
      <c r="AQ894" s="3"/>
      <c r="AR894" s="4"/>
      <c r="AS894" s="3"/>
      <c r="AT894" s="4"/>
      <c r="AU894" s="3"/>
      <c r="AV894" s="4"/>
      <c r="AW894" s="3"/>
      <c r="AX894" s="4"/>
      <c r="AY894" s="3"/>
      <c r="AZ894" s="4"/>
      <c r="BA894" s="3"/>
      <c r="BB894" s="4"/>
      <c r="BC894" s="3"/>
      <c r="BD894" s="4"/>
      <c r="BE894" s="3"/>
      <c r="BF894" s="4"/>
      <c r="BG894" s="3"/>
      <c r="BH894" s="4"/>
      <c r="BI894" s="3"/>
      <c r="BJ894" s="4"/>
      <c r="BK894" s="3"/>
      <c r="BL894" s="4"/>
      <c r="BM894" s="3"/>
      <c r="BN894" s="4"/>
      <c r="BO894" s="3"/>
      <c r="BP894" s="4"/>
      <c r="BQ894" s="3"/>
      <c r="BR894" s="4"/>
      <c r="BS894" s="3"/>
      <c r="BT894" s="4"/>
      <c r="BU894" s="3"/>
      <c r="BV894" s="4"/>
      <c r="BW894" s="3"/>
      <c r="BX894" s="4"/>
      <c r="BY894" s="3"/>
      <c r="BZ894" s="4"/>
      <c r="CA894" s="3"/>
      <c r="CB894" s="4"/>
      <c r="CC894" s="3"/>
      <c r="CD894" s="4"/>
    </row>
    <row r="895">
      <c r="A895" s="3"/>
      <c r="B895" s="4"/>
      <c r="C895" s="3"/>
      <c r="D895" s="4"/>
      <c r="E895" s="3"/>
      <c r="F895" s="4"/>
      <c r="G895" s="3"/>
      <c r="H895" s="4"/>
      <c r="I895" s="3"/>
      <c r="J895" s="4"/>
      <c r="K895" s="3"/>
      <c r="L895" s="4"/>
      <c r="M895" s="3"/>
      <c r="N895" s="4"/>
      <c r="O895" s="3"/>
      <c r="P895" s="4"/>
      <c r="Q895" s="3"/>
      <c r="R895" s="4"/>
      <c r="S895" s="3"/>
      <c r="T895" s="4"/>
      <c r="U895" s="3"/>
      <c r="V895" s="4"/>
      <c r="W895" s="3"/>
      <c r="X895" s="4"/>
      <c r="Y895" s="3"/>
      <c r="Z895" s="4"/>
      <c r="AA895" s="3"/>
      <c r="AB895" s="4"/>
      <c r="AC895" s="3"/>
      <c r="AD895" s="4"/>
      <c r="AE895" s="3"/>
      <c r="AF895" s="4"/>
      <c r="AG895" s="3"/>
      <c r="AH895" s="4"/>
      <c r="AI895" s="3"/>
      <c r="AJ895" s="4"/>
      <c r="AK895" s="3"/>
      <c r="AL895" s="4"/>
      <c r="AM895" s="3"/>
      <c r="AN895" s="4"/>
      <c r="AO895" s="3"/>
      <c r="AP895" s="4"/>
      <c r="AQ895" s="3"/>
      <c r="AR895" s="4"/>
      <c r="AS895" s="3"/>
      <c r="AT895" s="4"/>
      <c r="AU895" s="3"/>
      <c r="AV895" s="4"/>
      <c r="AW895" s="3"/>
      <c r="AX895" s="4"/>
      <c r="AY895" s="3"/>
      <c r="AZ895" s="4"/>
      <c r="BA895" s="3"/>
      <c r="BB895" s="4"/>
      <c r="BC895" s="3"/>
      <c r="BD895" s="4"/>
      <c r="BE895" s="3"/>
      <c r="BF895" s="4"/>
      <c r="BG895" s="3"/>
      <c r="BH895" s="4"/>
      <c r="BI895" s="3"/>
      <c r="BJ895" s="4"/>
      <c r="BK895" s="3"/>
      <c r="BL895" s="4"/>
      <c r="BM895" s="3"/>
      <c r="BN895" s="4"/>
      <c r="BO895" s="3"/>
      <c r="BP895" s="4"/>
      <c r="BQ895" s="3"/>
      <c r="BR895" s="4"/>
      <c r="BS895" s="3"/>
      <c r="BT895" s="4"/>
      <c r="BU895" s="3"/>
      <c r="BV895" s="4"/>
      <c r="BW895" s="3"/>
      <c r="BX895" s="4"/>
      <c r="BY895" s="3"/>
      <c r="BZ895" s="4"/>
      <c r="CA895" s="3"/>
      <c r="CB895" s="4"/>
      <c r="CC895" s="3"/>
      <c r="CD895" s="4"/>
    </row>
    <row r="896">
      <c r="A896" s="3"/>
      <c r="B896" s="4"/>
      <c r="C896" s="3"/>
      <c r="D896" s="4"/>
      <c r="E896" s="3"/>
      <c r="F896" s="4"/>
      <c r="G896" s="3"/>
      <c r="H896" s="4"/>
      <c r="I896" s="3"/>
      <c r="J896" s="4"/>
      <c r="K896" s="3"/>
      <c r="L896" s="4"/>
      <c r="M896" s="3"/>
      <c r="N896" s="4"/>
      <c r="O896" s="3"/>
      <c r="P896" s="4"/>
      <c r="Q896" s="3"/>
      <c r="R896" s="4"/>
      <c r="S896" s="3"/>
      <c r="T896" s="4"/>
      <c r="U896" s="3"/>
      <c r="V896" s="4"/>
      <c r="W896" s="3"/>
      <c r="X896" s="4"/>
      <c r="Y896" s="3"/>
      <c r="Z896" s="4"/>
      <c r="AA896" s="3"/>
      <c r="AB896" s="4"/>
      <c r="AC896" s="3"/>
      <c r="AD896" s="4"/>
      <c r="AE896" s="3"/>
      <c r="AF896" s="4"/>
      <c r="AG896" s="3"/>
      <c r="AH896" s="4"/>
      <c r="AI896" s="3"/>
      <c r="AJ896" s="4"/>
      <c r="AK896" s="3"/>
      <c r="AL896" s="4"/>
      <c r="AM896" s="3"/>
      <c r="AN896" s="4"/>
      <c r="AO896" s="3"/>
      <c r="AP896" s="4"/>
      <c r="AQ896" s="3"/>
      <c r="AR896" s="4"/>
      <c r="AS896" s="3"/>
      <c r="AT896" s="4"/>
      <c r="AU896" s="3"/>
      <c r="AV896" s="4"/>
      <c r="AW896" s="3"/>
      <c r="AX896" s="4"/>
      <c r="AY896" s="3"/>
      <c r="AZ896" s="4"/>
      <c r="BA896" s="3"/>
      <c r="BB896" s="4"/>
      <c r="BC896" s="3"/>
      <c r="BD896" s="4"/>
      <c r="BE896" s="3"/>
      <c r="BF896" s="4"/>
      <c r="BG896" s="3"/>
      <c r="BH896" s="4"/>
      <c r="BI896" s="3"/>
      <c r="BJ896" s="4"/>
      <c r="BK896" s="3"/>
      <c r="BL896" s="4"/>
      <c r="BM896" s="3"/>
      <c r="BN896" s="4"/>
      <c r="BO896" s="3"/>
      <c r="BP896" s="4"/>
      <c r="BQ896" s="3"/>
      <c r="BR896" s="4"/>
      <c r="BS896" s="3"/>
      <c r="BT896" s="4"/>
      <c r="BU896" s="3"/>
      <c r="BV896" s="4"/>
      <c r="BW896" s="3"/>
      <c r="BX896" s="4"/>
      <c r="BY896" s="3"/>
      <c r="BZ896" s="4"/>
      <c r="CA896" s="3"/>
      <c r="CB896" s="4"/>
      <c r="CC896" s="3"/>
      <c r="CD896" s="4"/>
    </row>
    <row r="897">
      <c r="A897" s="3"/>
      <c r="B897" s="4"/>
      <c r="C897" s="3"/>
      <c r="D897" s="4"/>
      <c r="E897" s="3"/>
      <c r="F897" s="4"/>
      <c r="G897" s="3"/>
      <c r="H897" s="4"/>
      <c r="I897" s="3"/>
      <c r="J897" s="4"/>
      <c r="K897" s="3"/>
      <c r="L897" s="4"/>
      <c r="M897" s="3"/>
      <c r="N897" s="4"/>
      <c r="O897" s="3"/>
      <c r="P897" s="4"/>
      <c r="Q897" s="3"/>
      <c r="R897" s="4"/>
      <c r="S897" s="3"/>
      <c r="T897" s="4"/>
      <c r="U897" s="3"/>
      <c r="V897" s="4"/>
      <c r="W897" s="3"/>
      <c r="X897" s="4"/>
      <c r="Y897" s="3"/>
      <c r="Z897" s="4"/>
      <c r="AA897" s="3"/>
      <c r="AB897" s="4"/>
      <c r="AC897" s="3"/>
      <c r="AD897" s="4"/>
      <c r="AE897" s="3"/>
      <c r="AF897" s="4"/>
      <c r="AG897" s="3"/>
      <c r="AH897" s="4"/>
      <c r="AI897" s="3"/>
      <c r="AJ897" s="4"/>
      <c r="AK897" s="3"/>
      <c r="AL897" s="4"/>
      <c r="AM897" s="3"/>
      <c r="AN897" s="4"/>
      <c r="AO897" s="3"/>
      <c r="AP897" s="4"/>
      <c r="AQ897" s="3"/>
      <c r="AR897" s="4"/>
      <c r="AS897" s="3"/>
      <c r="AT897" s="4"/>
      <c r="AU897" s="3"/>
      <c r="AV897" s="4"/>
      <c r="AW897" s="3"/>
      <c r="AX897" s="4"/>
      <c r="AY897" s="3"/>
      <c r="AZ897" s="4"/>
      <c r="BA897" s="3"/>
      <c r="BB897" s="4"/>
      <c r="BC897" s="3"/>
      <c r="BD897" s="4"/>
      <c r="BE897" s="3"/>
      <c r="BF897" s="4"/>
      <c r="BG897" s="3"/>
      <c r="BH897" s="4"/>
      <c r="BI897" s="3"/>
      <c r="BJ897" s="4"/>
      <c r="BK897" s="3"/>
      <c r="BL897" s="4"/>
      <c r="BM897" s="3"/>
      <c r="BN897" s="4"/>
      <c r="BO897" s="3"/>
      <c r="BP897" s="4"/>
      <c r="BQ897" s="3"/>
      <c r="BR897" s="4"/>
      <c r="BS897" s="3"/>
      <c r="BT897" s="4"/>
      <c r="BU897" s="3"/>
      <c r="BV897" s="4"/>
      <c r="BW897" s="3"/>
      <c r="BX897" s="4"/>
      <c r="BY897" s="3"/>
      <c r="BZ897" s="4"/>
      <c r="CA897" s="3"/>
      <c r="CB897" s="4"/>
      <c r="CC897" s="3"/>
      <c r="CD897" s="4"/>
    </row>
    <row r="898">
      <c r="A898" s="3"/>
      <c r="B898" s="4"/>
      <c r="C898" s="3"/>
      <c r="D898" s="4"/>
      <c r="E898" s="3"/>
      <c r="F898" s="4"/>
      <c r="G898" s="3"/>
      <c r="H898" s="4"/>
      <c r="I898" s="3"/>
      <c r="J898" s="4"/>
      <c r="K898" s="3"/>
      <c r="L898" s="4"/>
      <c r="M898" s="3"/>
      <c r="N898" s="4"/>
      <c r="O898" s="3"/>
      <c r="P898" s="4"/>
      <c r="Q898" s="3"/>
      <c r="R898" s="4"/>
      <c r="S898" s="3"/>
      <c r="T898" s="4"/>
      <c r="U898" s="3"/>
      <c r="V898" s="4"/>
      <c r="W898" s="3"/>
      <c r="X898" s="4"/>
      <c r="Y898" s="3"/>
      <c r="Z898" s="4"/>
      <c r="AA898" s="3"/>
      <c r="AB898" s="4"/>
      <c r="AC898" s="3"/>
      <c r="AD898" s="4"/>
      <c r="AE898" s="3"/>
      <c r="AF898" s="4"/>
      <c r="AG898" s="3"/>
      <c r="AH898" s="4"/>
      <c r="AI898" s="3"/>
      <c r="AJ898" s="4"/>
      <c r="AK898" s="3"/>
      <c r="AL898" s="4"/>
      <c r="AM898" s="3"/>
      <c r="AN898" s="4"/>
      <c r="AO898" s="3"/>
      <c r="AP898" s="4"/>
      <c r="AQ898" s="3"/>
      <c r="AR898" s="4"/>
      <c r="AS898" s="3"/>
      <c r="AT898" s="4"/>
      <c r="AU898" s="3"/>
      <c r="AV898" s="4"/>
      <c r="AW898" s="3"/>
      <c r="AX898" s="4"/>
      <c r="AY898" s="3"/>
      <c r="AZ898" s="4"/>
      <c r="BA898" s="3"/>
      <c r="BB898" s="4"/>
      <c r="BC898" s="3"/>
      <c r="BD898" s="4"/>
      <c r="BE898" s="3"/>
      <c r="BF898" s="4"/>
      <c r="BG898" s="3"/>
      <c r="BH898" s="4"/>
      <c r="BI898" s="3"/>
      <c r="BJ898" s="4"/>
      <c r="BK898" s="3"/>
      <c r="BL898" s="4"/>
      <c r="BM898" s="3"/>
      <c r="BN898" s="4"/>
      <c r="BO898" s="3"/>
      <c r="BP898" s="4"/>
      <c r="BQ898" s="3"/>
      <c r="BR898" s="4"/>
      <c r="BS898" s="3"/>
      <c r="BT898" s="4"/>
      <c r="BU898" s="3"/>
      <c r="BV898" s="4"/>
      <c r="BW898" s="3"/>
      <c r="BX898" s="4"/>
      <c r="BY898" s="3"/>
      <c r="BZ898" s="4"/>
      <c r="CA898" s="3"/>
      <c r="CB898" s="4"/>
      <c r="CC898" s="3"/>
      <c r="CD898" s="4"/>
    </row>
    <row r="899">
      <c r="A899" s="3"/>
      <c r="B899" s="4"/>
      <c r="C899" s="3"/>
      <c r="D899" s="4"/>
      <c r="E899" s="3"/>
      <c r="F899" s="4"/>
      <c r="G899" s="3"/>
      <c r="H899" s="4"/>
      <c r="I899" s="3"/>
      <c r="J899" s="4"/>
      <c r="K899" s="3"/>
      <c r="L899" s="4"/>
      <c r="M899" s="3"/>
      <c r="N899" s="4"/>
      <c r="O899" s="3"/>
      <c r="P899" s="4"/>
      <c r="Q899" s="3"/>
      <c r="R899" s="4"/>
      <c r="S899" s="3"/>
      <c r="T899" s="4"/>
      <c r="U899" s="3"/>
      <c r="V899" s="4"/>
      <c r="W899" s="3"/>
      <c r="X899" s="4"/>
      <c r="Y899" s="3"/>
      <c r="Z899" s="4"/>
      <c r="AA899" s="3"/>
      <c r="AB899" s="4"/>
      <c r="AC899" s="3"/>
      <c r="AD899" s="4"/>
      <c r="AE899" s="3"/>
      <c r="AF899" s="4"/>
      <c r="AG899" s="3"/>
      <c r="AH899" s="4"/>
      <c r="AI899" s="3"/>
      <c r="AJ899" s="4"/>
      <c r="AK899" s="3"/>
      <c r="AL899" s="4"/>
      <c r="AM899" s="3"/>
      <c r="AN899" s="4"/>
      <c r="AO899" s="3"/>
      <c r="AP899" s="4"/>
      <c r="AQ899" s="3"/>
      <c r="AR899" s="4"/>
      <c r="AS899" s="3"/>
      <c r="AT899" s="4"/>
      <c r="AU899" s="3"/>
      <c r="AV899" s="4"/>
      <c r="AW899" s="3"/>
      <c r="AX899" s="4"/>
      <c r="AY899" s="3"/>
      <c r="AZ899" s="4"/>
      <c r="BA899" s="3"/>
      <c r="BB899" s="4"/>
      <c r="BC899" s="3"/>
      <c r="BD899" s="4"/>
      <c r="BE899" s="3"/>
      <c r="BF899" s="4"/>
      <c r="BG899" s="3"/>
      <c r="BH899" s="4"/>
      <c r="BI899" s="3"/>
      <c r="BJ899" s="4"/>
      <c r="BK899" s="3"/>
      <c r="BL899" s="4"/>
      <c r="BM899" s="3"/>
      <c r="BN899" s="4"/>
      <c r="BO899" s="3"/>
      <c r="BP899" s="4"/>
      <c r="BQ899" s="3"/>
      <c r="BR899" s="4"/>
      <c r="BS899" s="3"/>
      <c r="BT899" s="4"/>
      <c r="BU899" s="3"/>
      <c r="BV899" s="4"/>
      <c r="BW899" s="3"/>
      <c r="BX899" s="4"/>
      <c r="BY899" s="3"/>
      <c r="BZ899" s="4"/>
      <c r="CA899" s="3"/>
      <c r="CB899" s="4"/>
      <c r="CC899" s="3"/>
      <c r="CD899" s="4"/>
    </row>
    <row r="900">
      <c r="A900" s="3"/>
      <c r="B900" s="4"/>
      <c r="C900" s="3"/>
      <c r="D900" s="4"/>
      <c r="E900" s="3"/>
      <c r="F900" s="4"/>
      <c r="G900" s="3"/>
      <c r="H900" s="4"/>
      <c r="I900" s="3"/>
      <c r="J900" s="4"/>
      <c r="K900" s="3"/>
      <c r="L900" s="4"/>
      <c r="M900" s="3"/>
      <c r="N900" s="4"/>
      <c r="O900" s="3"/>
      <c r="P900" s="4"/>
      <c r="Q900" s="3"/>
      <c r="R900" s="4"/>
      <c r="S900" s="3"/>
      <c r="T900" s="4"/>
      <c r="U900" s="3"/>
      <c r="V900" s="4"/>
      <c r="W900" s="3"/>
      <c r="X900" s="4"/>
      <c r="Y900" s="3"/>
      <c r="Z900" s="4"/>
      <c r="AA900" s="3"/>
      <c r="AB900" s="4"/>
      <c r="AC900" s="3"/>
      <c r="AD900" s="4"/>
      <c r="AE900" s="3"/>
      <c r="AF900" s="4"/>
      <c r="AG900" s="3"/>
      <c r="AH900" s="4"/>
      <c r="AI900" s="3"/>
      <c r="AJ900" s="4"/>
      <c r="AK900" s="3"/>
      <c r="AL900" s="4"/>
      <c r="AM900" s="3"/>
      <c r="AN900" s="4"/>
      <c r="AO900" s="3"/>
      <c r="AP900" s="4"/>
      <c r="AQ900" s="3"/>
      <c r="AR900" s="4"/>
      <c r="AS900" s="3"/>
      <c r="AT900" s="4"/>
      <c r="AU900" s="3"/>
      <c r="AV900" s="4"/>
      <c r="AW900" s="3"/>
      <c r="AX900" s="4"/>
      <c r="AY900" s="3"/>
      <c r="AZ900" s="4"/>
      <c r="BA900" s="3"/>
      <c r="BB900" s="4"/>
      <c r="BC900" s="3"/>
      <c r="BD900" s="4"/>
      <c r="BE900" s="3"/>
      <c r="BF900" s="4"/>
      <c r="BG900" s="3"/>
      <c r="BH900" s="4"/>
      <c r="BI900" s="3"/>
      <c r="BJ900" s="4"/>
      <c r="BK900" s="3"/>
      <c r="BL900" s="4"/>
      <c r="BM900" s="3"/>
      <c r="BN900" s="4"/>
      <c r="BO900" s="3"/>
      <c r="BP900" s="4"/>
      <c r="BQ900" s="3"/>
      <c r="BR900" s="4"/>
      <c r="BS900" s="3"/>
      <c r="BT900" s="4"/>
      <c r="BU900" s="3"/>
      <c r="BV900" s="4"/>
      <c r="BW900" s="3"/>
      <c r="BX900" s="4"/>
      <c r="BY900" s="3"/>
      <c r="BZ900" s="4"/>
      <c r="CA900" s="3"/>
      <c r="CB900" s="4"/>
      <c r="CC900" s="3"/>
      <c r="CD900" s="4"/>
    </row>
    <row r="901">
      <c r="A901" s="3"/>
      <c r="B901" s="4"/>
      <c r="C901" s="3"/>
      <c r="D901" s="4"/>
      <c r="E901" s="3"/>
      <c r="F901" s="4"/>
      <c r="G901" s="3"/>
      <c r="H901" s="4"/>
      <c r="I901" s="3"/>
      <c r="J901" s="4"/>
      <c r="K901" s="3"/>
      <c r="L901" s="4"/>
      <c r="M901" s="3"/>
      <c r="N901" s="4"/>
      <c r="O901" s="3"/>
      <c r="P901" s="4"/>
      <c r="Q901" s="3"/>
      <c r="R901" s="4"/>
      <c r="S901" s="3"/>
      <c r="T901" s="4"/>
      <c r="U901" s="3"/>
      <c r="V901" s="4"/>
      <c r="W901" s="3"/>
      <c r="X901" s="4"/>
      <c r="Y901" s="3"/>
      <c r="Z901" s="4"/>
      <c r="AA901" s="3"/>
      <c r="AB901" s="4"/>
      <c r="AC901" s="3"/>
      <c r="AD901" s="4"/>
      <c r="AE901" s="3"/>
      <c r="AF901" s="4"/>
      <c r="AG901" s="3"/>
      <c r="AH901" s="4"/>
      <c r="AI901" s="3"/>
      <c r="AJ901" s="4"/>
      <c r="AK901" s="3"/>
      <c r="AL901" s="4"/>
      <c r="AM901" s="3"/>
      <c r="AN901" s="4"/>
      <c r="AO901" s="3"/>
      <c r="AP901" s="4"/>
      <c r="AQ901" s="3"/>
      <c r="AR901" s="4"/>
      <c r="AS901" s="3"/>
      <c r="AT901" s="4"/>
      <c r="AU901" s="3"/>
      <c r="AV901" s="4"/>
      <c r="AW901" s="3"/>
      <c r="AX901" s="4"/>
      <c r="AY901" s="3"/>
      <c r="AZ901" s="4"/>
      <c r="BA901" s="3"/>
      <c r="BB901" s="4"/>
      <c r="BC901" s="3"/>
      <c r="BD901" s="4"/>
      <c r="BE901" s="3"/>
      <c r="BF901" s="4"/>
      <c r="BG901" s="3"/>
      <c r="BH901" s="4"/>
      <c r="BI901" s="3"/>
      <c r="BJ901" s="4"/>
      <c r="BK901" s="3"/>
      <c r="BL901" s="4"/>
      <c r="BM901" s="3"/>
      <c r="BN901" s="4"/>
      <c r="BO901" s="3"/>
      <c r="BP901" s="4"/>
      <c r="BQ901" s="3"/>
      <c r="BR901" s="4"/>
      <c r="BS901" s="3"/>
      <c r="BT901" s="4"/>
      <c r="BU901" s="3"/>
      <c r="BV901" s="4"/>
      <c r="BW901" s="3"/>
      <c r="BX901" s="4"/>
      <c r="BY901" s="3"/>
      <c r="BZ901" s="4"/>
      <c r="CA901" s="3"/>
      <c r="CB901" s="4"/>
      <c r="CC901" s="3"/>
      <c r="CD901" s="4"/>
    </row>
    <row r="902">
      <c r="A902" s="3"/>
      <c r="B902" s="4"/>
      <c r="C902" s="3"/>
      <c r="D902" s="4"/>
      <c r="E902" s="3"/>
      <c r="F902" s="4"/>
      <c r="G902" s="3"/>
      <c r="H902" s="4"/>
      <c r="I902" s="3"/>
      <c r="J902" s="4"/>
      <c r="K902" s="3"/>
      <c r="L902" s="4"/>
      <c r="M902" s="3"/>
      <c r="N902" s="4"/>
      <c r="O902" s="3"/>
      <c r="P902" s="4"/>
      <c r="Q902" s="3"/>
      <c r="R902" s="4"/>
      <c r="S902" s="3"/>
      <c r="T902" s="4"/>
      <c r="U902" s="3"/>
      <c r="V902" s="4"/>
      <c r="W902" s="3"/>
      <c r="X902" s="4"/>
      <c r="Y902" s="3"/>
      <c r="Z902" s="4"/>
      <c r="AA902" s="3"/>
      <c r="AB902" s="4"/>
      <c r="AC902" s="3"/>
      <c r="AD902" s="4"/>
      <c r="AE902" s="3"/>
      <c r="AF902" s="4"/>
      <c r="AG902" s="3"/>
      <c r="AH902" s="4"/>
      <c r="AI902" s="3"/>
      <c r="AJ902" s="4"/>
      <c r="AK902" s="3"/>
      <c r="AL902" s="4"/>
      <c r="AM902" s="3"/>
      <c r="AN902" s="4"/>
      <c r="AO902" s="3"/>
      <c r="AP902" s="4"/>
      <c r="AQ902" s="3"/>
      <c r="AR902" s="4"/>
      <c r="AS902" s="3"/>
      <c r="AT902" s="4"/>
      <c r="AU902" s="3"/>
      <c r="AV902" s="4"/>
      <c r="AW902" s="3"/>
      <c r="AX902" s="4"/>
      <c r="AY902" s="3"/>
      <c r="AZ902" s="4"/>
      <c r="BA902" s="3"/>
      <c r="BB902" s="4"/>
      <c r="BC902" s="3"/>
      <c r="BD902" s="4"/>
      <c r="BE902" s="3"/>
      <c r="BF902" s="4"/>
      <c r="BG902" s="3"/>
      <c r="BH902" s="4"/>
      <c r="BI902" s="3"/>
      <c r="BJ902" s="4"/>
      <c r="BK902" s="3"/>
      <c r="BL902" s="4"/>
      <c r="BM902" s="3"/>
      <c r="BN902" s="4"/>
      <c r="BO902" s="3"/>
      <c r="BP902" s="4"/>
      <c r="BQ902" s="3"/>
      <c r="BR902" s="4"/>
      <c r="BS902" s="3"/>
      <c r="BT902" s="4"/>
      <c r="BU902" s="3"/>
      <c r="BV902" s="4"/>
      <c r="BW902" s="3"/>
      <c r="BX902" s="4"/>
      <c r="BY902" s="3"/>
      <c r="BZ902" s="4"/>
      <c r="CA902" s="3"/>
      <c r="CB902" s="4"/>
      <c r="CC902" s="3"/>
      <c r="CD902" s="4"/>
    </row>
    <row r="903">
      <c r="A903" s="3"/>
      <c r="B903" s="4"/>
      <c r="C903" s="3"/>
      <c r="D903" s="4"/>
      <c r="E903" s="3"/>
      <c r="F903" s="4"/>
      <c r="G903" s="3"/>
      <c r="H903" s="4"/>
      <c r="I903" s="3"/>
      <c r="J903" s="4"/>
      <c r="K903" s="3"/>
      <c r="L903" s="4"/>
      <c r="M903" s="3"/>
      <c r="N903" s="4"/>
      <c r="O903" s="3"/>
      <c r="P903" s="4"/>
      <c r="Q903" s="3"/>
      <c r="R903" s="4"/>
      <c r="S903" s="3"/>
      <c r="T903" s="4"/>
      <c r="U903" s="3"/>
      <c r="V903" s="4"/>
      <c r="W903" s="3"/>
      <c r="X903" s="4"/>
      <c r="Y903" s="3"/>
      <c r="Z903" s="4"/>
      <c r="AA903" s="3"/>
      <c r="AB903" s="4"/>
      <c r="AC903" s="3"/>
      <c r="AD903" s="4"/>
      <c r="AE903" s="3"/>
      <c r="AF903" s="4"/>
      <c r="AG903" s="3"/>
      <c r="AH903" s="4"/>
      <c r="AI903" s="3"/>
      <c r="AJ903" s="4"/>
      <c r="AK903" s="3"/>
      <c r="AL903" s="4"/>
      <c r="AM903" s="3"/>
      <c r="AN903" s="4"/>
      <c r="AO903" s="3"/>
      <c r="AP903" s="4"/>
      <c r="AQ903" s="3"/>
      <c r="AR903" s="4"/>
      <c r="AS903" s="3"/>
      <c r="AT903" s="4"/>
      <c r="AU903" s="3"/>
      <c r="AV903" s="4"/>
      <c r="AW903" s="3"/>
      <c r="AX903" s="4"/>
      <c r="AY903" s="3"/>
      <c r="AZ903" s="4"/>
      <c r="BA903" s="3"/>
      <c r="BB903" s="4"/>
      <c r="BC903" s="3"/>
      <c r="BD903" s="4"/>
      <c r="BE903" s="3"/>
      <c r="BF903" s="4"/>
      <c r="BG903" s="3"/>
      <c r="BH903" s="4"/>
      <c r="BI903" s="3"/>
      <c r="BJ903" s="4"/>
      <c r="BK903" s="3"/>
      <c r="BL903" s="4"/>
      <c r="BM903" s="3"/>
      <c r="BN903" s="4"/>
      <c r="BO903" s="3"/>
      <c r="BP903" s="4"/>
      <c r="BQ903" s="3"/>
      <c r="BR903" s="4"/>
      <c r="BS903" s="3"/>
      <c r="BT903" s="4"/>
      <c r="BU903" s="3"/>
      <c r="BV903" s="4"/>
      <c r="BW903" s="3"/>
      <c r="BX903" s="4"/>
      <c r="BY903" s="3"/>
      <c r="BZ903" s="4"/>
      <c r="CA903" s="3"/>
      <c r="CB903" s="4"/>
      <c r="CC903" s="3"/>
      <c r="CD903" s="4"/>
    </row>
    <row r="904">
      <c r="A904" s="3"/>
      <c r="B904" s="4"/>
      <c r="C904" s="3"/>
      <c r="D904" s="4"/>
      <c r="E904" s="3"/>
      <c r="F904" s="4"/>
      <c r="G904" s="3"/>
      <c r="H904" s="4"/>
      <c r="I904" s="3"/>
      <c r="J904" s="4"/>
      <c r="K904" s="3"/>
      <c r="L904" s="4"/>
      <c r="M904" s="3"/>
      <c r="N904" s="4"/>
      <c r="O904" s="3"/>
      <c r="P904" s="4"/>
      <c r="Q904" s="3"/>
      <c r="R904" s="4"/>
      <c r="S904" s="3"/>
      <c r="T904" s="4"/>
      <c r="U904" s="3"/>
      <c r="V904" s="4"/>
      <c r="W904" s="3"/>
      <c r="X904" s="4"/>
      <c r="Y904" s="3"/>
      <c r="Z904" s="4"/>
      <c r="AA904" s="3"/>
      <c r="AB904" s="4"/>
      <c r="AC904" s="3"/>
      <c r="AD904" s="4"/>
      <c r="AE904" s="3"/>
      <c r="AF904" s="4"/>
      <c r="AG904" s="3"/>
      <c r="AH904" s="4"/>
      <c r="AI904" s="3"/>
      <c r="AJ904" s="4"/>
      <c r="AK904" s="3"/>
      <c r="AL904" s="4"/>
      <c r="AM904" s="3"/>
      <c r="AN904" s="4"/>
      <c r="AO904" s="3"/>
      <c r="AP904" s="4"/>
      <c r="AQ904" s="3"/>
      <c r="AR904" s="4"/>
      <c r="AS904" s="3"/>
      <c r="AT904" s="4"/>
      <c r="AU904" s="3"/>
      <c r="AV904" s="4"/>
      <c r="AW904" s="3"/>
      <c r="AX904" s="4"/>
      <c r="AY904" s="3"/>
      <c r="AZ904" s="4"/>
      <c r="BA904" s="3"/>
      <c r="BB904" s="4"/>
      <c r="BC904" s="3"/>
      <c r="BD904" s="4"/>
      <c r="BE904" s="3"/>
      <c r="BF904" s="4"/>
      <c r="BG904" s="3"/>
      <c r="BH904" s="4"/>
      <c r="BI904" s="3"/>
      <c r="BJ904" s="4"/>
      <c r="BK904" s="3"/>
      <c r="BL904" s="4"/>
      <c r="BM904" s="3"/>
      <c r="BN904" s="4"/>
      <c r="BO904" s="3"/>
      <c r="BP904" s="4"/>
      <c r="BQ904" s="3"/>
      <c r="BR904" s="4"/>
      <c r="BS904" s="3"/>
      <c r="BT904" s="4"/>
      <c r="BU904" s="3"/>
      <c r="BV904" s="4"/>
      <c r="BW904" s="3"/>
      <c r="BX904" s="4"/>
      <c r="BY904" s="3"/>
      <c r="BZ904" s="4"/>
      <c r="CA904" s="3"/>
      <c r="CB904" s="4"/>
      <c r="CC904" s="3"/>
      <c r="CD904" s="4"/>
    </row>
    <row r="905">
      <c r="A905" s="3"/>
      <c r="B905" s="4"/>
      <c r="C905" s="3"/>
      <c r="D905" s="4"/>
      <c r="E905" s="3"/>
      <c r="F905" s="4"/>
      <c r="G905" s="3"/>
      <c r="H905" s="4"/>
      <c r="I905" s="3"/>
      <c r="J905" s="4"/>
      <c r="K905" s="3"/>
      <c r="L905" s="4"/>
      <c r="M905" s="3"/>
      <c r="N905" s="4"/>
      <c r="O905" s="3"/>
      <c r="P905" s="4"/>
      <c r="Q905" s="3"/>
      <c r="R905" s="4"/>
      <c r="S905" s="3"/>
      <c r="T905" s="4"/>
      <c r="U905" s="3"/>
      <c r="V905" s="4"/>
      <c r="W905" s="3"/>
      <c r="X905" s="4"/>
      <c r="Y905" s="3"/>
      <c r="Z905" s="4"/>
      <c r="AA905" s="3"/>
      <c r="AB905" s="4"/>
      <c r="AC905" s="3"/>
      <c r="AD905" s="4"/>
      <c r="AE905" s="3"/>
      <c r="AF905" s="4"/>
      <c r="AG905" s="3"/>
      <c r="AH905" s="4"/>
      <c r="AI905" s="3"/>
      <c r="AJ905" s="4"/>
      <c r="AK905" s="3"/>
      <c r="AL905" s="4"/>
      <c r="AM905" s="3"/>
      <c r="AN905" s="4"/>
      <c r="AO905" s="3"/>
      <c r="AP905" s="4"/>
      <c r="AQ905" s="3"/>
      <c r="AR905" s="4"/>
      <c r="AS905" s="3"/>
      <c r="AT905" s="4"/>
      <c r="AU905" s="3"/>
      <c r="AV905" s="4"/>
      <c r="AW905" s="3"/>
      <c r="AX905" s="4"/>
      <c r="AY905" s="3"/>
      <c r="AZ905" s="4"/>
      <c r="BA905" s="3"/>
      <c r="BB905" s="4"/>
      <c r="BC905" s="3"/>
      <c r="BD905" s="4"/>
      <c r="BE905" s="3"/>
      <c r="BF905" s="4"/>
      <c r="BG905" s="3"/>
      <c r="BH905" s="4"/>
      <c r="BI905" s="3"/>
      <c r="BJ905" s="4"/>
      <c r="BK905" s="3"/>
      <c r="BL905" s="4"/>
      <c r="BM905" s="3"/>
      <c r="BN905" s="4"/>
      <c r="BO905" s="3"/>
      <c r="BP905" s="4"/>
      <c r="BQ905" s="3"/>
      <c r="BR905" s="4"/>
      <c r="BS905" s="3"/>
      <c r="BT905" s="4"/>
      <c r="BU905" s="3"/>
      <c r="BV905" s="4"/>
      <c r="BW905" s="3"/>
      <c r="BX905" s="4"/>
      <c r="BY905" s="3"/>
      <c r="BZ905" s="4"/>
      <c r="CA905" s="3"/>
      <c r="CB905" s="4"/>
      <c r="CC905" s="3"/>
      <c r="CD905" s="4"/>
    </row>
    <row r="906">
      <c r="A906" s="3"/>
      <c r="B906" s="4"/>
      <c r="C906" s="3"/>
      <c r="D906" s="4"/>
      <c r="E906" s="3"/>
      <c r="F906" s="4"/>
      <c r="G906" s="3"/>
      <c r="H906" s="4"/>
      <c r="I906" s="3"/>
      <c r="J906" s="4"/>
      <c r="K906" s="3"/>
      <c r="L906" s="4"/>
      <c r="M906" s="3"/>
      <c r="N906" s="4"/>
      <c r="O906" s="3"/>
      <c r="P906" s="4"/>
      <c r="Q906" s="3"/>
      <c r="R906" s="4"/>
      <c r="S906" s="3"/>
      <c r="T906" s="4"/>
      <c r="U906" s="3"/>
      <c r="V906" s="4"/>
      <c r="W906" s="3"/>
      <c r="X906" s="4"/>
      <c r="Y906" s="3"/>
      <c r="Z906" s="4"/>
      <c r="AA906" s="3"/>
      <c r="AB906" s="4"/>
      <c r="AC906" s="3"/>
      <c r="AD906" s="4"/>
      <c r="AE906" s="3"/>
      <c r="AF906" s="4"/>
      <c r="AG906" s="3"/>
      <c r="AH906" s="4"/>
      <c r="AI906" s="3"/>
      <c r="AJ906" s="4"/>
      <c r="AK906" s="3"/>
      <c r="AL906" s="4"/>
      <c r="AM906" s="3"/>
      <c r="AN906" s="4"/>
      <c r="AO906" s="3"/>
      <c r="AP906" s="4"/>
      <c r="AQ906" s="3"/>
      <c r="AR906" s="4"/>
      <c r="AS906" s="3"/>
      <c r="AT906" s="4"/>
      <c r="AU906" s="3"/>
      <c r="AV906" s="4"/>
      <c r="AW906" s="3"/>
      <c r="AX906" s="4"/>
      <c r="AY906" s="3"/>
      <c r="AZ906" s="4"/>
      <c r="BA906" s="3"/>
      <c r="BB906" s="4"/>
      <c r="BC906" s="3"/>
      <c r="BD906" s="4"/>
      <c r="BE906" s="3"/>
      <c r="BF906" s="4"/>
      <c r="BG906" s="3"/>
      <c r="BH906" s="4"/>
      <c r="BI906" s="3"/>
      <c r="BJ906" s="4"/>
      <c r="BK906" s="3"/>
      <c r="BL906" s="4"/>
      <c r="BM906" s="3"/>
      <c r="BN906" s="4"/>
      <c r="BO906" s="3"/>
      <c r="BP906" s="4"/>
      <c r="BQ906" s="3"/>
      <c r="BR906" s="4"/>
      <c r="BS906" s="3"/>
      <c r="BT906" s="4"/>
      <c r="BU906" s="3"/>
      <c r="BV906" s="4"/>
      <c r="BW906" s="3"/>
      <c r="BX906" s="4"/>
      <c r="BY906" s="3"/>
      <c r="BZ906" s="4"/>
      <c r="CA906" s="3"/>
      <c r="CB906" s="4"/>
      <c r="CC906" s="3"/>
      <c r="CD906" s="4"/>
    </row>
    <row r="907">
      <c r="A907" s="3"/>
      <c r="B907" s="4"/>
      <c r="C907" s="3"/>
      <c r="D907" s="4"/>
      <c r="E907" s="3"/>
      <c r="F907" s="4"/>
      <c r="G907" s="3"/>
      <c r="H907" s="4"/>
      <c r="I907" s="3"/>
      <c r="J907" s="4"/>
      <c r="K907" s="3"/>
      <c r="L907" s="4"/>
      <c r="M907" s="3"/>
      <c r="N907" s="4"/>
      <c r="O907" s="3"/>
      <c r="P907" s="4"/>
      <c r="Q907" s="3"/>
      <c r="R907" s="4"/>
      <c r="S907" s="3"/>
      <c r="T907" s="4"/>
      <c r="U907" s="3"/>
      <c r="V907" s="4"/>
      <c r="W907" s="3"/>
      <c r="X907" s="4"/>
      <c r="Y907" s="3"/>
      <c r="Z907" s="4"/>
      <c r="AA907" s="3"/>
      <c r="AB907" s="4"/>
      <c r="AC907" s="3"/>
      <c r="AD907" s="4"/>
      <c r="AE907" s="3"/>
      <c r="AF907" s="4"/>
      <c r="AG907" s="3"/>
      <c r="AH907" s="4"/>
      <c r="AI907" s="3"/>
      <c r="AJ907" s="4"/>
      <c r="AK907" s="3"/>
      <c r="AL907" s="4"/>
      <c r="AM907" s="3"/>
      <c r="AN907" s="4"/>
      <c r="AO907" s="3"/>
      <c r="AP907" s="4"/>
      <c r="AQ907" s="3"/>
      <c r="AR907" s="4"/>
      <c r="AS907" s="3"/>
      <c r="AT907" s="4"/>
      <c r="AU907" s="3"/>
      <c r="AV907" s="4"/>
      <c r="AW907" s="3"/>
      <c r="AX907" s="4"/>
      <c r="AY907" s="3"/>
      <c r="AZ907" s="4"/>
      <c r="BA907" s="3"/>
      <c r="BB907" s="4"/>
      <c r="BC907" s="3"/>
      <c r="BD907" s="4"/>
      <c r="BE907" s="3"/>
      <c r="BF907" s="4"/>
      <c r="BG907" s="3"/>
      <c r="BH907" s="4"/>
      <c r="BI907" s="3"/>
      <c r="BJ907" s="4"/>
      <c r="BK907" s="3"/>
      <c r="BL907" s="4"/>
      <c r="BM907" s="3"/>
      <c r="BN907" s="4"/>
      <c r="BO907" s="3"/>
      <c r="BP907" s="4"/>
      <c r="BQ907" s="3"/>
      <c r="BR907" s="4"/>
      <c r="BS907" s="3"/>
      <c r="BT907" s="4"/>
      <c r="BU907" s="3"/>
      <c r="BV907" s="4"/>
      <c r="BW907" s="3"/>
      <c r="BX907" s="4"/>
      <c r="BY907" s="3"/>
      <c r="BZ907" s="4"/>
      <c r="CA907" s="3"/>
      <c r="CB907" s="4"/>
      <c r="CC907" s="3"/>
      <c r="CD907" s="4"/>
    </row>
    <row r="908">
      <c r="A908" s="3"/>
      <c r="B908" s="4"/>
      <c r="C908" s="3"/>
      <c r="D908" s="4"/>
      <c r="E908" s="3"/>
      <c r="F908" s="4"/>
      <c r="G908" s="3"/>
      <c r="H908" s="4"/>
      <c r="I908" s="3"/>
      <c r="J908" s="4"/>
      <c r="K908" s="3"/>
      <c r="L908" s="4"/>
      <c r="M908" s="3"/>
      <c r="N908" s="4"/>
      <c r="O908" s="3"/>
      <c r="P908" s="4"/>
      <c r="Q908" s="3"/>
      <c r="R908" s="4"/>
      <c r="S908" s="3"/>
      <c r="T908" s="4"/>
      <c r="U908" s="3"/>
      <c r="V908" s="4"/>
      <c r="W908" s="3"/>
      <c r="X908" s="4"/>
      <c r="Y908" s="3"/>
      <c r="Z908" s="4"/>
      <c r="AA908" s="3"/>
      <c r="AB908" s="4"/>
      <c r="AC908" s="3"/>
      <c r="AD908" s="4"/>
      <c r="AE908" s="3"/>
      <c r="AF908" s="4"/>
      <c r="AG908" s="3"/>
      <c r="AH908" s="4"/>
      <c r="AI908" s="3"/>
      <c r="AJ908" s="4"/>
      <c r="AK908" s="3"/>
      <c r="AL908" s="4"/>
      <c r="AM908" s="3"/>
      <c r="AN908" s="4"/>
      <c r="AO908" s="3"/>
      <c r="AP908" s="4"/>
      <c r="AQ908" s="3"/>
      <c r="AR908" s="4"/>
      <c r="AS908" s="3"/>
      <c r="AT908" s="4"/>
      <c r="AU908" s="3"/>
      <c r="AV908" s="4"/>
      <c r="AW908" s="3"/>
      <c r="AX908" s="4"/>
      <c r="AY908" s="3"/>
      <c r="AZ908" s="4"/>
      <c r="BA908" s="3"/>
      <c r="BB908" s="4"/>
      <c r="BC908" s="3"/>
      <c r="BD908" s="4"/>
      <c r="BE908" s="3"/>
      <c r="BF908" s="4"/>
      <c r="BG908" s="3"/>
      <c r="BH908" s="4"/>
      <c r="BI908" s="3"/>
      <c r="BJ908" s="4"/>
      <c r="BK908" s="3"/>
      <c r="BL908" s="4"/>
      <c r="BM908" s="3"/>
      <c r="BN908" s="4"/>
      <c r="BO908" s="3"/>
      <c r="BP908" s="4"/>
      <c r="BQ908" s="3"/>
      <c r="BR908" s="4"/>
      <c r="BS908" s="3"/>
      <c r="BT908" s="4"/>
      <c r="BU908" s="3"/>
      <c r="BV908" s="4"/>
      <c r="BW908" s="3"/>
      <c r="BX908" s="4"/>
      <c r="BY908" s="3"/>
      <c r="BZ908" s="4"/>
      <c r="CA908" s="3"/>
      <c r="CB908" s="4"/>
      <c r="CC908" s="3"/>
      <c r="CD908" s="4"/>
    </row>
    <row r="909">
      <c r="A909" s="3"/>
      <c r="B909" s="4"/>
      <c r="C909" s="3"/>
      <c r="D909" s="4"/>
      <c r="E909" s="3"/>
      <c r="F909" s="4"/>
      <c r="G909" s="3"/>
      <c r="H909" s="4"/>
      <c r="I909" s="3"/>
      <c r="J909" s="4"/>
      <c r="K909" s="3"/>
      <c r="L909" s="4"/>
      <c r="M909" s="3"/>
      <c r="N909" s="4"/>
      <c r="O909" s="3"/>
      <c r="P909" s="4"/>
      <c r="Q909" s="3"/>
      <c r="R909" s="4"/>
      <c r="S909" s="3"/>
      <c r="T909" s="4"/>
      <c r="U909" s="3"/>
      <c r="V909" s="4"/>
      <c r="W909" s="3"/>
      <c r="X909" s="4"/>
      <c r="Y909" s="3"/>
      <c r="Z909" s="4"/>
      <c r="AA909" s="3"/>
      <c r="AB909" s="4"/>
      <c r="AC909" s="3"/>
      <c r="AD909" s="4"/>
      <c r="AE909" s="3"/>
      <c r="AF909" s="4"/>
      <c r="AG909" s="3"/>
      <c r="AH909" s="4"/>
      <c r="AI909" s="3"/>
      <c r="AJ909" s="4"/>
      <c r="AK909" s="3"/>
      <c r="AL909" s="4"/>
      <c r="AM909" s="3"/>
      <c r="AN909" s="4"/>
      <c r="AO909" s="3"/>
      <c r="AP909" s="4"/>
      <c r="AQ909" s="3"/>
      <c r="AR909" s="4"/>
      <c r="AS909" s="3"/>
      <c r="AT909" s="4"/>
      <c r="AU909" s="3"/>
      <c r="AV909" s="4"/>
      <c r="AW909" s="3"/>
      <c r="AX909" s="4"/>
      <c r="AY909" s="3"/>
      <c r="AZ909" s="4"/>
      <c r="BA909" s="3"/>
      <c r="BB909" s="4"/>
      <c r="BC909" s="3"/>
      <c r="BD909" s="4"/>
      <c r="BE909" s="3"/>
      <c r="BF909" s="4"/>
      <c r="BG909" s="3"/>
      <c r="BH909" s="4"/>
      <c r="BI909" s="3"/>
      <c r="BJ909" s="4"/>
      <c r="BK909" s="3"/>
      <c r="BL909" s="4"/>
      <c r="BM909" s="3"/>
      <c r="BN909" s="4"/>
      <c r="BO909" s="3"/>
      <c r="BP909" s="4"/>
      <c r="BQ909" s="3"/>
      <c r="BR909" s="4"/>
      <c r="BS909" s="3"/>
      <c r="BT909" s="4"/>
      <c r="BU909" s="3"/>
      <c r="BV909" s="4"/>
      <c r="BW909" s="3"/>
      <c r="BX909" s="4"/>
      <c r="BY909" s="3"/>
      <c r="BZ909" s="4"/>
      <c r="CA909" s="3"/>
      <c r="CB909" s="4"/>
      <c r="CC909" s="3"/>
      <c r="CD909" s="4"/>
    </row>
    <row r="910">
      <c r="A910" s="3"/>
      <c r="B910" s="4"/>
      <c r="C910" s="3"/>
      <c r="D910" s="4"/>
      <c r="E910" s="3"/>
      <c r="F910" s="4"/>
      <c r="G910" s="3"/>
      <c r="H910" s="4"/>
      <c r="I910" s="3"/>
      <c r="J910" s="4"/>
      <c r="K910" s="3"/>
      <c r="L910" s="4"/>
      <c r="M910" s="3"/>
      <c r="N910" s="4"/>
      <c r="O910" s="3"/>
      <c r="P910" s="4"/>
      <c r="Q910" s="3"/>
      <c r="R910" s="4"/>
      <c r="S910" s="3"/>
      <c r="T910" s="4"/>
      <c r="U910" s="3"/>
      <c r="V910" s="4"/>
      <c r="W910" s="3"/>
      <c r="X910" s="4"/>
      <c r="Y910" s="3"/>
      <c r="Z910" s="4"/>
      <c r="AA910" s="3"/>
      <c r="AB910" s="4"/>
      <c r="AC910" s="3"/>
      <c r="AD910" s="4"/>
      <c r="AE910" s="3"/>
      <c r="AF910" s="4"/>
      <c r="AG910" s="3"/>
      <c r="AH910" s="4"/>
      <c r="AI910" s="3"/>
      <c r="AJ910" s="4"/>
      <c r="AK910" s="3"/>
      <c r="AL910" s="4"/>
      <c r="AM910" s="3"/>
      <c r="AN910" s="4"/>
      <c r="AO910" s="3"/>
      <c r="AP910" s="4"/>
      <c r="AQ910" s="3"/>
      <c r="AR910" s="4"/>
      <c r="AS910" s="3"/>
      <c r="AT910" s="4"/>
      <c r="AU910" s="3"/>
      <c r="AV910" s="4"/>
      <c r="AW910" s="3"/>
      <c r="AX910" s="4"/>
      <c r="AY910" s="3"/>
      <c r="AZ910" s="4"/>
      <c r="BA910" s="3"/>
      <c r="BB910" s="4"/>
      <c r="BC910" s="3"/>
      <c r="BD910" s="4"/>
      <c r="BE910" s="3"/>
      <c r="BF910" s="4"/>
      <c r="BG910" s="3"/>
      <c r="BH910" s="4"/>
      <c r="BI910" s="3"/>
      <c r="BJ910" s="4"/>
      <c r="BK910" s="3"/>
      <c r="BL910" s="4"/>
      <c r="BM910" s="3"/>
      <c r="BN910" s="4"/>
      <c r="BO910" s="3"/>
      <c r="BP910" s="4"/>
      <c r="BQ910" s="3"/>
      <c r="BR910" s="4"/>
      <c r="BS910" s="3"/>
      <c r="BT910" s="4"/>
      <c r="BU910" s="3"/>
      <c r="BV910" s="4"/>
      <c r="BW910" s="3"/>
      <c r="BX910" s="4"/>
      <c r="BY910" s="3"/>
      <c r="BZ910" s="4"/>
      <c r="CA910" s="3"/>
      <c r="CB910" s="4"/>
      <c r="CC910" s="3"/>
      <c r="CD910" s="4"/>
    </row>
    <row r="911">
      <c r="A911" s="3"/>
      <c r="B911" s="4"/>
      <c r="C911" s="3"/>
      <c r="D911" s="4"/>
      <c r="E911" s="3"/>
      <c r="F911" s="4"/>
      <c r="G911" s="3"/>
      <c r="H911" s="4"/>
      <c r="I911" s="3"/>
      <c r="J911" s="4"/>
      <c r="K911" s="3"/>
      <c r="L911" s="4"/>
      <c r="M911" s="3"/>
      <c r="N911" s="4"/>
      <c r="O911" s="3"/>
      <c r="P911" s="4"/>
      <c r="Q911" s="3"/>
      <c r="R911" s="4"/>
      <c r="S911" s="3"/>
      <c r="T911" s="4"/>
      <c r="U911" s="3"/>
      <c r="V911" s="4"/>
      <c r="W911" s="3"/>
      <c r="X911" s="4"/>
      <c r="Y911" s="3"/>
      <c r="Z911" s="4"/>
      <c r="AA911" s="3"/>
      <c r="AB911" s="4"/>
      <c r="AC911" s="3"/>
      <c r="AD911" s="4"/>
      <c r="AE911" s="3"/>
      <c r="AF911" s="4"/>
      <c r="AG911" s="3"/>
      <c r="AH911" s="4"/>
      <c r="AI911" s="3"/>
      <c r="AJ911" s="4"/>
      <c r="AK911" s="3"/>
      <c r="AL911" s="4"/>
      <c r="AM911" s="3"/>
      <c r="AN911" s="4"/>
      <c r="AO911" s="3"/>
      <c r="AP911" s="4"/>
      <c r="AQ911" s="3"/>
      <c r="AR911" s="4"/>
      <c r="AS911" s="3"/>
      <c r="AT911" s="4"/>
      <c r="AU911" s="3"/>
      <c r="AV911" s="4"/>
      <c r="AW911" s="3"/>
      <c r="AX911" s="4"/>
      <c r="AY911" s="3"/>
      <c r="AZ911" s="4"/>
      <c r="BA911" s="3"/>
      <c r="BB911" s="4"/>
      <c r="BC911" s="3"/>
      <c r="BD911" s="4"/>
      <c r="BE911" s="3"/>
      <c r="BF911" s="4"/>
      <c r="BG911" s="3"/>
      <c r="BH911" s="4"/>
      <c r="BI911" s="3"/>
      <c r="BJ911" s="4"/>
      <c r="BK911" s="3"/>
      <c r="BL911" s="4"/>
      <c r="BM911" s="3"/>
      <c r="BN911" s="4"/>
      <c r="BO911" s="3"/>
      <c r="BP911" s="4"/>
      <c r="BQ911" s="3"/>
      <c r="BR911" s="4"/>
      <c r="BS911" s="3"/>
      <c r="BT911" s="4"/>
      <c r="BU911" s="3"/>
      <c r="BV911" s="4"/>
      <c r="BW911" s="3"/>
      <c r="BX911" s="4"/>
      <c r="BY911" s="3"/>
      <c r="BZ911" s="4"/>
      <c r="CA911" s="3"/>
      <c r="CB911" s="4"/>
      <c r="CC911" s="3"/>
      <c r="CD911" s="4"/>
    </row>
    <row r="912">
      <c r="A912" s="3"/>
      <c r="B912" s="4"/>
      <c r="C912" s="3"/>
      <c r="D912" s="4"/>
      <c r="E912" s="3"/>
      <c r="F912" s="4"/>
      <c r="G912" s="3"/>
      <c r="H912" s="4"/>
      <c r="I912" s="3"/>
      <c r="J912" s="4"/>
      <c r="K912" s="3"/>
      <c r="L912" s="4"/>
      <c r="M912" s="3"/>
      <c r="N912" s="4"/>
      <c r="O912" s="3"/>
      <c r="P912" s="4"/>
      <c r="Q912" s="3"/>
      <c r="R912" s="4"/>
      <c r="S912" s="3"/>
      <c r="T912" s="4"/>
      <c r="U912" s="3"/>
      <c r="V912" s="4"/>
      <c r="W912" s="3"/>
      <c r="X912" s="4"/>
      <c r="Y912" s="3"/>
      <c r="Z912" s="4"/>
      <c r="AA912" s="3"/>
      <c r="AB912" s="4"/>
      <c r="AC912" s="3"/>
      <c r="AD912" s="4"/>
      <c r="AE912" s="3"/>
      <c r="AF912" s="4"/>
      <c r="AG912" s="3"/>
      <c r="AH912" s="4"/>
      <c r="AI912" s="3"/>
      <c r="AJ912" s="4"/>
      <c r="AK912" s="3"/>
      <c r="AL912" s="4"/>
      <c r="AM912" s="3"/>
      <c r="AN912" s="4"/>
      <c r="AO912" s="3"/>
      <c r="AP912" s="4"/>
      <c r="AQ912" s="3"/>
      <c r="AR912" s="4"/>
      <c r="AS912" s="3"/>
      <c r="AT912" s="4"/>
      <c r="AU912" s="3"/>
      <c r="AV912" s="4"/>
      <c r="AW912" s="3"/>
      <c r="AX912" s="4"/>
      <c r="AY912" s="3"/>
      <c r="AZ912" s="4"/>
      <c r="BA912" s="3"/>
      <c r="BB912" s="4"/>
      <c r="BC912" s="3"/>
      <c r="BD912" s="4"/>
      <c r="BE912" s="3"/>
      <c r="BF912" s="4"/>
      <c r="BG912" s="3"/>
      <c r="BH912" s="4"/>
      <c r="BI912" s="3"/>
      <c r="BJ912" s="4"/>
      <c r="BK912" s="3"/>
      <c r="BL912" s="4"/>
      <c r="BM912" s="3"/>
      <c r="BN912" s="4"/>
      <c r="BO912" s="3"/>
      <c r="BP912" s="4"/>
      <c r="BQ912" s="3"/>
      <c r="BR912" s="4"/>
      <c r="BS912" s="3"/>
      <c r="BT912" s="4"/>
      <c r="BU912" s="3"/>
      <c r="BV912" s="4"/>
      <c r="BW912" s="3"/>
      <c r="BX912" s="4"/>
      <c r="BY912" s="3"/>
      <c r="BZ912" s="4"/>
      <c r="CA912" s="3"/>
      <c r="CB912" s="4"/>
      <c r="CC912" s="3"/>
      <c r="CD912" s="4"/>
    </row>
    <row r="913">
      <c r="A913" s="3"/>
      <c r="B913" s="4"/>
      <c r="C913" s="3"/>
      <c r="D913" s="4"/>
      <c r="E913" s="3"/>
      <c r="F913" s="4"/>
      <c r="G913" s="3"/>
      <c r="H913" s="4"/>
      <c r="I913" s="3"/>
      <c r="J913" s="4"/>
      <c r="K913" s="3"/>
      <c r="L913" s="4"/>
      <c r="M913" s="3"/>
      <c r="N913" s="4"/>
      <c r="O913" s="3"/>
      <c r="P913" s="4"/>
      <c r="Q913" s="3"/>
      <c r="R913" s="4"/>
      <c r="S913" s="3"/>
      <c r="T913" s="4"/>
      <c r="U913" s="3"/>
      <c r="V913" s="4"/>
      <c r="W913" s="3"/>
      <c r="X913" s="4"/>
      <c r="Y913" s="3"/>
      <c r="Z913" s="4"/>
      <c r="AA913" s="3"/>
      <c r="AB913" s="4"/>
      <c r="AC913" s="3"/>
      <c r="AD913" s="4"/>
      <c r="AE913" s="3"/>
      <c r="AF913" s="4"/>
      <c r="AG913" s="3"/>
      <c r="AH913" s="4"/>
      <c r="AI913" s="3"/>
      <c r="AJ913" s="4"/>
      <c r="AK913" s="3"/>
      <c r="AL913" s="4"/>
      <c r="AM913" s="3"/>
      <c r="AN913" s="4"/>
      <c r="AO913" s="3"/>
      <c r="AP913" s="4"/>
      <c r="AQ913" s="3"/>
      <c r="AR913" s="4"/>
      <c r="AS913" s="3"/>
      <c r="AT913" s="4"/>
      <c r="AU913" s="3"/>
      <c r="AV913" s="4"/>
      <c r="AW913" s="3"/>
      <c r="AX913" s="4"/>
      <c r="AY913" s="3"/>
      <c r="AZ913" s="4"/>
      <c r="BA913" s="3"/>
      <c r="BB913" s="4"/>
      <c r="BC913" s="3"/>
      <c r="BD913" s="4"/>
      <c r="BE913" s="3"/>
      <c r="BF913" s="4"/>
      <c r="BG913" s="3"/>
      <c r="BH913" s="4"/>
      <c r="BI913" s="3"/>
      <c r="BJ913" s="4"/>
      <c r="BK913" s="3"/>
      <c r="BL913" s="4"/>
      <c r="BM913" s="3"/>
      <c r="BN913" s="4"/>
      <c r="BO913" s="3"/>
      <c r="BP913" s="4"/>
      <c r="BQ913" s="3"/>
      <c r="BR913" s="4"/>
      <c r="BS913" s="3"/>
      <c r="BT913" s="4"/>
      <c r="BU913" s="3"/>
      <c r="BV913" s="4"/>
      <c r="BW913" s="3"/>
      <c r="BX913" s="4"/>
      <c r="BY913" s="3"/>
      <c r="BZ913" s="4"/>
      <c r="CA913" s="3"/>
      <c r="CB913" s="4"/>
      <c r="CC913" s="3"/>
      <c r="CD913" s="4"/>
    </row>
    <row r="914">
      <c r="A914" s="3"/>
      <c r="B914" s="4"/>
      <c r="C914" s="3"/>
      <c r="D914" s="4"/>
      <c r="E914" s="3"/>
      <c r="F914" s="4"/>
      <c r="G914" s="3"/>
      <c r="H914" s="4"/>
      <c r="I914" s="3"/>
      <c r="J914" s="4"/>
      <c r="K914" s="3"/>
      <c r="L914" s="4"/>
      <c r="M914" s="3"/>
      <c r="N914" s="4"/>
      <c r="O914" s="3"/>
      <c r="P914" s="4"/>
      <c r="Q914" s="3"/>
      <c r="R914" s="4"/>
      <c r="S914" s="3"/>
      <c r="T914" s="4"/>
      <c r="U914" s="3"/>
      <c r="V914" s="4"/>
      <c r="W914" s="3"/>
      <c r="X914" s="4"/>
      <c r="Y914" s="3"/>
      <c r="Z914" s="4"/>
      <c r="AA914" s="3"/>
      <c r="AB914" s="4"/>
      <c r="AC914" s="3"/>
      <c r="AD914" s="4"/>
      <c r="AE914" s="3"/>
      <c r="AF914" s="4"/>
      <c r="AG914" s="3"/>
      <c r="AH914" s="4"/>
      <c r="AI914" s="3"/>
      <c r="AJ914" s="4"/>
      <c r="AK914" s="3"/>
      <c r="AL914" s="4"/>
      <c r="AM914" s="3"/>
      <c r="AN914" s="4"/>
      <c r="AO914" s="3"/>
      <c r="AP914" s="4"/>
      <c r="AQ914" s="3"/>
      <c r="AR914" s="4"/>
      <c r="AS914" s="3"/>
      <c r="AT914" s="4"/>
      <c r="AU914" s="3"/>
      <c r="AV914" s="4"/>
      <c r="AW914" s="3"/>
      <c r="AX914" s="4"/>
      <c r="AY914" s="3"/>
      <c r="AZ914" s="4"/>
      <c r="BA914" s="3"/>
      <c r="BB914" s="4"/>
      <c r="BC914" s="3"/>
      <c r="BD914" s="4"/>
      <c r="BE914" s="3"/>
      <c r="BF914" s="4"/>
      <c r="BG914" s="3"/>
      <c r="BH914" s="4"/>
      <c r="BI914" s="3"/>
      <c r="BJ914" s="4"/>
      <c r="BK914" s="3"/>
      <c r="BL914" s="4"/>
      <c r="BM914" s="3"/>
      <c r="BN914" s="4"/>
      <c r="BO914" s="3"/>
      <c r="BP914" s="4"/>
      <c r="BQ914" s="3"/>
      <c r="BR914" s="4"/>
      <c r="BS914" s="3"/>
      <c r="BT914" s="4"/>
      <c r="BU914" s="3"/>
      <c r="BV914" s="4"/>
      <c r="BW914" s="3"/>
      <c r="BX914" s="4"/>
      <c r="BY914" s="3"/>
      <c r="BZ914" s="4"/>
      <c r="CA914" s="3"/>
      <c r="CB914" s="4"/>
      <c r="CC914" s="3"/>
      <c r="CD914" s="4"/>
    </row>
    <row r="915">
      <c r="A915" s="3"/>
      <c r="B915" s="4"/>
      <c r="C915" s="3"/>
      <c r="D915" s="4"/>
      <c r="E915" s="3"/>
      <c r="F915" s="4"/>
      <c r="G915" s="3"/>
      <c r="H915" s="4"/>
      <c r="I915" s="3"/>
      <c r="J915" s="4"/>
      <c r="K915" s="3"/>
      <c r="L915" s="4"/>
      <c r="M915" s="3"/>
      <c r="N915" s="4"/>
      <c r="O915" s="3"/>
      <c r="P915" s="4"/>
      <c r="Q915" s="3"/>
      <c r="R915" s="4"/>
      <c r="S915" s="3"/>
      <c r="T915" s="4"/>
      <c r="U915" s="3"/>
      <c r="V915" s="4"/>
      <c r="W915" s="3"/>
      <c r="X915" s="4"/>
      <c r="Y915" s="3"/>
      <c r="Z915" s="4"/>
      <c r="AA915" s="3"/>
      <c r="AB915" s="4"/>
      <c r="AC915" s="3"/>
      <c r="AD915" s="4"/>
      <c r="AE915" s="3"/>
      <c r="AF915" s="4"/>
      <c r="AG915" s="3"/>
      <c r="AH915" s="4"/>
      <c r="AI915" s="3"/>
      <c r="AJ915" s="4"/>
      <c r="AK915" s="3"/>
      <c r="AL915" s="4"/>
      <c r="AM915" s="3"/>
      <c r="AN915" s="4"/>
      <c r="AO915" s="3"/>
      <c r="AP915" s="4"/>
      <c r="AQ915" s="3"/>
      <c r="AR915" s="4"/>
      <c r="AS915" s="3"/>
      <c r="AT915" s="4"/>
      <c r="AU915" s="3"/>
      <c r="AV915" s="4"/>
      <c r="AW915" s="3"/>
      <c r="AX915" s="4"/>
      <c r="AY915" s="3"/>
      <c r="AZ915" s="4"/>
      <c r="BA915" s="3"/>
      <c r="BB915" s="4"/>
      <c r="BC915" s="3"/>
      <c r="BD915" s="4"/>
      <c r="BE915" s="3"/>
      <c r="BF915" s="4"/>
      <c r="BG915" s="3"/>
      <c r="BH915" s="4"/>
      <c r="BI915" s="3"/>
      <c r="BJ915" s="4"/>
      <c r="BK915" s="3"/>
      <c r="BL915" s="4"/>
      <c r="BM915" s="3"/>
      <c r="BN915" s="4"/>
      <c r="BO915" s="3"/>
      <c r="BP915" s="4"/>
      <c r="BQ915" s="3"/>
      <c r="BR915" s="4"/>
      <c r="BS915" s="3"/>
      <c r="BT915" s="4"/>
      <c r="BU915" s="3"/>
      <c r="BV915" s="4"/>
      <c r="BW915" s="3"/>
      <c r="BX915" s="4"/>
      <c r="BY915" s="3"/>
      <c r="BZ915" s="4"/>
      <c r="CA915" s="3"/>
      <c r="CB915" s="4"/>
      <c r="CC915" s="3"/>
      <c r="CD915" s="4"/>
    </row>
    <row r="916">
      <c r="A916" s="3"/>
      <c r="B916" s="4"/>
      <c r="C916" s="3"/>
      <c r="D916" s="4"/>
      <c r="E916" s="3"/>
      <c r="F916" s="4"/>
      <c r="G916" s="3"/>
      <c r="H916" s="4"/>
      <c r="I916" s="3"/>
      <c r="J916" s="4"/>
      <c r="K916" s="3"/>
      <c r="L916" s="4"/>
      <c r="M916" s="3"/>
      <c r="N916" s="4"/>
      <c r="O916" s="3"/>
      <c r="P916" s="4"/>
      <c r="Q916" s="3"/>
      <c r="R916" s="4"/>
      <c r="S916" s="3"/>
      <c r="T916" s="4"/>
      <c r="U916" s="3"/>
      <c r="V916" s="4"/>
      <c r="W916" s="3"/>
      <c r="X916" s="4"/>
      <c r="Y916" s="3"/>
      <c r="Z916" s="4"/>
      <c r="AA916" s="3"/>
      <c r="AB916" s="4"/>
      <c r="AC916" s="3"/>
      <c r="AD916" s="4"/>
      <c r="AE916" s="3"/>
      <c r="AF916" s="4"/>
      <c r="AG916" s="3"/>
      <c r="AH916" s="4"/>
      <c r="AI916" s="3"/>
      <c r="AJ916" s="4"/>
      <c r="AK916" s="3"/>
      <c r="AL916" s="4"/>
      <c r="AM916" s="3"/>
      <c r="AN916" s="4"/>
      <c r="AO916" s="3"/>
      <c r="AP916" s="4"/>
      <c r="AQ916" s="3"/>
      <c r="AR916" s="4"/>
      <c r="AS916" s="3"/>
      <c r="AT916" s="4"/>
      <c r="AU916" s="3"/>
      <c r="AV916" s="4"/>
      <c r="AW916" s="3"/>
      <c r="AX916" s="4"/>
      <c r="AY916" s="3"/>
      <c r="AZ916" s="4"/>
      <c r="BA916" s="3"/>
      <c r="BB916" s="4"/>
      <c r="BC916" s="3"/>
      <c r="BD916" s="4"/>
      <c r="BE916" s="3"/>
      <c r="BF916" s="4"/>
      <c r="BG916" s="3"/>
      <c r="BH916" s="4"/>
      <c r="BI916" s="3"/>
      <c r="BJ916" s="4"/>
      <c r="BK916" s="3"/>
      <c r="BL916" s="4"/>
      <c r="BM916" s="3"/>
      <c r="BN916" s="4"/>
      <c r="BO916" s="3"/>
      <c r="BP916" s="4"/>
      <c r="BQ916" s="3"/>
      <c r="BR916" s="4"/>
      <c r="BS916" s="3"/>
      <c r="BT916" s="4"/>
      <c r="BU916" s="3"/>
      <c r="BV916" s="4"/>
      <c r="BW916" s="3"/>
      <c r="BX916" s="4"/>
      <c r="BY916" s="3"/>
      <c r="BZ916" s="4"/>
      <c r="CA916" s="3"/>
      <c r="CB916" s="4"/>
      <c r="CC916" s="3"/>
      <c r="CD916" s="4"/>
    </row>
    <row r="917">
      <c r="A917" s="3"/>
      <c r="B917" s="4"/>
      <c r="C917" s="3"/>
      <c r="D917" s="4"/>
      <c r="E917" s="3"/>
      <c r="F917" s="4"/>
      <c r="G917" s="3"/>
      <c r="H917" s="4"/>
      <c r="I917" s="3"/>
      <c r="J917" s="4"/>
      <c r="K917" s="3"/>
      <c r="L917" s="4"/>
      <c r="M917" s="3"/>
      <c r="N917" s="4"/>
      <c r="O917" s="3"/>
      <c r="P917" s="4"/>
      <c r="Q917" s="3"/>
      <c r="R917" s="4"/>
      <c r="S917" s="3"/>
      <c r="T917" s="4"/>
      <c r="U917" s="3"/>
      <c r="V917" s="4"/>
      <c r="W917" s="3"/>
      <c r="X917" s="4"/>
      <c r="Y917" s="3"/>
      <c r="Z917" s="4"/>
      <c r="AA917" s="3"/>
      <c r="AB917" s="4"/>
      <c r="AC917" s="3"/>
      <c r="AD917" s="4"/>
      <c r="AE917" s="3"/>
      <c r="AF917" s="4"/>
      <c r="AG917" s="3"/>
      <c r="AH917" s="4"/>
      <c r="AI917" s="3"/>
      <c r="AJ917" s="4"/>
      <c r="AK917" s="3"/>
      <c r="AL917" s="4"/>
      <c r="AM917" s="3"/>
      <c r="AN917" s="4"/>
      <c r="AO917" s="3"/>
      <c r="AP917" s="4"/>
      <c r="AQ917" s="3"/>
      <c r="AR917" s="4"/>
      <c r="AS917" s="3"/>
      <c r="AT917" s="4"/>
      <c r="AU917" s="3"/>
      <c r="AV917" s="4"/>
      <c r="AW917" s="3"/>
      <c r="AX917" s="4"/>
      <c r="AY917" s="3"/>
      <c r="AZ917" s="4"/>
      <c r="BA917" s="3"/>
      <c r="BB917" s="4"/>
      <c r="BC917" s="3"/>
      <c r="BD917" s="4"/>
      <c r="BE917" s="3"/>
      <c r="BF917" s="4"/>
      <c r="BG917" s="3"/>
      <c r="BH917" s="4"/>
      <c r="BI917" s="3"/>
      <c r="BJ917" s="4"/>
      <c r="BK917" s="3"/>
      <c r="BL917" s="4"/>
      <c r="BM917" s="3"/>
      <c r="BN917" s="4"/>
      <c r="BO917" s="3"/>
      <c r="BP917" s="4"/>
      <c r="BQ917" s="3"/>
      <c r="BR917" s="4"/>
      <c r="BS917" s="3"/>
      <c r="BT917" s="4"/>
      <c r="BU917" s="3"/>
      <c r="BV917" s="4"/>
      <c r="BW917" s="3"/>
      <c r="BX917" s="4"/>
      <c r="BY917" s="3"/>
      <c r="BZ917" s="4"/>
      <c r="CA917" s="3"/>
      <c r="CB917" s="4"/>
      <c r="CC917" s="3"/>
      <c r="CD917" s="4"/>
    </row>
    <row r="918">
      <c r="A918" s="3"/>
      <c r="B918" s="4"/>
      <c r="C918" s="3"/>
      <c r="D918" s="4"/>
      <c r="E918" s="3"/>
      <c r="F918" s="4"/>
      <c r="G918" s="3"/>
      <c r="H918" s="4"/>
      <c r="I918" s="3"/>
      <c r="J918" s="4"/>
      <c r="K918" s="3"/>
      <c r="L918" s="4"/>
      <c r="M918" s="3"/>
      <c r="N918" s="4"/>
      <c r="O918" s="3"/>
      <c r="P918" s="4"/>
      <c r="Q918" s="3"/>
      <c r="R918" s="4"/>
      <c r="S918" s="3"/>
      <c r="T918" s="4"/>
      <c r="U918" s="3"/>
      <c r="V918" s="4"/>
      <c r="W918" s="3"/>
      <c r="X918" s="4"/>
      <c r="Y918" s="3"/>
      <c r="Z918" s="4"/>
      <c r="AA918" s="3"/>
      <c r="AB918" s="4"/>
      <c r="AC918" s="3"/>
      <c r="AD918" s="4"/>
      <c r="AE918" s="3"/>
      <c r="AF918" s="4"/>
      <c r="AG918" s="3"/>
      <c r="AH918" s="4"/>
      <c r="AI918" s="3"/>
      <c r="AJ918" s="4"/>
      <c r="AK918" s="3"/>
      <c r="AL918" s="4"/>
      <c r="AM918" s="3"/>
      <c r="AN918" s="4"/>
      <c r="AO918" s="3"/>
      <c r="AP918" s="4"/>
      <c r="AQ918" s="3"/>
      <c r="AR918" s="4"/>
      <c r="AS918" s="3"/>
      <c r="AT918" s="4"/>
      <c r="AU918" s="3"/>
      <c r="AV918" s="4"/>
      <c r="AW918" s="3"/>
      <c r="AX918" s="4"/>
      <c r="AY918" s="3"/>
      <c r="AZ918" s="4"/>
      <c r="BA918" s="3"/>
      <c r="BB918" s="4"/>
      <c r="BC918" s="3"/>
      <c r="BD918" s="4"/>
      <c r="BE918" s="3"/>
      <c r="BF918" s="4"/>
      <c r="BG918" s="3"/>
      <c r="BH918" s="4"/>
      <c r="BI918" s="3"/>
      <c r="BJ918" s="4"/>
      <c r="BK918" s="3"/>
      <c r="BL918" s="4"/>
      <c r="BM918" s="3"/>
      <c r="BN918" s="4"/>
      <c r="BO918" s="3"/>
      <c r="BP918" s="4"/>
      <c r="BQ918" s="3"/>
      <c r="BR918" s="4"/>
      <c r="BS918" s="3"/>
      <c r="BT918" s="4"/>
      <c r="BU918" s="3"/>
      <c r="BV918" s="4"/>
      <c r="BW918" s="3"/>
      <c r="BX918" s="4"/>
      <c r="BY918" s="3"/>
      <c r="BZ918" s="4"/>
      <c r="CA918" s="3"/>
      <c r="CB918" s="4"/>
      <c r="CC918" s="3"/>
      <c r="CD918" s="4"/>
    </row>
    <row r="919">
      <c r="A919" s="3"/>
      <c r="B919" s="4"/>
      <c r="C919" s="3"/>
      <c r="D919" s="4"/>
      <c r="E919" s="3"/>
      <c r="F919" s="4"/>
      <c r="G919" s="3"/>
      <c r="H919" s="4"/>
      <c r="I919" s="3"/>
      <c r="J919" s="4"/>
      <c r="K919" s="3"/>
      <c r="L919" s="4"/>
      <c r="M919" s="3"/>
      <c r="N919" s="4"/>
      <c r="O919" s="3"/>
      <c r="P919" s="4"/>
      <c r="Q919" s="3"/>
      <c r="R919" s="4"/>
      <c r="S919" s="3"/>
      <c r="T919" s="4"/>
      <c r="U919" s="3"/>
      <c r="V919" s="4"/>
      <c r="W919" s="3"/>
      <c r="X919" s="4"/>
      <c r="Y919" s="3"/>
      <c r="Z919" s="4"/>
      <c r="AA919" s="3"/>
      <c r="AB919" s="4"/>
      <c r="AC919" s="3"/>
      <c r="AD919" s="4"/>
      <c r="AE919" s="3"/>
      <c r="AF919" s="4"/>
      <c r="AG919" s="3"/>
      <c r="AH919" s="4"/>
      <c r="AI919" s="3"/>
      <c r="AJ919" s="4"/>
      <c r="AK919" s="3"/>
      <c r="AL919" s="4"/>
      <c r="AM919" s="3"/>
      <c r="AN919" s="4"/>
      <c r="AO919" s="3"/>
      <c r="AP919" s="4"/>
      <c r="AQ919" s="3"/>
      <c r="AR919" s="4"/>
      <c r="AS919" s="3"/>
      <c r="AT919" s="4"/>
      <c r="AU919" s="3"/>
      <c r="AV919" s="4"/>
      <c r="AW919" s="3"/>
      <c r="AX919" s="4"/>
      <c r="AY919" s="3"/>
      <c r="AZ919" s="4"/>
      <c r="BA919" s="3"/>
      <c r="BB919" s="4"/>
      <c r="BC919" s="3"/>
      <c r="BD919" s="4"/>
      <c r="BE919" s="3"/>
      <c r="BF919" s="4"/>
      <c r="BG919" s="3"/>
      <c r="BH919" s="4"/>
      <c r="BI919" s="3"/>
      <c r="BJ919" s="4"/>
      <c r="BK919" s="3"/>
      <c r="BL919" s="4"/>
      <c r="BM919" s="3"/>
      <c r="BN919" s="4"/>
      <c r="BO919" s="3"/>
      <c r="BP919" s="4"/>
      <c r="BQ919" s="3"/>
      <c r="BR919" s="4"/>
      <c r="BS919" s="3"/>
      <c r="BT919" s="4"/>
      <c r="BU919" s="3"/>
      <c r="BV919" s="4"/>
      <c r="BW919" s="3"/>
      <c r="BX919" s="4"/>
      <c r="BY919" s="3"/>
      <c r="BZ919" s="4"/>
      <c r="CA919" s="3"/>
      <c r="CB919" s="4"/>
      <c r="CC919" s="3"/>
      <c r="CD919" s="4"/>
    </row>
    <row r="920">
      <c r="A920" s="3"/>
      <c r="B920" s="4"/>
      <c r="C920" s="3"/>
      <c r="D920" s="4"/>
      <c r="E920" s="3"/>
      <c r="F920" s="4"/>
      <c r="G920" s="3"/>
      <c r="H920" s="4"/>
      <c r="I920" s="3"/>
      <c r="J920" s="4"/>
      <c r="K920" s="3"/>
      <c r="L920" s="4"/>
      <c r="M920" s="3"/>
      <c r="N920" s="4"/>
      <c r="O920" s="3"/>
      <c r="P920" s="4"/>
      <c r="Q920" s="3"/>
      <c r="R920" s="4"/>
      <c r="S920" s="3"/>
      <c r="T920" s="4"/>
      <c r="U920" s="3"/>
      <c r="V920" s="4"/>
      <c r="W920" s="3"/>
      <c r="X920" s="4"/>
      <c r="Y920" s="3"/>
      <c r="Z920" s="4"/>
      <c r="AA920" s="3"/>
      <c r="AB920" s="4"/>
      <c r="AC920" s="3"/>
      <c r="AD920" s="4"/>
      <c r="AE920" s="3"/>
      <c r="AF920" s="4"/>
      <c r="AG920" s="3"/>
      <c r="AH920" s="4"/>
      <c r="AI920" s="3"/>
      <c r="AJ920" s="4"/>
      <c r="AK920" s="3"/>
      <c r="AL920" s="4"/>
      <c r="AM920" s="3"/>
      <c r="AN920" s="4"/>
      <c r="AO920" s="3"/>
      <c r="AP920" s="4"/>
      <c r="AQ920" s="3"/>
      <c r="AR920" s="4"/>
      <c r="AS920" s="3"/>
      <c r="AT920" s="4"/>
      <c r="AU920" s="3"/>
      <c r="AV920" s="4"/>
      <c r="AW920" s="3"/>
      <c r="AX920" s="4"/>
      <c r="AY920" s="3"/>
      <c r="AZ920" s="4"/>
      <c r="BA920" s="3"/>
      <c r="BB920" s="4"/>
      <c r="BC920" s="3"/>
      <c r="BD920" s="4"/>
      <c r="BE920" s="3"/>
      <c r="BF920" s="4"/>
      <c r="BG920" s="3"/>
      <c r="BH920" s="4"/>
      <c r="BI920" s="3"/>
      <c r="BJ920" s="4"/>
      <c r="BK920" s="3"/>
      <c r="BL920" s="4"/>
      <c r="BM920" s="3"/>
      <c r="BN920" s="4"/>
      <c r="BO920" s="3"/>
      <c r="BP920" s="4"/>
      <c r="BQ920" s="3"/>
      <c r="BR920" s="4"/>
      <c r="BS920" s="3"/>
      <c r="BT920" s="4"/>
      <c r="BU920" s="3"/>
      <c r="BV920" s="4"/>
      <c r="BW920" s="3"/>
      <c r="BX920" s="4"/>
      <c r="BY920" s="3"/>
      <c r="BZ920" s="4"/>
      <c r="CA920" s="3"/>
      <c r="CB920" s="4"/>
      <c r="CC920" s="3"/>
      <c r="CD920" s="4"/>
    </row>
    <row r="921">
      <c r="A921" s="3"/>
      <c r="B921" s="4"/>
      <c r="C921" s="3"/>
      <c r="D921" s="4"/>
      <c r="E921" s="3"/>
      <c r="F921" s="4"/>
      <c r="G921" s="3"/>
      <c r="H921" s="4"/>
      <c r="I921" s="3"/>
      <c r="J921" s="4"/>
      <c r="K921" s="3"/>
      <c r="L921" s="4"/>
      <c r="M921" s="3"/>
      <c r="N921" s="4"/>
      <c r="O921" s="3"/>
      <c r="P921" s="4"/>
      <c r="Q921" s="3"/>
      <c r="R921" s="4"/>
      <c r="S921" s="3"/>
      <c r="T921" s="4"/>
      <c r="U921" s="3"/>
      <c r="V921" s="4"/>
      <c r="W921" s="3"/>
      <c r="X921" s="4"/>
      <c r="Y921" s="3"/>
      <c r="Z921" s="4"/>
      <c r="AA921" s="3"/>
      <c r="AB921" s="4"/>
      <c r="AC921" s="3"/>
      <c r="AD921" s="4"/>
      <c r="AE921" s="3"/>
      <c r="AF921" s="4"/>
      <c r="AG921" s="3"/>
      <c r="AH921" s="4"/>
      <c r="AI921" s="3"/>
      <c r="AJ921" s="4"/>
      <c r="AK921" s="3"/>
      <c r="AL921" s="4"/>
      <c r="AM921" s="3"/>
      <c r="AN921" s="4"/>
      <c r="AO921" s="3"/>
      <c r="AP921" s="4"/>
      <c r="AQ921" s="3"/>
      <c r="AR921" s="4"/>
      <c r="AS921" s="3"/>
      <c r="AT921" s="4"/>
      <c r="AU921" s="3"/>
      <c r="AV921" s="4"/>
      <c r="AW921" s="3"/>
      <c r="AX921" s="4"/>
      <c r="AY921" s="3"/>
      <c r="AZ921" s="4"/>
      <c r="BA921" s="3"/>
      <c r="BB921" s="4"/>
      <c r="BC921" s="3"/>
      <c r="BD921" s="4"/>
      <c r="BE921" s="3"/>
      <c r="BF921" s="4"/>
      <c r="BG921" s="3"/>
      <c r="BH921" s="4"/>
      <c r="BI921" s="3"/>
      <c r="BJ921" s="4"/>
      <c r="BK921" s="3"/>
      <c r="BL921" s="4"/>
      <c r="BM921" s="3"/>
      <c r="BN921" s="4"/>
      <c r="BO921" s="3"/>
      <c r="BP921" s="4"/>
      <c r="BQ921" s="3"/>
      <c r="BR921" s="4"/>
      <c r="BS921" s="3"/>
      <c r="BT921" s="4"/>
      <c r="BU921" s="3"/>
      <c r="BV921" s="4"/>
      <c r="BW921" s="3"/>
      <c r="BX921" s="4"/>
      <c r="BY921" s="3"/>
      <c r="BZ921" s="4"/>
      <c r="CA921" s="3"/>
      <c r="CB921" s="4"/>
      <c r="CC921" s="3"/>
      <c r="CD921" s="4"/>
    </row>
    <row r="922">
      <c r="A922" s="3"/>
      <c r="B922" s="4"/>
      <c r="C922" s="3"/>
      <c r="D922" s="4"/>
      <c r="E922" s="3"/>
      <c r="F922" s="4"/>
      <c r="G922" s="3"/>
      <c r="H922" s="4"/>
      <c r="I922" s="3"/>
      <c r="J922" s="4"/>
      <c r="K922" s="3"/>
      <c r="L922" s="4"/>
      <c r="M922" s="3"/>
      <c r="N922" s="4"/>
      <c r="O922" s="3"/>
      <c r="P922" s="4"/>
      <c r="Q922" s="3"/>
      <c r="R922" s="4"/>
      <c r="S922" s="3"/>
      <c r="T922" s="4"/>
      <c r="U922" s="3"/>
      <c r="V922" s="4"/>
      <c r="W922" s="3"/>
      <c r="X922" s="4"/>
      <c r="Y922" s="3"/>
      <c r="Z922" s="4"/>
      <c r="AA922" s="3"/>
      <c r="AB922" s="4"/>
      <c r="AC922" s="3"/>
      <c r="AD922" s="4"/>
      <c r="AE922" s="3"/>
      <c r="AF922" s="4"/>
      <c r="AG922" s="3"/>
      <c r="AH922" s="4"/>
      <c r="AI922" s="3"/>
      <c r="AJ922" s="4"/>
      <c r="AK922" s="3"/>
      <c r="AL922" s="4"/>
      <c r="AM922" s="3"/>
      <c r="AN922" s="4"/>
      <c r="AO922" s="3"/>
      <c r="AP922" s="4"/>
      <c r="AQ922" s="3"/>
      <c r="AR922" s="4"/>
      <c r="AS922" s="3"/>
      <c r="AT922" s="4"/>
      <c r="AU922" s="3"/>
      <c r="AV922" s="4"/>
      <c r="AW922" s="3"/>
      <c r="AX922" s="4"/>
      <c r="AY922" s="3"/>
      <c r="AZ922" s="4"/>
      <c r="BA922" s="3"/>
      <c r="BB922" s="4"/>
      <c r="BC922" s="3"/>
      <c r="BD922" s="4"/>
      <c r="BE922" s="3"/>
      <c r="BF922" s="4"/>
      <c r="BG922" s="3"/>
      <c r="BH922" s="4"/>
      <c r="BI922" s="3"/>
      <c r="BJ922" s="4"/>
      <c r="BK922" s="3"/>
      <c r="BL922" s="4"/>
      <c r="BM922" s="3"/>
      <c r="BN922" s="4"/>
      <c r="BO922" s="3"/>
      <c r="BP922" s="4"/>
      <c r="BQ922" s="3"/>
      <c r="BR922" s="4"/>
      <c r="BS922" s="3"/>
      <c r="BT922" s="4"/>
      <c r="BU922" s="3"/>
      <c r="BV922" s="4"/>
      <c r="BW922" s="3"/>
      <c r="BX922" s="4"/>
      <c r="BY922" s="3"/>
      <c r="BZ922" s="4"/>
      <c r="CA922" s="3"/>
      <c r="CB922" s="4"/>
      <c r="CC922" s="3"/>
      <c r="CD922" s="4"/>
    </row>
    <row r="923">
      <c r="A923" s="3"/>
      <c r="B923" s="4"/>
      <c r="C923" s="3"/>
      <c r="D923" s="4"/>
      <c r="E923" s="3"/>
      <c r="F923" s="4"/>
      <c r="G923" s="3"/>
      <c r="H923" s="4"/>
      <c r="I923" s="3"/>
      <c r="J923" s="4"/>
      <c r="K923" s="3"/>
      <c r="L923" s="4"/>
      <c r="M923" s="3"/>
      <c r="N923" s="4"/>
      <c r="O923" s="3"/>
      <c r="P923" s="4"/>
      <c r="Q923" s="3"/>
      <c r="R923" s="4"/>
      <c r="S923" s="3"/>
      <c r="T923" s="4"/>
      <c r="U923" s="3"/>
      <c r="V923" s="4"/>
      <c r="W923" s="3"/>
      <c r="X923" s="4"/>
      <c r="Y923" s="3"/>
      <c r="Z923" s="4"/>
      <c r="AA923" s="3"/>
      <c r="AB923" s="4"/>
      <c r="AC923" s="3"/>
      <c r="AD923" s="4"/>
      <c r="AE923" s="3"/>
      <c r="AF923" s="4"/>
      <c r="AG923" s="3"/>
      <c r="AH923" s="4"/>
      <c r="AI923" s="3"/>
      <c r="AJ923" s="4"/>
      <c r="AK923" s="3"/>
      <c r="AL923" s="4"/>
      <c r="AM923" s="3"/>
      <c r="AN923" s="4"/>
      <c r="AO923" s="3"/>
      <c r="AP923" s="4"/>
      <c r="AQ923" s="3"/>
      <c r="AR923" s="4"/>
      <c r="AS923" s="3"/>
      <c r="AT923" s="4"/>
      <c r="AU923" s="3"/>
      <c r="AV923" s="4"/>
      <c r="AW923" s="3"/>
      <c r="AX923" s="4"/>
      <c r="AY923" s="3"/>
      <c r="AZ923" s="4"/>
      <c r="BA923" s="3"/>
      <c r="BB923" s="4"/>
      <c r="BC923" s="3"/>
      <c r="BD923" s="4"/>
      <c r="BE923" s="3"/>
      <c r="BF923" s="4"/>
      <c r="BG923" s="3"/>
      <c r="BH923" s="4"/>
      <c r="BI923" s="3"/>
      <c r="BJ923" s="4"/>
      <c r="BK923" s="3"/>
      <c r="BL923" s="4"/>
      <c r="BM923" s="3"/>
      <c r="BN923" s="4"/>
      <c r="BO923" s="3"/>
      <c r="BP923" s="4"/>
      <c r="BQ923" s="3"/>
      <c r="BR923" s="4"/>
      <c r="BS923" s="3"/>
      <c r="BT923" s="4"/>
      <c r="BU923" s="3"/>
      <c r="BV923" s="4"/>
      <c r="BW923" s="3"/>
      <c r="BX923" s="4"/>
      <c r="BY923" s="3"/>
      <c r="BZ923" s="4"/>
      <c r="CA923" s="3"/>
      <c r="CB923" s="4"/>
      <c r="CC923" s="3"/>
      <c r="CD923" s="4"/>
    </row>
    <row r="924">
      <c r="A924" s="3"/>
      <c r="B924" s="4"/>
      <c r="C924" s="3"/>
      <c r="D924" s="4"/>
      <c r="E924" s="3"/>
      <c r="F924" s="4"/>
      <c r="G924" s="3"/>
      <c r="H924" s="4"/>
      <c r="I924" s="3"/>
      <c r="J924" s="4"/>
      <c r="K924" s="3"/>
      <c r="L924" s="4"/>
      <c r="M924" s="3"/>
      <c r="N924" s="4"/>
      <c r="O924" s="3"/>
      <c r="P924" s="4"/>
      <c r="Q924" s="3"/>
      <c r="R924" s="4"/>
      <c r="S924" s="3"/>
      <c r="T924" s="4"/>
      <c r="U924" s="3"/>
      <c r="V924" s="4"/>
      <c r="W924" s="3"/>
      <c r="X924" s="4"/>
      <c r="Y924" s="3"/>
      <c r="Z924" s="4"/>
      <c r="AA924" s="3"/>
      <c r="AB924" s="4"/>
      <c r="AC924" s="3"/>
      <c r="AD924" s="4"/>
      <c r="AE924" s="3"/>
      <c r="AF924" s="4"/>
      <c r="AG924" s="3"/>
      <c r="AH924" s="4"/>
      <c r="AI924" s="3"/>
      <c r="AJ924" s="4"/>
      <c r="AK924" s="3"/>
      <c r="AL924" s="4"/>
      <c r="AM924" s="3"/>
      <c r="AN924" s="4"/>
      <c r="AO924" s="3"/>
      <c r="AP924" s="4"/>
      <c r="AQ924" s="3"/>
      <c r="AR924" s="4"/>
      <c r="AS924" s="3"/>
      <c r="AT924" s="4"/>
      <c r="AU924" s="3"/>
      <c r="AV924" s="4"/>
      <c r="AW924" s="3"/>
      <c r="AX924" s="4"/>
      <c r="AY924" s="3"/>
      <c r="AZ924" s="4"/>
      <c r="BA924" s="3"/>
      <c r="BB924" s="4"/>
      <c r="BC924" s="3"/>
      <c r="BD924" s="4"/>
      <c r="BE924" s="3"/>
      <c r="BF924" s="4"/>
      <c r="BG924" s="3"/>
      <c r="BH924" s="4"/>
      <c r="BI924" s="3"/>
      <c r="BJ924" s="4"/>
      <c r="BK924" s="3"/>
      <c r="BL924" s="4"/>
      <c r="BM924" s="3"/>
      <c r="BN924" s="4"/>
      <c r="BO924" s="3"/>
      <c r="BP924" s="4"/>
      <c r="BQ924" s="3"/>
      <c r="BR924" s="4"/>
      <c r="BS924" s="3"/>
      <c r="BT924" s="4"/>
      <c r="BU924" s="3"/>
      <c r="BV924" s="4"/>
      <c r="BW924" s="3"/>
      <c r="BX924" s="4"/>
      <c r="BY924" s="3"/>
      <c r="BZ924" s="4"/>
      <c r="CA924" s="3"/>
      <c r="CB924" s="4"/>
      <c r="CC924" s="3"/>
      <c r="CD924" s="4"/>
    </row>
    <row r="925">
      <c r="A925" s="3"/>
      <c r="B925" s="4"/>
      <c r="C925" s="3"/>
      <c r="D925" s="4"/>
      <c r="E925" s="3"/>
      <c r="F925" s="4"/>
      <c r="G925" s="3"/>
      <c r="H925" s="4"/>
      <c r="I925" s="3"/>
      <c r="J925" s="4"/>
      <c r="K925" s="3"/>
      <c r="L925" s="4"/>
      <c r="M925" s="3"/>
      <c r="N925" s="4"/>
      <c r="O925" s="3"/>
      <c r="P925" s="4"/>
      <c r="Q925" s="3"/>
      <c r="R925" s="4"/>
      <c r="S925" s="3"/>
      <c r="T925" s="4"/>
      <c r="U925" s="3"/>
      <c r="V925" s="4"/>
      <c r="W925" s="3"/>
      <c r="X925" s="4"/>
      <c r="Y925" s="3"/>
      <c r="Z925" s="4"/>
      <c r="AA925" s="3"/>
      <c r="AB925" s="4"/>
      <c r="AC925" s="3"/>
      <c r="AD925" s="4"/>
      <c r="AE925" s="3"/>
      <c r="AF925" s="4"/>
      <c r="AG925" s="3"/>
      <c r="AH925" s="4"/>
      <c r="AI925" s="3"/>
      <c r="AJ925" s="4"/>
      <c r="AK925" s="3"/>
      <c r="AL925" s="4"/>
      <c r="AM925" s="3"/>
      <c r="AN925" s="4"/>
      <c r="AO925" s="3"/>
      <c r="AP925" s="4"/>
      <c r="AQ925" s="3"/>
      <c r="AR925" s="4"/>
      <c r="AS925" s="3"/>
      <c r="AT925" s="4"/>
      <c r="AU925" s="3"/>
      <c r="AV925" s="4"/>
      <c r="AW925" s="3"/>
      <c r="AX925" s="4"/>
      <c r="AY925" s="3"/>
      <c r="AZ925" s="4"/>
      <c r="BA925" s="3"/>
      <c r="BB925" s="4"/>
      <c r="BC925" s="3"/>
      <c r="BD925" s="4"/>
      <c r="BE925" s="3"/>
      <c r="BF925" s="4"/>
      <c r="BG925" s="3"/>
      <c r="BH925" s="4"/>
      <c r="BI925" s="3"/>
      <c r="BJ925" s="4"/>
      <c r="BK925" s="3"/>
      <c r="BL925" s="4"/>
      <c r="BM925" s="3"/>
      <c r="BN925" s="4"/>
      <c r="BO925" s="3"/>
      <c r="BP925" s="4"/>
      <c r="BQ925" s="3"/>
      <c r="BR925" s="4"/>
      <c r="BS925" s="3"/>
      <c r="BT925" s="4"/>
      <c r="BU925" s="3"/>
      <c r="BV925" s="4"/>
      <c r="BW925" s="3"/>
      <c r="BX925" s="4"/>
      <c r="BY925" s="3"/>
      <c r="BZ925" s="4"/>
      <c r="CA925" s="3"/>
      <c r="CB925" s="4"/>
      <c r="CC925" s="3"/>
      <c r="CD925" s="4"/>
    </row>
    <row r="926">
      <c r="A926" s="3"/>
      <c r="B926" s="4"/>
      <c r="C926" s="3"/>
      <c r="D926" s="4"/>
      <c r="E926" s="3"/>
      <c r="F926" s="4"/>
      <c r="G926" s="3"/>
      <c r="H926" s="4"/>
      <c r="I926" s="3"/>
      <c r="J926" s="4"/>
      <c r="K926" s="3"/>
      <c r="L926" s="4"/>
      <c r="M926" s="3"/>
      <c r="N926" s="4"/>
      <c r="O926" s="3"/>
      <c r="P926" s="4"/>
      <c r="Q926" s="3"/>
      <c r="R926" s="4"/>
      <c r="S926" s="3"/>
      <c r="T926" s="4"/>
      <c r="U926" s="3"/>
      <c r="V926" s="4"/>
      <c r="W926" s="3"/>
      <c r="X926" s="4"/>
      <c r="Y926" s="3"/>
      <c r="Z926" s="4"/>
      <c r="AA926" s="3"/>
      <c r="AB926" s="4"/>
      <c r="AC926" s="3"/>
      <c r="AD926" s="4"/>
      <c r="AE926" s="3"/>
      <c r="AF926" s="4"/>
      <c r="AG926" s="3"/>
      <c r="AH926" s="4"/>
      <c r="AI926" s="3"/>
      <c r="AJ926" s="4"/>
      <c r="AK926" s="3"/>
      <c r="AL926" s="4"/>
      <c r="AM926" s="3"/>
      <c r="AN926" s="4"/>
      <c r="AO926" s="3"/>
      <c r="AP926" s="4"/>
      <c r="AQ926" s="3"/>
      <c r="AR926" s="4"/>
      <c r="AS926" s="3"/>
      <c r="AT926" s="4"/>
      <c r="AU926" s="3"/>
      <c r="AV926" s="4"/>
      <c r="AW926" s="3"/>
      <c r="AX926" s="4"/>
      <c r="AY926" s="3"/>
      <c r="AZ926" s="4"/>
      <c r="BA926" s="3"/>
      <c r="BB926" s="4"/>
      <c r="BC926" s="3"/>
      <c r="BD926" s="4"/>
      <c r="BE926" s="3"/>
      <c r="BF926" s="4"/>
      <c r="BG926" s="3"/>
      <c r="BH926" s="4"/>
      <c r="BI926" s="3"/>
      <c r="BJ926" s="4"/>
      <c r="BK926" s="3"/>
      <c r="BL926" s="4"/>
      <c r="BM926" s="3"/>
      <c r="BN926" s="4"/>
      <c r="BO926" s="3"/>
      <c r="BP926" s="4"/>
      <c r="BQ926" s="3"/>
      <c r="BR926" s="4"/>
      <c r="BS926" s="3"/>
      <c r="BT926" s="4"/>
      <c r="BU926" s="3"/>
      <c r="BV926" s="4"/>
      <c r="BW926" s="3"/>
      <c r="BX926" s="4"/>
      <c r="BY926" s="3"/>
      <c r="BZ926" s="4"/>
      <c r="CA926" s="3"/>
      <c r="CB926" s="4"/>
      <c r="CC926" s="3"/>
      <c r="CD926" s="4"/>
    </row>
    <row r="927">
      <c r="A927" s="3"/>
      <c r="B927" s="4"/>
      <c r="C927" s="3"/>
      <c r="D927" s="4"/>
      <c r="E927" s="3"/>
      <c r="F927" s="4"/>
      <c r="G927" s="3"/>
      <c r="H927" s="4"/>
      <c r="I927" s="3"/>
      <c r="J927" s="4"/>
      <c r="K927" s="3"/>
      <c r="L927" s="4"/>
      <c r="M927" s="3"/>
      <c r="N927" s="4"/>
      <c r="O927" s="3"/>
      <c r="P927" s="4"/>
      <c r="Q927" s="3"/>
      <c r="R927" s="4"/>
      <c r="S927" s="3"/>
      <c r="T927" s="4"/>
      <c r="U927" s="3"/>
      <c r="V927" s="4"/>
      <c r="W927" s="3"/>
      <c r="X927" s="4"/>
      <c r="Y927" s="3"/>
      <c r="Z927" s="4"/>
      <c r="AA927" s="3"/>
      <c r="AB927" s="4"/>
      <c r="AC927" s="3"/>
      <c r="AD927" s="4"/>
      <c r="AE927" s="3"/>
      <c r="AF927" s="4"/>
      <c r="AG927" s="3"/>
      <c r="AH927" s="4"/>
      <c r="AI927" s="3"/>
      <c r="AJ927" s="4"/>
      <c r="AK927" s="3"/>
      <c r="AL927" s="4"/>
      <c r="AM927" s="3"/>
      <c r="AN927" s="4"/>
      <c r="AO927" s="3"/>
      <c r="AP927" s="4"/>
      <c r="AQ927" s="3"/>
      <c r="AR927" s="4"/>
      <c r="AS927" s="3"/>
      <c r="AT927" s="4"/>
      <c r="AU927" s="3"/>
      <c r="AV927" s="4"/>
      <c r="AW927" s="3"/>
      <c r="AX927" s="4"/>
      <c r="AY927" s="3"/>
      <c r="AZ927" s="4"/>
      <c r="BA927" s="3"/>
      <c r="BB927" s="4"/>
      <c r="BC927" s="3"/>
      <c r="BD927" s="4"/>
      <c r="BE927" s="3"/>
      <c r="BF927" s="4"/>
      <c r="BG927" s="3"/>
      <c r="BH927" s="4"/>
      <c r="BI927" s="3"/>
      <c r="BJ927" s="4"/>
      <c r="BK927" s="3"/>
      <c r="BL927" s="4"/>
      <c r="BM927" s="3"/>
      <c r="BN927" s="4"/>
      <c r="BO927" s="3"/>
      <c r="BP927" s="4"/>
      <c r="BQ927" s="3"/>
      <c r="BR927" s="4"/>
      <c r="BS927" s="3"/>
      <c r="BT927" s="4"/>
      <c r="BU927" s="3"/>
      <c r="BV927" s="4"/>
      <c r="BW927" s="3"/>
      <c r="BX927" s="4"/>
      <c r="BY927" s="3"/>
      <c r="BZ927" s="4"/>
      <c r="CA927" s="3"/>
      <c r="CB927" s="4"/>
      <c r="CC927" s="3"/>
      <c r="CD927" s="4"/>
    </row>
    <row r="928">
      <c r="A928" s="3"/>
      <c r="B928" s="4"/>
      <c r="C928" s="3"/>
      <c r="D928" s="4"/>
      <c r="E928" s="3"/>
      <c r="F928" s="4"/>
      <c r="G928" s="3"/>
      <c r="H928" s="4"/>
      <c r="I928" s="3"/>
      <c r="J928" s="4"/>
      <c r="K928" s="3"/>
      <c r="L928" s="4"/>
      <c r="M928" s="3"/>
      <c r="N928" s="4"/>
      <c r="O928" s="3"/>
      <c r="P928" s="4"/>
      <c r="Q928" s="3"/>
      <c r="R928" s="4"/>
      <c r="S928" s="3"/>
      <c r="T928" s="4"/>
      <c r="U928" s="3"/>
      <c r="V928" s="4"/>
      <c r="W928" s="3"/>
      <c r="X928" s="4"/>
      <c r="Y928" s="3"/>
      <c r="Z928" s="4"/>
      <c r="AA928" s="3"/>
      <c r="AB928" s="4"/>
      <c r="AC928" s="3"/>
      <c r="AD928" s="4"/>
      <c r="AE928" s="3"/>
      <c r="AF928" s="4"/>
      <c r="AG928" s="3"/>
      <c r="AH928" s="4"/>
      <c r="AI928" s="3"/>
      <c r="AJ928" s="4"/>
      <c r="AK928" s="3"/>
      <c r="AL928" s="4"/>
      <c r="AM928" s="3"/>
      <c r="AN928" s="4"/>
      <c r="AO928" s="3"/>
      <c r="AP928" s="4"/>
      <c r="AQ928" s="3"/>
      <c r="AR928" s="4"/>
      <c r="AS928" s="3"/>
      <c r="AT928" s="4"/>
      <c r="AU928" s="3"/>
      <c r="AV928" s="4"/>
      <c r="AW928" s="3"/>
      <c r="AX928" s="4"/>
      <c r="AY928" s="3"/>
      <c r="AZ928" s="4"/>
      <c r="BA928" s="3"/>
      <c r="BB928" s="4"/>
      <c r="BC928" s="3"/>
      <c r="BD928" s="4"/>
      <c r="BE928" s="3"/>
      <c r="BF928" s="4"/>
      <c r="BG928" s="3"/>
      <c r="BH928" s="4"/>
      <c r="BI928" s="3"/>
      <c r="BJ928" s="4"/>
      <c r="BK928" s="3"/>
      <c r="BL928" s="4"/>
      <c r="BM928" s="3"/>
      <c r="BN928" s="4"/>
      <c r="BO928" s="3"/>
      <c r="BP928" s="4"/>
      <c r="BQ928" s="3"/>
      <c r="BR928" s="4"/>
      <c r="BS928" s="3"/>
      <c r="BT928" s="4"/>
      <c r="BU928" s="3"/>
      <c r="BV928" s="4"/>
      <c r="BW928" s="3"/>
      <c r="BX928" s="4"/>
      <c r="BY928" s="3"/>
      <c r="BZ928" s="4"/>
      <c r="CA928" s="3"/>
      <c r="CB928" s="4"/>
      <c r="CC928" s="3"/>
      <c r="CD928" s="4"/>
    </row>
    <row r="929">
      <c r="A929" s="3"/>
      <c r="B929" s="4"/>
      <c r="C929" s="3"/>
      <c r="D929" s="4"/>
      <c r="E929" s="3"/>
      <c r="F929" s="4"/>
      <c r="G929" s="3"/>
      <c r="H929" s="4"/>
      <c r="I929" s="3"/>
      <c r="J929" s="4"/>
      <c r="K929" s="3"/>
      <c r="L929" s="4"/>
      <c r="M929" s="3"/>
      <c r="N929" s="4"/>
      <c r="O929" s="3"/>
      <c r="P929" s="4"/>
      <c r="Q929" s="3"/>
      <c r="R929" s="4"/>
      <c r="S929" s="3"/>
      <c r="T929" s="4"/>
      <c r="U929" s="3"/>
      <c r="V929" s="4"/>
      <c r="W929" s="3"/>
      <c r="X929" s="4"/>
      <c r="Y929" s="3"/>
      <c r="Z929" s="4"/>
      <c r="AA929" s="3"/>
      <c r="AB929" s="4"/>
      <c r="AC929" s="3"/>
      <c r="AD929" s="4"/>
      <c r="AE929" s="3"/>
      <c r="AF929" s="4"/>
      <c r="AG929" s="3"/>
      <c r="AH929" s="4"/>
      <c r="AI929" s="3"/>
      <c r="AJ929" s="4"/>
      <c r="AK929" s="3"/>
      <c r="AL929" s="4"/>
      <c r="AM929" s="3"/>
      <c r="AN929" s="4"/>
      <c r="AO929" s="3"/>
      <c r="AP929" s="4"/>
      <c r="AQ929" s="3"/>
      <c r="AR929" s="4"/>
      <c r="AS929" s="3"/>
      <c r="AT929" s="4"/>
      <c r="AU929" s="3"/>
      <c r="AV929" s="4"/>
      <c r="AW929" s="3"/>
      <c r="AX929" s="4"/>
      <c r="AY929" s="3"/>
      <c r="AZ929" s="4"/>
      <c r="BA929" s="3"/>
      <c r="BB929" s="4"/>
      <c r="BC929" s="3"/>
      <c r="BD929" s="4"/>
      <c r="BE929" s="3"/>
      <c r="BF929" s="4"/>
      <c r="BG929" s="3"/>
      <c r="BH929" s="4"/>
      <c r="BI929" s="3"/>
      <c r="BJ929" s="4"/>
      <c r="BK929" s="3"/>
      <c r="BL929" s="4"/>
      <c r="BM929" s="3"/>
      <c r="BN929" s="4"/>
      <c r="BO929" s="3"/>
      <c r="BP929" s="4"/>
      <c r="BQ929" s="3"/>
      <c r="BR929" s="4"/>
      <c r="BS929" s="3"/>
      <c r="BT929" s="4"/>
      <c r="BU929" s="3"/>
      <c r="BV929" s="4"/>
      <c r="BW929" s="3"/>
      <c r="BX929" s="4"/>
      <c r="BY929" s="3"/>
      <c r="BZ929" s="4"/>
      <c r="CA929" s="3"/>
      <c r="CB929" s="4"/>
      <c r="CC929" s="3"/>
      <c r="CD929" s="4"/>
    </row>
    <row r="930">
      <c r="A930" s="3"/>
      <c r="B930" s="4"/>
      <c r="C930" s="3"/>
      <c r="D930" s="4"/>
      <c r="E930" s="3"/>
      <c r="F930" s="4"/>
      <c r="G930" s="3"/>
      <c r="H930" s="4"/>
      <c r="I930" s="3"/>
      <c r="J930" s="4"/>
      <c r="K930" s="3"/>
      <c r="L930" s="4"/>
      <c r="M930" s="3"/>
      <c r="N930" s="4"/>
      <c r="O930" s="3"/>
      <c r="P930" s="4"/>
      <c r="Q930" s="3"/>
      <c r="R930" s="4"/>
      <c r="S930" s="3"/>
      <c r="T930" s="4"/>
      <c r="U930" s="3"/>
      <c r="V930" s="4"/>
      <c r="W930" s="3"/>
      <c r="X930" s="4"/>
      <c r="Y930" s="3"/>
      <c r="Z930" s="4"/>
      <c r="AA930" s="3"/>
      <c r="AB930" s="4"/>
      <c r="AC930" s="3"/>
      <c r="AD930" s="4"/>
      <c r="AE930" s="3"/>
      <c r="AF930" s="4"/>
      <c r="AG930" s="3"/>
      <c r="AH930" s="4"/>
      <c r="AI930" s="3"/>
      <c r="AJ930" s="4"/>
      <c r="AK930" s="3"/>
      <c r="AL930" s="4"/>
      <c r="AM930" s="3"/>
      <c r="AN930" s="4"/>
      <c r="AO930" s="3"/>
      <c r="AP930" s="4"/>
      <c r="AQ930" s="3"/>
      <c r="AR930" s="4"/>
      <c r="AS930" s="3"/>
      <c r="AT930" s="4"/>
      <c r="AU930" s="3"/>
      <c r="AV930" s="4"/>
      <c r="AW930" s="3"/>
      <c r="AX930" s="4"/>
      <c r="AY930" s="3"/>
      <c r="AZ930" s="4"/>
      <c r="BA930" s="3"/>
      <c r="BB930" s="4"/>
      <c r="BC930" s="3"/>
      <c r="BD930" s="4"/>
      <c r="BE930" s="3"/>
      <c r="BF930" s="4"/>
      <c r="BG930" s="3"/>
      <c r="BH930" s="4"/>
      <c r="BI930" s="3"/>
      <c r="BJ930" s="4"/>
      <c r="BK930" s="3"/>
      <c r="BL930" s="4"/>
      <c r="BM930" s="3"/>
      <c r="BN930" s="4"/>
      <c r="BO930" s="3"/>
      <c r="BP930" s="4"/>
      <c r="BQ930" s="3"/>
      <c r="BR930" s="4"/>
      <c r="BS930" s="3"/>
      <c r="BT930" s="4"/>
      <c r="BU930" s="3"/>
      <c r="BV930" s="4"/>
      <c r="BW930" s="3"/>
      <c r="BX930" s="4"/>
      <c r="BY930" s="3"/>
      <c r="BZ930" s="4"/>
      <c r="CA930" s="3"/>
      <c r="CB930" s="4"/>
      <c r="CC930" s="3"/>
      <c r="CD930" s="4"/>
    </row>
    <row r="931">
      <c r="A931" s="3"/>
      <c r="B931" s="4"/>
      <c r="C931" s="3"/>
      <c r="D931" s="4"/>
      <c r="E931" s="3"/>
      <c r="F931" s="4"/>
      <c r="G931" s="3"/>
      <c r="H931" s="4"/>
      <c r="I931" s="3"/>
      <c r="J931" s="4"/>
      <c r="K931" s="3"/>
      <c r="L931" s="4"/>
      <c r="M931" s="3"/>
      <c r="N931" s="4"/>
      <c r="O931" s="3"/>
      <c r="P931" s="4"/>
      <c r="Q931" s="3"/>
      <c r="R931" s="4"/>
      <c r="S931" s="3"/>
      <c r="T931" s="4"/>
      <c r="U931" s="3"/>
      <c r="V931" s="4"/>
      <c r="W931" s="3"/>
      <c r="X931" s="4"/>
      <c r="Y931" s="3"/>
      <c r="Z931" s="4"/>
      <c r="AA931" s="3"/>
      <c r="AB931" s="4"/>
      <c r="AC931" s="3"/>
      <c r="AD931" s="4"/>
      <c r="AE931" s="3"/>
      <c r="AF931" s="4"/>
      <c r="AG931" s="3"/>
      <c r="AH931" s="4"/>
      <c r="AI931" s="3"/>
      <c r="AJ931" s="4"/>
      <c r="AK931" s="3"/>
      <c r="AL931" s="4"/>
      <c r="AM931" s="3"/>
      <c r="AN931" s="4"/>
      <c r="AO931" s="3"/>
      <c r="AP931" s="4"/>
      <c r="AQ931" s="3"/>
      <c r="AR931" s="4"/>
      <c r="AS931" s="3"/>
      <c r="AT931" s="4"/>
      <c r="AU931" s="3"/>
      <c r="AV931" s="4"/>
      <c r="AW931" s="3"/>
      <c r="AX931" s="4"/>
      <c r="AY931" s="3"/>
      <c r="AZ931" s="4"/>
      <c r="BA931" s="3"/>
      <c r="BB931" s="4"/>
      <c r="BC931" s="3"/>
      <c r="BD931" s="4"/>
      <c r="BE931" s="3"/>
      <c r="BF931" s="4"/>
      <c r="BG931" s="3"/>
      <c r="BH931" s="4"/>
      <c r="BI931" s="3"/>
      <c r="BJ931" s="4"/>
      <c r="BK931" s="3"/>
      <c r="BL931" s="4"/>
      <c r="BM931" s="3"/>
      <c r="BN931" s="4"/>
      <c r="BO931" s="3"/>
      <c r="BP931" s="4"/>
      <c r="BQ931" s="3"/>
      <c r="BR931" s="4"/>
      <c r="BS931" s="3"/>
      <c r="BT931" s="4"/>
      <c r="BU931" s="3"/>
      <c r="BV931" s="4"/>
      <c r="BW931" s="3"/>
      <c r="BX931" s="4"/>
      <c r="BY931" s="3"/>
      <c r="BZ931" s="4"/>
      <c r="CA931" s="3"/>
      <c r="CB931" s="4"/>
      <c r="CC931" s="3"/>
      <c r="CD931" s="4"/>
    </row>
    <row r="932">
      <c r="A932" s="3"/>
      <c r="B932" s="4"/>
      <c r="C932" s="3"/>
      <c r="D932" s="4"/>
      <c r="E932" s="3"/>
      <c r="F932" s="4"/>
      <c r="G932" s="3"/>
      <c r="H932" s="4"/>
      <c r="I932" s="3"/>
      <c r="J932" s="4"/>
      <c r="K932" s="3"/>
      <c r="L932" s="4"/>
      <c r="M932" s="3"/>
      <c r="N932" s="4"/>
      <c r="O932" s="3"/>
      <c r="P932" s="4"/>
      <c r="Q932" s="3"/>
      <c r="R932" s="4"/>
      <c r="S932" s="3"/>
      <c r="T932" s="4"/>
      <c r="U932" s="3"/>
      <c r="V932" s="4"/>
      <c r="W932" s="3"/>
      <c r="X932" s="4"/>
      <c r="Y932" s="3"/>
      <c r="Z932" s="4"/>
      <c r="AA932" s="3"/>
      <c r="AB932" s="4"/>
      <c r="AC932" s="3"/>
      <c r="AD932" s="4"/>
      <c r="AE932" s="3"/>
      <c r="AF932" s="4"/>
      <c r="AG932" s="3"/>
      <c r="AH932" s="4"/>
      <c r="AI932" s="3"/>
      <c r="AJ932" s="4"/>
      <c r="AK932" s="3"/>
      <c r="AL932" s="4"/>
      <c r="AM932" s="3"/>
      <c r="AN932" s="4"/>
      <c r="AO932" s="3"/>
      <c r="AP932" s="4"/>
      <c r="AQ932" s="3"/>
      <c r="AR932" s="4"/>
      <c r="AS932" s="3"/>
      <c r="AT932" s="4"/>
      <c r="AU932" s="3"/>
      <c r="AV932" s="4"/>
      <c r="AW932" s="3"/>
      <c r="AX932" s="4"/>
      <c r="AY932" s="3"/>
      <c r="AZ932" s="4"/>
      <c r="BA932" s="3"/>
      <c r="BB932" s="4"/>
      <c r="BC932" s="3"/>
      <c r="BD932" s="4"/>
      <c r="BE932" s="3"/>
      <c r="BF932" s="4"/>
      <c r="BG932" s="3"/>
      <c r="BH932" s="4"/>
      <c r="BI932" s="3"/>
      <c r="BJ932" s="4"/>
      <c r="BK932" s="3"/>
      <c r="BL932" s="4"/>
      <c r="BM932" s="3"/>
      <c r="BN932" s="4"/>
      <c r="BO932" s="3"/>
      <c r="BP932" s="4"/>
      <c r="BQ932" s="3"/>
      <c r="BR932" s="4"/>
      <c r="BS932" s="3"/>
      <c r="BT932" s="4"/>
      <c r="BU932" s="3"/>
      <c r="BV932" s="4"/>
      <c r="BW932" s="3"/>
      <c r="BX932" s="4"/>
      <c r="BY932" s="3"/>
      <c r="BZ932" s="4"/>
      <c r="CA932" s="3"/>
      <c r="CB932" s="4"/>
      <c r="CC932" s="3"/>
      <c r="CD932" s="4"/>
    </row>
    <row r="933">
      <c r="A933" s="3"/>
      <c r="B933" s="4"/>
      <c r="C933" s="3"/>
      <c r="D933" s="4"/>
      <c r="E933" s="3"/>
      <c r="F933" s="4"/>
      <c r="G933" s="3"/>
      <c r="H933" s="4"/>
      <c r="I933" s="3"/>
      <c r="J933" s="4"/>
      <c r="K933" s="3"/>
      <c r="L933" s="4"/>
      <c r="M933" s="3"/>
      <c r="N933" s="4"/>
      <c r="O933" s="3"/>
      <c r="P933" s="4"/>
      <c r="Q933" s="3"/>
      <c r="R933" s="4"/>
      <c r="S933" s="3"/>
      <c r="T933" s="4"/>
      <c r="U933" s="3"/>
      <c r="V933" s="4"/>
      <c r="W933" s="3"/>
      <c r="X933" s="4"/>
      <c r="Y933" s="3"/>
      <c r="Z933" s="4"/>
      <c r="AA933" s="3"/>
      <c r="AB933" s="4"/>
      <c r="AC933" s="3"/>
      <c r="AD933" s="4"/>
      <c r="AE933" s="3"/>
      <c r="AF933" s="4"/>
      <c r="AG933" s="3"/>
      <c r="AH933" s="4"/>
      <c r="AI933" s="3"/>
      <c r="AJ933" s="4"/>
      <c r="AK933" s="3"/>
      <c r="AL933" s="4"/>
      <c r="AM933" s="3"/>
      <c r="AN933" s="4"/>
      <c r="AO933" s="3"/>
      <c r="AP933" s="4"/>
      <c r="AQ933" s="3"/>
      <c r="AR933" s="4"/>
      <c r="AS933" s="3"/>
      <c r="AT933" s="4"/>
      <c r="AU933" s="3"/>
      <c r="AV933" s="4"/>
      <c r="AW933" s="3"/>
      <c r="AX933" s="4"/>
      <c r="AY933" s="3"/>
      <c r="AZ933" s="4"/>
      <c r="BA933" s="3"/>
      <c r="BB933" s="4"/>
      <c r="BC933" s="3"/>
      <c r="BD933" s="4"/>
      <c r="BE933" s="3"/>
      <c r="BF933" s="4"/>
      <c r="BG933" s="3"/>
      <c r="BH933" s="4"/>
      <c r="BI933" s="3"/>
      <c r="BJ933" s="4"/>
      <c r="BK933" s="3"/>
      <c r="BL933" s="4"/>
      <c r="BM933" s="3"/>
      <c r="BN933" s="4"/>
      <c r="BO933" s="3"/>
      <c r="BP933" s="4"/>
      <c r="BQ933" s="3"/>
      <c r="BR933" s="4"/>
      <c r="BS933" s="3"/>
      <c r="BT933" s="4"/>
      <c r="BU933" s="3"/>
      <c r="BV933" s="4"/>
      <c r="BW933" s="3"/>
      <c r="BX933" s="4"/>
      <c r="BY933" s="3"/>
      <c r="BZ933" s="4"/>
      <c r="CA933" s="3"/>
      <c r="CB933" s="4"/>
      <c r="CC933" s="3"/>
      <c r="CD933" s="4"/>
    </row>
    <row r="934">
      <c r="A934" s="3"/>
      <c r="B934" s="4"/>
      <c r="C934" s="3"/>
      <c r="D934" s="4"/>
      <c r="E934" s="3"/>
      <c r="F934" s="4"/>
      <c r="G934" s="3"/>
      <c r="H934" s="4"/>
      <c r="I934" s="3"/>
      <c r="J934" s="4"/>
      <c r="K934" s="3"/>
      <c r="L934" s="4"/>
      <c r="M934" s="3"/>
      <c r="N934" s="4"/>
      <c r="O934" s="3"/>
      <c r="P934" s="4"/>
      <c r="Q934" s="3"/>
      <c r="R934" s="4"/>
      <c r="S934" s="3"/>
      <c r="T934" s="4"/>
      <c r="U934" s="3"/>
      <c r="V934" s="4"/>
      <c r="W934" s="3"/>
      <c r="X934" s="4"/>
      <c r="Y934" s="3"/>
      <c r="Z934" s="4"/>
      <c r="AA934" s="3"/>
      <c r="AB934" s="4"/>
      <c r="AC934" s="3"/>
      <c r="AD934" s="4"/>
      <c r="AE934" s="3"/>
      <c r="AF934" s="4"/>
      <c r="AG934" s="3"/>
      <c r="AH934" s="4"/>
      <c r="AI934" s="3"/>
      <c r="AJ934" s="4"/>
      <c r="AK934" s="3"/>
      <c r="AL934" s="4"/>
      <c r="AM934" s="3"/>
      <c r="AN934" s="4"/>
      <c r="AO934" s="3"/>
      <c r="AP934" s="4"/>
      <c r="AQ934" s="3"/>
      <c r="AR934" s="4"/>
      <c r="AS934" s="3"/>
      <c r="AT934" s="4"/>
      <c r="AU934" s="3"/>
      <c r="AV934" s="4"/>
      <c r="AW934" s="3"/>
      <c r="AX934" s="4"/>
      <c r="AY934" s="3"/>
      <c r="AZ934" s="4"/>
      <c r="BA934" s="3"/>
      <c r="BB934" s="4"/>
      <c r="BC934" s="3"/>
      <c r="BD934" s="4"/>
      <c r="BE934" s="3"/>
      <c r="BF934" s="4"/>
      <c r="BG934" s="3"/>
      <c r="BH934" s="4"/>
      <c r="BI934" s="3"/>
      <c r="BJ934" s="4"/>
      <c r="BK934" s="3"/>
      <c r="BL934" s="4"/>
      <c r="BM934" s="3"/>
      <c r="BN934" s="4"/>
      <c r="BO934" s="3"/>
      <c r="BP934" s="4"/>
      <c r="BQ934" s="3"/>
      <c r="BR934" s="4"/>
      <c r="BS934" s="3"/>
      <c r="BT934" s="4"/>
      <c r="BU934" s="3"/>
      <c r="BV934" s="4"/>
      <c r="BW934" s="3"/>
      <c r="BX934" s="4"/>
      <c r="BY934" s="3"/>
      <c r="BZ934" s="4"/>
      <c r="CA934" s="3"/>
      <c r="CB934" s="4"/>
      <c r="CC934" s="3"/>
      <c r="CD934" s="4"/>
    </row>
    <row r="935">
      <c r="A935" s="3"/>
      <c r="B935" s="4"/>
      <c r="C935" s="3"/>
      <c r="D935" s="4"/>
      <c r="E935" s="3"/>
      <c r="F935" s="4"/>
      <c r="G935" s="3"/>
      <c r="H935" s="4"/>
      <c r="I935" s="3"/>
      <c r="J935" s="4"/>
      <c r="K935" s="3"/>
      <c r="L935" s="4"/>
      <c r="M935" s="3"/>
      <c r="N935" s="4"/>
      <c r="O935" s="3"/>
      <c r="P935" s="4"/>
      <c r="Q935" s="3"/>
      <c r="R935" s="4"/>
      <c r="S935" s="3"/>
      <c r="T935" s="4"/>
      <c r="U935" s="3"/>
      <c r="V935" s="4"/>
      <c r="W935" s="3"/>
      <c r="X935" s="4"/>
      <c r="Y935" s="3"/>
      <c r="Z935" s="4"/>
      <c r="AA935" s="3"/>
      <c r="AB935" s="4"/>
      <c r="AC935" s="3"/>
      <c r="AD935" s="4"/>
      <c r="AE935" s="3"/>
      <c r="AF935" s="4"/>
      <c r="AG935" s="3"/>
      <c r="AH935" s="4"/>
      <c r="AI935" s="3"/>
      <c r="AJ935" s="4"/>
      <c r="AK935" s="3"/>
      <c r="AL935" s="4"/>
      <c r="AM935" s="3"/>
      <c r="AN935" s="4"/>
      <c r="AO935" s="3"/>
      <c r="AP935" s="4"/>
      <c r="AQ935" s="3"/>
      <c r="AR935" s="4"/>
      <c r="AS935" s="3"/>
      <c r="AT935" s="4"/>
      <c r="AU935" s="3"/>
      <c r="AV935" s="4"/>
      <c r="AW935" s="3"/>
      <c r="AX935" s="4"/>
      <c r="AY935" s="3"/>
      <c r="AZ935" s="4"/>
      <c r="BA935" s="3"/>
      <c r="BB935" s="4"/>
      <c r="BC935" s="3"/>
      <c r="BD935" s="4"/>
      <c r="BE935" s="3"/>
      <c r="BF935" s="4"/>
      <c r="BG935" s="3"/>
      <c r="BH935" s="4"/>
      <c r="BI935" s="3"/>
      <c r="BJ935" s="4"/>
      <c r="BK935" s="3"/>
      <c r="BL935" s="4"/>
      <c r="BM935" s="3"/>
      <c r="BN935" s="4"/>
      <c r="BO935" s="3"/>
      <c r="BP935" s="4"/>
      <c r="BQ935" s="3"/>
      <c r="BR935" s="4"/>
      <c r="BS935" s="3"/>
      <c r="BT935" s="4"/>
      <c r="BU935" s="3"/>
      <c r="BV935" s="4"/>
      <c r="BW935" s="3"/>
      <c r="BX935" s="4"/>
      <c r="BY935" s="3"/>
      <c r="BZ935" s="4"/>
      <c r="CA935" s="3"/>
      <c r="CB935" s="4"/>
      <c r="CC935" s="3"/>
      <c r="CD935" s="4"/>
    </row>
    <row r="936">
      <c r="A936" s="3"/>
      <c r="B936" s="4"/>
      <c r="C936" s="3"/>
      <c r="D936" s="4"/>
      <c r="E936" s="3"/>
      <c r="F936" s="4"/>
      <c r="G936" s="3"/>
      <c r="H936" s="4"/>
      <c r="I936" s="3"/>
      <c r="J936" s="4"/>
      <c r="K936" s="3"/>
      <c r="L936" s="4"/>
      <c r="M936" s="3"/>
      <c r="N936" s="4"/>
      <c r="O936" s="3"/>
      <c r="P936" s="4"/>
      <c r="Q936" s="3"/>
      <c r="R936" s="4"/>
      <c r="S936" s="3"/>
      <c r="T936" s="4"/>
      <c r="U936" s="3"/>
      <c r="V936" s="4"/>
      <c r="W936" s="3"/>
      <c r="X936" s="4"/>
      <c r="Y936" s="3"/>
      <c r="Z936" s="4"/>
      <c r="AA936" s="3"/>
      <c r="AB936" s="4"/>
      <c r="AC936" s="3"/>
      <c r="AD936" s="4"/>
      <c r="AE936" s="3"/>
      <c r="AF936" s="4"/>
      <c r="AG936" s="3"/>
      <c r="AH936" s="4"/>
      <c r="AI936" s="3"/>
      <c r="AJ936" s="4"/>
      <c r="AK936" s="3"/>
      <c r="AL936" s="4"/>
      <c r="AM936" s="3"/>
      <c r="AN936" s="4"/>
      <c r="AO936" s="3"/>
      <c r="AP936" s="4"/>
      <c r="AQ936" s="3"/>
      <c r="AR936" s="4"/>
      <c r="AS936" s="3"/>
      <c r="AT936" s="4"/>
      <c r="AU936" s="3"/>
      <c r="AV936" s="4"/>
      <c r="AW936" s="3"/>
      <c r="AX936" s="4"/>
      <c r="AY936" s="3"/>
      <c r="AZ936" s="4"/>
      <c r="BA936" s="3"/>
      <c r="BB936" s="4"/>
      <c r="BC936" s="3"/>
      <c r="BD936" s="4"/>
      <c r="BE936" s="3"/>
      <c r="BF936" s="4"/>
      <c r="BG936" s="3"/>
      <c r="BH936" s="4"/>
      <c r="BI936" s="3"/>
      <c r="BJ936" s="4"/>
      <c r="BK936" s="3"/>
      <c r="BL936" s="4"/>
      <c r="BM936" s="3"/>
      <c r="BN936" s="4"/>
      <c r="BO936" s="3"/>
      <c r="BP936" s="4"/>
      <c r="BQ936" s="3"/>
      <c r="BR936" s="4"/>
      <c r="BS936" s="3"/>
      <c r="BT936" s="4"/>
      <c r="BU936" s="3"/>
      <c r="BV936" s="4"/>
      <c r="BW936" s="3"/>
      <c r="BX936" s="4"/>
      <c r="BY936" s="3"/>
      <c r="BZ936" s="4"/>
      <c r="CA936" s="3"/>
      <c r="CB936" s="4"/>
      <c r="CC936" s="3"/>
      <c r="CD936" s="4"/>
    </row>
    <row r="937">
      <c r="A937" s="3"/>
      <c r="B937" s="4"/>
      <c r="C937" s="3"/>
      <c r="D937" s="4"/>
      <c r="E937" s="3"/>
      <c r="F937" s="4"/>
      <c r="G937" s="3"/>
      <c r="H937" s="4"/>
      <c r="I937" s="3"/>
      <c r="J937" s="4"/>
      <c r="K937" s="3"/>
      <c r="L937" s="4"/>
      <c r="M937" s="3"/>
      <c r="N937" s="4"/>
      <c r="O937" s="3"/>
      <c r="P937" s="4"/>
      <c r="Q937" s="3"/>
      <c r="R937" s="4"/>
      <c r="S937" s="3"/>
      <c r="T937" s="4"/>
      <c r="U937" s="3"/>
      <c r="V937" s="4"/>
      <c r="W937" s="3"/>
      <c r="X937" s="4"/>
      <c r="Y937" s="3"/>
      <c r="Z937" s="4"/>
      <c r="AA937" s="3"/>
      <c r="AB937" s="4"/>
      <c r="AC937" s="3"/>
      <c r="AD937" s="4"/>
      <c r="AE937" s="3"/>
      <c r="AF937" s="4"/>
      <c r="AG937" s="3"/>
      <c r="AH937" s="4"/>
      <c r="AI937" s="3"/>
      <c r="AJ937" s="4"/>
      <c r="AK937" s="3"/>
      <c r="AL937" s="4"/>
      <c r="AM937" s="3"/>
      <c r="AN937" s="4"/>
      <c r="AO937" s="3"/>
      <c r="AP937" s="4"/>
      <c r="AQ937" s="3"/>
      <c r="AR937" s="4"/>
      <c r="AS937" s="3"/>
      <c r="AT937" s="4"/>
      <c r="AU937" s="3"/>
      <c r="AV937" s="4"/>
      <c r="AW937" s="3"/>
      <c r="AX937" s="4"/>
      <c r="AY937" s="3"/>
      <c r="AZ937" s="4"/>
      <c r="BA937" s="3"/>
      <c r="BB937" s="4"/>
      <c r="BC937" s="3"/>
      <c r="BD937" s="4"/>
      <c r="BE937" s="3"/>
      <c r="BF937" s="4"/>
      <c r="BG937" s="3"/>
      <c r="BH937" s="4"/>
      <c r="BI937" s="3"/>
      <c r="BJ937" s="4"/>
      <c r="BK937" s="3"/>
      <c r="BL937" s="4"/>
      <c r="BM937" s="3"/>
      <c r="BN937" s="4"/>
      <c r="BO937" s="3"/>
      <c r="BP937" s="4"/>
      <c r="BQ937" s="3"/>
      <c r="BR937" s="4"/>
      <c r="BS937" s="3"/>
      <c r="BT937" s="4"/>
      <c r="BU937" s="3"/>
      <c r="BV937" s="4"/>
      <c r="BW937" s="3"/>
      <c r="BX937" s="4"/>
      <c r="BY937" s="3"/>
      <c r="BZ937" s="4"/>
      <c r="CA937" s="3"/>
      <c r="CB937" s="4"/>
      <c r="CC937" s="3"/>
      <c r="CD937" s="4"/>
    </row>
    <row r="938">
      <c r="A938" s="3"/>
      <c r="B938" s="4"/>
      <c r="C938" s="3"/>
      <c r="D938" s="4"/>
      <c r="E938" s="3"/>
      <c r="F938" s="4"/>
      <c r="G938" s="3"/>
      <c r="H938" s="4"/>
      <c r="I938" s="3"/>
      <c r="J938" s="4"/>
      <c r="K938" s="3"/>
      <c r="L938" s="4"/>
      <c r="M938" s="3"/>
      <c r="N938" s="4"/>
      <c r="O938" s="3"/>
      <c r="P938" s="4"/>
      <c r="Q938" s="3"/>
      <c r="R938" s="4"/>
      <c r="S938" s="3"/>
      <c r="T938" s="4"/>
      <c r="U938" s="3"/>
      <c r="V938" s="4"/>
      <c r="W938" s="3"/>
      <c r="X938" s="4"/>
      <c r="Y938" s="3"/>
      <c r="Z938" s="4"/>
      <c r="AA938" s="3"/>
      <c r="AB938" s="4"/>
      <c r="AC938" s="3"/>
      <c r="AD938" s="4"/>
      <c r="AE938" s="3"/>
      <c r="AF938" s="4"/>
      <c r="AG938" s="3"/>
      <c r="AH938" s="4"/>
      <c r="AI938" s="3"/>
      <c r="AJ938" s="4"/>
      <c r="AK938" s="3"/>
      <c r="AL938" s="4"/>
      <c r="AM938" s="3"/>
      <c r="AN938" s="4"/>
      <c r="AO938" s="3"/>
      <c r="AP938" s="4"/>
      <c r="AQ938" s="3"/>
      <c r="AR938" s="4"/>
      <c r="AS938" s="3"/>
      <c r="AT938" s="4"/>
      <c r="AU938" s="3"/>
      <c r="AV938" s="4"/>
      <c r="AW938" s="3"/>
      <c r="AX938" s="4"/>
      <c r="AY938" s="3"/>
      <c r="AZ938" s="4"/>
      <c r="BA938" s="3"/>
      <c r="BB938" s="4"/>
      <c r="BC938" s="3"/>
      <c r="BD938" s="4"/>
      <c r="BE938" s="3"/>
      <c r="BF938" s="4"/>
      <c r="BG938" s="3"/>
      <c r="BH938" s="4"/>
      <c r="BI938" s="3"/>
      <c r="BJ938" s="4"/>
      <c r="BK938" s="3"/>
      <c r="BL938" s="4"/>
      <c r="BM938" s="3"/>
      <c r="BN938" s="4"/>
      <c r="BO938" s="3"/>
      <c r="BP938" s="4"/>
      <c r="BQ938" s="3"/>
      <c r="BR938" s="4"/>
      <c r="BS938" s="3"/>
      <c r="BT938" s="4"/>
      <c r="BU938" s="3"/>
      <c r="BV938" s="4"/>
      <c r="BW938" s="3"/>
      <c r="BX938" s="4"/>
      <c r="BY938" s="3"/>
      <c r="BZ938" s="4"/>
      <c r="CA938" s="3"/>
      <c r="CB938" s="4"/>
      <c r="CC938" s="3"/>
      <c r="CD938" s="4"/>
    </row>
    <row r="939">
      <c r="A939" s="3"/>
      <c r="B939" s="4"/>
      <c r="C939" s="3"/>
      <c r="D939" s="4"/>
      <c r="E939" s="3"/>
      <c r="F939" s="4"/>
      <c r="G939" s="3"/>
      <c r="H939" s="4"/>
      <c r="I939" s="3"/>
      <c r="J939" s="4"/>
      <c r="K939" s="3"/>
      <c r="L939" s="4"/>
      <c r="M939" s="3"/>
      <c r="N939" s="4"/>
      <c r="O939" s="3"/>
      <c r="P939" s="4"/>
      <c r="Q939" s="3"/>
      <c r="R939" s="4"/>
      <c r="S939" s="3"/>
      <c r="T939" s="4"/>
      <c r="U939" s="3"/>
      <c r="V939" s="4"/>
      <c r="W939" s="3"/>
      <c r="X939" s="4"/>
      <c r="Y939" s="3"/>
      <c r="Z939" s="4"/>
      <c r="AA939" s="3"/>
      <c r="AB939" s="4"/>
      <c r="AC939" s="3"/>
      <c r="AD939" s="4"/>
      <c r="AE939" s="3"/>
      <c r="AF939" s="4"/>
      <c r="AG939" s="3"/>
      <c r="AH939" s="4"/>
      <c r="AI939" s="3"/>
      <c r="AJ939" s="4"/>
      <c r="AK939" s="3"/>
      <c r="AL939" s="4"/>
      <c r="AM939" s="3"/>
      <c r="AN939" s="4"/>
      <c r="AO939" s="3"/>
      <c r="AP939" s="4"/>
      <c r="AQ939" s="3"/>
      <c r="AR939" s="4"/>
      <c r="AS939" s="3"/>
      <c r="AT939" s="4"/>
      <c r="AU939" s="3"/>
      <c r="AV939" s="4"/>
      <c r="AW939" s="3"/>
      <c r="AX939" s="4"/>
      <c r="AY939" s="3"/>
      <c r="AZ939" s="4"/>
      <c r="BA939" s="3"/>
      <c r="BB939" s="4"/>
      <c r="BC939" s="3"/>
      <c r="BD939" s="4"/>
      <c r="BE939" s="3"/>
      <c r="BF939" s="4"/>
      <c r="BG939" s="3"/>
      <c r="BH939" s="4"/>
      <c r="BI939" s="3"/>
      <c r="BJ939" s="4"/>
      <c r="BK939" s="3"/>
      <c r="BL939" s="4"/>
      <c r="BM939" s="3"/>
      <c r="BN939" s="4"/>
      <c r="BO939" s="3"/>
      <c r="BP939" s="4"/>
      <c r="BQ939" s="3"/>
      <c r="BR939" s="4"/>
      <c r="BS939" s="3"/>
      <c r="BT939" s="4"/>
      <c r="BU939" s="3"/>
      <c r="BV939" s="4"/>
      <c r="BW939" s="3"/>
      <c r="BX939" s="4"/>
      <c r="BY939" s="3"/>
      <c r="BZ939" s="4"/>
      <c r="CA939" s="3"/>
      <c r="CB939" s="4"/>
      <c r="CC939" s="3"/>
      <c r="CD939" s="4"/>
    </row>
    <row r="940">
      <c r="A940" s="3"/>
      <c r="B940" s="4"/>
      <c r="C940" s="3"/>
      <c r="D940" s="4"/>
      <c r="E940" s="3"/>
      <c r="F940" s="4"/>
      <c r="G940" s="3"/>
      <c r="H940" s="4"/>
      <c r="I940" s="3"/>
      <c r="J940" s="4"/>
      <c r="K940" s="3"/>
      <c r="L940" s="4"/>
      <c r="M940" s="3"/>
      <c r="N940" s="4"/>
      <c r="O940" s="3"/>
      <c r="P940" s="4"/>
      <c r="Q940" s="3"/>
      <c r="R940" s="4"/>
      <c r="S940" s="3"/>
      <c r="T940" s="4"/>
      <c r="U940" s="3"/>
      <c r="V940" s="4"/>
      <c r="W940" s="3"/>
      <c r="X940" s="4"/>
      <c r="Y940" s="3"/>
      <c r="Z940" s="4"/>
      <c r="AA940" s="3"/>
      <c r="AB940" s="4"/>
      <c r="AC940" s="3"/>
      <c r="AD940" s="4"/>
      <c r="AE940" s="3"/>
      <c r="AF940" s="4"/>
      <c r="AG940" s="3"/>
      <c r="AH940" s="4"/>
      <c r="AI940" s="3"/>
      <c r="AJ940" s="4"/>
      <c r="AK940" s="3"/>
      <c r="AL940" s="4"/>
      <c r="AM940" s="3"/>
      <c r="AN940" s="4"/>
      <c r="AO940" s="3"/>
      <c r="AP940" s="4"/>
      <c r="AQ940" s="3"/>
      <c r="AR940" s="4"/>
      <c r="AS940" s="3"/>
      <c r="AT940" s="4"/>
      <c r="AU940" s="3"/>
      <c r="AV940" s="4"/>
      <c r="AW940" s="3"/>
      <c r="AX940" s="4"/>
      <c r="AY940" s="3"/>
      <c r="AZ940" s="4"/>
      <c r="BA940" s="3"/>
      <c r="BB940" s="4"/>
      <c r="BC940" s="3"/>
      <c r="BD940" s="4"/>
      <c r="BE940" s="3"/>
      <c r="BF940" s="4"/>
      <c r="BG940" s="3"/>
      <c r="BH940" s="4"/>
      <c r="BI940" s="3"/>
      <c r="BJ940" s="4"/>
      <c r="BK940" s="3"/>
      <c r="BL940" s="4"/>
      <c r="BM940" s="3"/>
      <c r="BN940" s="4"/>
      <c r="BO940" s="3"/>
      <c r="BP940" s="4"/>
      <c r="BQ940" s="3"/>
      <c r="BR940" s="4"/>
      <c r="BS940" s="3"/>
      <c r="BT940" s="4"/>
      <c r="BU940" s="3"/>
      <c r="BV940" s="4"/>
      <c r="BW940" s="3"/>
      <c r="BX940" s="4"/>
      <c r="BY940" s="3"/>
      <c r="BZ940" s="4"/>
      <c r="CA940" s="3"/>
      <c r="CB940" s="4"/>
      <c r="CC940" s="3"/>
      <c r="CD940" s="4"/>
    </row>
    <row r="941">
      <c r="A941" s="3"/>
      <c r="B941" s="4"/>
      <c r="C941" s="3"/>
      <c r="D941" s="4"/>
      <c r="E941" s="3"/>
      <c r="F941" s="4"/>
      <c r="G941" s="3"/>
      <c r="H941" s="4"/>
      <c r="I941" s="3"/>
      <c r="J941" s="4"/>
      <c r="K941" s="3"/>
      <c r="L941" s="4"/>
      <c r="M941" s="3"/>
      <c r="N941" s="4"/>
      <c r="O941" s="3"/>
      <c r="P941" s="4"/>
      <c r="Q941" s="3"/>
      <c r="R941" s="4"/>
      <c r="S941" s="3"/>
      <c r="T941" s="4"/>
      <c r="U941" s="3"/>
      <c r="V941" s="4"/>
      <c r="W941" s="3"/>
      <c r="X941" s="4"/>
      <c r="Y941" s="3"/>
      <c r="Z941" s="4"/>
      <c r="AA941" s="3"/>
      <c r="AB941" s="4"/>
      <c r="AC941" s="3"/>
      <c r="AD941" s="4"/>
      <c r="AE941" s="3"/>
      <c r="AF941" s="4"/>
      <c r="AG941" s="3"/>
      <c r="AH941" s="4"/>
      <c r="AI941" s="3"/>
      <c r="AJ941" s="4"/>
      <c r="AK941" s="3"/>
      <c r="AL941" s="4"/>
      <c r="AM941" s="3"/>
      <c r="AN941" s="4"/>
      <c r="AO941" s="3"/>
      <c r="AP941" s="4"/>
      <c r="AQ941" s="3"/>
      <c r="AR941" s="4"/>
      <c r="AS941" s="3"/>
      <c r="AT941" s="4"/>
      <c r="AU941" s="3"/>
      <c r="AV941" s="4"/>
      <c r="AW941" s="3"/>
      <c r="AX941" s="4"/>
      <c r="AY941" s="3"/>
      <c r="AZ941" s="4"/>
      <c r="BA941" s="3"/>
      <c r="BB941" s="4"/>
      <c r="BC941" s="3"/>
      <c r="BD941" s="4"/>
      <c r="BE941" s="3"/>
      <c r="BF941" s="4"/>
      <c r="BG941" s="3"/>
      <c r="BH941" s="4"/>
      <c r="BI941" s="3"/>
      <c r="BJ941" s="4"/>
      <c r="BK941" s="3"/>
      <c r="BL941" s="4"/>
      <c r="BM941" s="3"/>
      <c r="BN941" s="4"/>
      <c r="BO941" s="3"/>
      <c r="BP941" s="4"/>
      <c r="BQ941" s="3"/>
      <c r="BR941" s="4"/>
      <c r="BS941" s="3"/>
      <c r="BT941" s="4"/>
      <c r="BU941" s="3"/>
      <c r="BV941" s="4"/>
      <c r="BW941" s="3"/>
      <c r="BX941" s="4"/>
      <c r="BY941" s="3"/>
      <c r="BZ941" s="4"/>
      <c r="CA941" s="3"/>
      <c r="CB941" s="4"/>
      <c r="CC941" s="3"/>
      <c r="CD941" s="4"/>
    </row>
    <row r="942">
      <c r="A942" s="3"/>
      <c r="B942" s="4"/>
      <c r="C942" s="3"/>
      <c r="D942" s="4"/>
      <c r="E942" s="3"/>
      <c r="F942" s="4"/>
      <c r="G942" s="3"/>
      <c r="H942" s="4"/>
      <c r="I942" s="3"/>
      <c r="J942" s="4"/>
      <c r="K942" s="3"/>
      <c r="L942" s="4"/>
      <c r="M942" s="3"/>
      <c r="N942" s="4"/>
      <c r="O942" s="3"/>
      <c r="P942" s="4"/>
      <c r="Q942" s="3"/>
      <c r="R942" s="4"/>
      <c r="S942" s="3"/>
      <c r="T942" s="4"/>
      <c r="U942" s="3"/>
      <c r="V942" s="4"/>
      <c r="W942" s="3"/>
      <c r="X942" s="4"/>
      <c r="Y942" s="3"/>
      <c r="Z942" s="4"/>
      <c r="AA942" s="3"/>
      <c r="AB942" s="4"/>
      <c r="AC942" s="3"/>
      <c r="AD942" s="4"/>
      <c r="AE942" s="3"/>
      <c r="AF942" s="4"/>
      <c r="AG942" s="3"/>
      <c r="AH942" s="4"/>
      <c r="AI942" s="3"/>
      <c r="AJ942" s="4"/>
      <c r="AK942" s="3"/>
      <c r="AL942" s="4"/>
      <c r="AM942" s="3"/>
      <c r="AN942" s="4"/>
      <c r="AO942" s="3"/>
      <c r="AP942" s="4"/>
      <c r="AQ942" s="3"/>
      <c r="AR942" s="4"/>
      <c r="AS942" s="3"/>
      <c r="AT942" s="4"/>
      <c r="AU942" s="3"/>
      <c r="AV942" s="4"/>
      <c r="AW942" s="3"/>
      <c r="AX942" s="4"/>
      <c r="AY942" s="3"/>
      <c r="AZ942" s="4"/>
      <c r="BA942" s="3"/>
      <c r="BB942" s="4"/>
      <c r="BC942" s="3"/>
      <c r="BD942" s="4"/>
      <c r="BE942" s="3"/>
      <c r="BF942" s="4"/>
      <c r="BG942" s="3"/>
      <c r="BH942" s="4"/>
      <c r="BI942" s="3"/>
      <c r="BJ942" s="4"/>
      <c r="BK942" s="3"/>
      <c r="BL942" s="4"/>
      <c r="BM942" s="3"/>
      <c r="BN942" s="4"/>
      <c r="BO942" s="3"/>
      <c r="BP942" s="4"/>
      <c r="BQ942" s="3"/>
      <c r="BR942" s="4"/>
      <c r="BS942" s="3"/>
      <c r="BT942" s="4"/>
      <c r="BU942" s="3"/>
      <c r="BV942" s="4"/>
      <c r="BW942" s="3"/>
      <c r="BX942" s="4"/>
      <c r="BY942" s="3"/>
      <c r="BZ942" s="4"/>
      <c r="CA942" s="3"/>
      <c r="CB942" s="4"/>
      <c r="CC942" s="3"/>
      <c r="CD942" s="4"/>
    </row>
    <row r="943">
      <c r="A943" s="3"/>
      <c r="B943" s="4"/>
      <c r="C943" s="3"/>
      <c r="D943" s="4"/>
      <c r="E943" s="3"/>
      <c r="F943" s="4"/>
      <c r="G943" s="3"/>
      <c r="H943" s="4"/>
      <c r="I943" s="3"/>
      <c r="J943" s="4"/>
      <c r="K943" s="3"/>
      <c r="L943" s="4"/>
      <c r="M943" s="3"/>
      <c r="N943" s="4"/>
      <c r="O943" s="3"/>
      <c r="P943" s="4"/>
      <c r="Q943" s="3"/>
      <c r="R943" s="4"/>
      <c r="S943" s="3"/>
      <c r="T943" s="4"/>
      <c r="U943" s="3"/>
      <c r="V943" s="4"/>
      <c r="W943" s="3"/>
      <c r="X943" s="4"/>
      <c r="Y943" s="3"/>
      <c r="Z943" s="4"/>
      <c r="AA943" s="3"/>
      <c r="AB943" s="4"/>
      <c r="AC943" s="3"/>
      <c r="AD943" s="4"/>
      <c r="AE943" s="3"/>
      <c r="AF943" s="4"/>
      <c r="AG943" s="3"/>
      <c r="AH943" s="4"/>
      <c r="AI943" s="3"/>
      <c r="AJ943" s="4"/>
      <c r="AK943" s="3"/>
      <c r="AL943" s="4"/>
      <c r="AM943" s="3"/>
      <c r="AN943" s="4"/>
      <c r="AO943" s="3"/>
      <c r="AP943" s="4"/>
      <c r="AQ943" s="3"/>
      <c r="AR943" s="4"/>
      <c r="AS943" s="3"/>
      <c r="AT943" s="4"/>
      <c r="AU943" s="3"/>
      <c r="AV943" s="4"/>
      <c r="AW943" s="3"/>
      <c r="AX943" s="4"/>
      <c r="AY943" s="3"/>
      <c r="AZ943" s="4"/>
      <c r="BA943" s="3"/>
      <c r="BB943" s="4"/>
      <c r="BC943" s="3"/>
      <c r="BD943" s="4"/>
      <c r="BE943" s="3"/>
      <c r="BF943" s="4"/>
      <c r="BG943" s="3"/>
      <c r="BH943" s="4"/>
      <c r="BI943" s="3"/>
      <c r="BJ943" s="4"/>
      <c r="BK943" s="3"/>
      <c r="BL943" s="4"/>
      <c r="BM943" s="3"/>
      <c r="BN943" s="4"/>
      <c r="BO943" s="3"/>
      <c r="BP943" s="4"/>
      <c r="BQ943" s="3"/>
      <c r="BR943" s="4"/>
      <c r="BS943" s="3"/>
      <c r="BT943" s="4"/>
      <c r="BU943" s="3"/>
      <c r="BV943" s="4"/>
      <c r="BW943" s="3"/>
      <c r="BX943" s="4"/>
      <c r="BY943" s="3"/>
      <c r="BZ943" s="4"/>
      <c r="CA943" s="3"/>
      <c r="CB943" s="4"/>
      <c r="CC943" s="3"/>
      <c r="CD943" s="4"/>
    </row>
    <row r="944">
      <c r="A944" s="3"/>
      <c r="B944" s="4"/>
      <c r="C944" s="3"/>
      <c r="D944" s="4"/>
      <c r="E944" s="3"/>
      <c r="F944" s="4"/>
      <c r="G944" s="3"/>
      <c r="H944" s="4"/>
      <c r="I944" s="3"/>
      <c r="J944" s="4"/>
      <c r="K944" s="3"/>
      <c r="L944" s="4"/>
      <c r="M944" s="3"/>
      <c r="N944" s="4"/>
      <c r="O944" s="3"/>
      <c r="P944" s="4"/>
      <c r="Q944" s="3"/>
      <c r="R944" s="4"/>
      <c r="S944" s="3"/>
      <c r="T944" s="4"/>
      <c r="U944" s="3"/>
      <c r="V944" s="4"/>
      <c r="W944" s="3"/>
      <c r="X944" s="4"/>
      <c r="Y944" s="3"/>
      <c r="Z944" s="4"/>
      <c r="AA944" s="3"/>
      <c r="AB944" s="4"/>
      <c r="AC944" s="3"/>
      <c r="AD944" s="4"/>
      <c r="AE944" s="3"/>
      <c r="AF944" s="4"/>
      <c r="AG944" s="3"/>
      <c r="AH944" s="4"/>
      <c r="AI944" s="3"/>
      <c r="AJ944" s="4"/>
      <c r="AK944" s="3"/>
      <c r="AL944" s="4"/>
      <c r="AM944" s="3"/>
      <c r="AN944" s="4"/>
      <c r="AO944" s="3"/>
      <c r="AP944" s="4"/>
      <c r="AQ944" s="3"/>
      <c r="AR944" s="4"/>
      <c r="AS944" s="3"/>
      <c r="AT944" s="4"/>
      <c r="AU944" s="3"/>
      <c r="AV944" s="4"/>
      <c r="AW944" s="3"/>
      <c r="AX944" s="4"/>
      <c r="AY944" s="3"/>
      <c r="AZ944" s="4"/>
      <c r="BA944" s="3"/>
      <c r="BB944" s="4"/>
      <c r="BC944" s="3"/>
      <c r="BD944" s="4"/>
      <c r="BE944" s="3"/>
      <c r="BF944" s="4"/>
      <c r="BG944" s="3"/>
      <c r="BH944" s="4"/>
      <c r="BI944" s="3"/>
      <c r="BJ944" s="4"/>
      <c r="BK944" s="3"/>
      <c r="BL944" s="4"/>
      <c r="BM944" s="3"/>
      <c r="BN944" s="4"/>
      <c r="BO944" s="3"/>
      <c r="BP944" s="4"/>
      <c r="BQ944" s="3"/>
      <c r="BR944" s="4"/>
      <c r="BS944" s="3"/>
      <c r="BT944" s="4"/>
      <c r="BU944" s="3"/>
      <c r="BV944" s="4"/>
      <c r="BW944" s="3"/>
      <c r="BX944" s="4"/>
      <c r="BY944" s="3"/>
      <c r="BZ944" s="4"/>
      <c r="CA944" s="3"/>
      <c r="CB944" s="4"/>
      <c r="CC944" s="3"/>
      <c r="CD944" s="4"/>
    </row>
    <row r="945">
      <c r="A945" s="3"/>
      <c r="B945" s="4"/>
      <c r="C945" s="3"/>
      <c r="D945" s="4"/>
      <c r="E945" s="3"/>
      <c r="F945" s="4"/>
      <c r="G945" s="3"/>
      <c r="H945" s="4"/>
      <c r="I945" s="3"/>
      <c r="J945" s="4"/>
      <c r="K945" s="3"/>
      <c r="L945" s="4"/>
      <c r="M945" s="3"/>
      <c r="N945" s="4"/>
      <c r="O945" s="3"/>
      <c r="P945" s="4"/>
      <c r="Q945" s="3"/>
      <c r="R945" s="4"/>
      <c r="S945" s="3"/>
      <c r="T945" s="4"/>
      <c r="U945" s="3"/>
      <c r="V945" s="4"/>
      <c r="W945" s="3"/>
      <c r="X945" s="4"/>
      <c r="Y945" s="3"/>
      <c r="Z945" s="4"/>
      <c r="AA945" s="3"/>
      <c r="AB945" s="4"/>
      <c r="AC945" s="3"/>
      <c r="AD945" s="4"/>
      <c r="AE945" s="3"/>
      <c r="AF945" s="4"/>
      <c r="AG945" s="3"/>
      <c r="AH945" s="4"/>
      <c r="AI945" s="3"/>
      <c r="AJ945" s="4"/>
      <c r="AK945" s="3"/>
      <c r="AL945" s="4"/>
      <c r="AM945" s="3"/>
      <c r="AN945" s="4"/>
      <c r="AO945" s="3"/>
      <c r="AP945" s="4"/>
      <c r="AQ945" s="3"/>
      <c r="AR945" s="4"/>
      <c r="AS945" s="3"/>
      <c r="AT945" s="4"/>
      <c r="AU945" s="3"/>
      <c r="AV945" s="4"/>
      <c r="AW945" s="3"/>
      <c r="AX945" s="4"/>
      <c r="AY945" s="3"/>
      <c r="AZ945" s="4"/>
      <c r="BA945" s="3"/>
      <c r="BB945" s="4"/>
      <c r="BC945" s="3"/>
      <c r="BD945" s="4"/>
      <c r="BE945" s="3"/>
      <c r="BF945" s="4"/>
      <c r="BG945" s="3"/>
      <c r="BH945" s="4"/>
      <c r="BI945" s="3"/>
      <c r="BJ945" s="4"/>
      <c r="BK945" s="3"/>
      <c r="BL945" s="4"/>
      <c r="BM945" s="3"/>
      <c r="BN945" s="4"/>
      <c r="BO945" s="3"/>
      <c r="BP945" s="4"/>
      <c r="BQ945" s="3"/>
      <c r="BR945" s="4"/>
      <c r="BS945" s="3"/>
      <c r="BT945" s="4"/>
      <c r="BU945" s="3"/>
      <c r="BV945" s="4"/>
      <c r="BW945" s="3"/>
      <c r="BX945" s="4"/>
      <c r="BY945" s="3"/>
      <c r="BZ945" s="4"/>
      <c r="CA945" s="3"/>
      <c r="CB945" s="4"/>
      <c r="CC945" s="3"/>
      <c r="CD945" s="4"/>
    </row>
    <row r="946">
      <c r="A946" s="3"/>
      <c r="B946" s="4"/>
      <c r="C946" s="3"/>
      <c r="D946" s="4"/>
      <c r="E946" s="3"/>
      <c r="F946" s="4"/>
      <c r="G946" s="3"/>
      <c r="H946" s="4"/>
      <c r="I946" s="3"/>
      <c r="J946" s="4"/>
      <c r="K946" s="3"/>
      <c r="L946" s="4"/>
      <c r="M946" s="3"/>
      <c r="N946" s="4"/>
      <c r="O946" s="3"/>
      <c r="P946" s="4"/>
      <c r="Q946" s="3"/>
      <c r="R946" s="4"/>
      <c r="S946" s="3"/>
      <c r="T946" s="4"/>
      <c r="U946" s="3"/>
      <c r="V946" s="4"/>
      <c r="W946" s="3"/>
      <c r="X946" s="4"/>
      <c r="Y946" s="3"/>
      <c r="Z946" s="4"/>
      <c r="AA946" s="3"/>
      <c r="AB946" s="4"/>
      <c r="AC946" s="3"/>
      <c r="AD946" s="4"/>
      <c r="AE946" s="3"/>
      <c r="AF946" s="4"/>
      <c r="AG946" s="3"/>
      <c r="AH946" s="4"/>
      <c r="AI946" s="3"/>
      <c r="AJ946" s="4"/>
      <c r="AK946" s="3"/>
      <c r="AL946" s="4"/>
      <c r="AM946" s="3"/>
      <c r="AN946" s="4"/>
      <c r="AO946" s="3"/>
      <c r="AP946" s="4"/>
      <c r="AQ946" s="3"/>
      <c r="AR946" s="4"/>
      <c r="AS946" s="3"/>
      <c r="AT946" s="4"/>
      <c r="AU946" s="3"/>
      <c r="AV946" s="4"/>
      <c r="AW946" s="3"/>
      <c r="AX946" s="4"/>
      <c r="AY946" s="3"/>
      <c r="AZ946" s="4"/>
      <c r="BA946" s="3"/>
      <c r="BB946" s="4"/>
      <c r="BC946" s="3"/>
      <c r="BD946" s="4"/>
      <c r="BE946" s="3"/>
      <c r="BF946" s="4"/>
      <c r="BG946" s="3"/>
      <c r="BH946" s="4"/>
      <c r="BI946" s="3"/>
      <c r="BJ946" s="4"/>
      <c r="BK946" s="3"/>
      <c r="BL946" s="4"/>
      <c r="BM946" s="3"/>
      <c r="BN946" s="4"/>
      <c r="BO946" s="3"/>
      <c r="BP946" s="4"/>
      <c r="BQ946" s="3"/>
      <c r="BR946" s="4"/>
      <c r="BS946" s="3"/>
      <c r="BT946" s="4"/>
      <c r="BU946" s="3"/>
      <c r="BV946" s="4"/>
      <c r="BW946" s="3"/>
      <c r="BX946" s="4"/>
      <c r="BY946" s="3"/>
      <c r="BZ946" s="4"/>
      <c r="CA946" s="3"/>
      <c r="CB946" s="4"/>
      <c r="CC946" s="3"/>
      <c r="CD946" s="4"/>
    </row>
    <row r="947">
      <c r="A947" s="3"/>
      <c r="B947" s="4"/>
      <c r="C947" s="3"/>
      <c r="D947" s="4"/>
      <c r="E947" s="3"/>
      <c r="F947" s="4"/>
      <c r="G947" s="3"/>
      <c r="H947" s="4"/>
      <c r="I947" s="3"/>
      <c r="J947" s="4"/>
      <c r="K947" s="3"/>
      <c r="L947" s="4"/>
      <c r="M947" s="3"/>
      <c r="N947" s="4"/>
      <c r="O947" s="3"/>
      <c r="P947" s="4"/>
      <c r="Q947" s="3"/>
      <c r="R947" s="4"/>
      <c r="S947" s="3"/>
      <c r="T947" s="4"/>
      <c r="U947" s="3"/>
      <c r="V947" s="4"/>
      <c r="W947" s="3"/>
      <c r="X947" s="4"/>
      <c r="Y947" s="3"/>
      <c r="Z947" s="4"/>
      <c r="AA947" s="3"/>
      <c r="AB947" s="4"/>
      <c r="AC947" s="3"/>
      <c r="AD947" s="4"/>
      <c r="AE947" s="3"/>
      <c r="AF947" s="4"/>
      <c r="AG947" s="3"/>
      <c r="AH947" s="4"/>
      <c r="AI947" s="3"/>
      <c r="AJ947" s="4"/>
      <c r="AK947" s="3"/>
      <c r="AL947" s="4"/>
      <c r="AM947" s="3"/>
      <c r="AN947" s="4"/>
      <c r="AO947" s="3"/>
      <c r="AP947" s="4"/>
      <c r="AQ947" s="3"/>
      <c r="AR947" s="4"/>
      <c r="AS947" s="3"/>
      <c r="AT947" s="4"/>
      <c r="AU947" s="3"/>
      <c r="AV947" s="4"/>
      <c r="AW947" s="3"/>
      <c r="AX947" s="4"/>
      <c r="AY947" s="3"/>
      <c r="AZ947" s="4"/>
      <c r="BA947" s="3"/>
      <c r="BB947" s="4"/>
      <c r="BC947" s="3"/>
      <c r="BD947" s="4"/>
      <c r="BE947" s="3"/>
      <c r="BF947" s="4"/>
      <c r="BG947" s="3"/>
      <c r="BH947" s="4"/>
      <c r="BI947" s="3"/>
      <c r="BJ947" s="4"/>
      <c r="BK947" s="3"/>
      <c r="BL947" s="4"/>
      <c r="BM947" s="3"/>
      <c r="BN947" s="4"/>
      <c r="BO947" s="3"/>
      <c r="BP947" s="4"/>
      <c r="BQ947" s="3"/>
      <c r="BR947" s="4"/>
      <c r="BS947" s="3"/>
      <c r="BT947" s="4"/>
      <c r="BU947" s="3"/>
      <c r="BV947" s="4"/>
      <c r="BW947" s="3"/>
      <c r="BX947" s="4"/>
      <c r="BY947" s="3"/>
      <c r="BZ947" s="4"/>
      <c r="CA947" s="3"/>
      <c r="CB947" s="4"/>
      <c r="CC947" s="3"/>
      <c r="CD947" s="4"/>
    </row>
    <row r="948">
      <c r="A948" s="3"/>
      <c r="B948" s="4"/>
      <c r="C948" s="3"/>
      <c r="D948" s="4"/>
      <c r="E948" s="3"/>
      <c r="F948" s="4"/>
      <c r="G948" s="3"/>
      <c r="H948" s="4"/>
      <c r="I948" s="3"/>
      <c r="J948" s="4"/>
      <c r="K948" s="3"/>
      <c r="L948" s="4"/>
      <c r="M948" s="3"/>
      <c r="N948" s="4"/>
      <c r="O948" s="3"/>
      <c r="P948" s="4"/>
      <c r="Q948" s="3"/>
      <c r="R948" s="4"/>
      <c r="S948" s="3"/>
      <c r="T948" s="4"/>
      <c r="U948" s="3"/>
      <c r="V948" s="4"/>
      <c r="W948" s="3"/>
      <c r="X948" s="4"/>
      <c r="Y948" s="3"/>
      <c r="Z948" s="4"/>
      <c r="AA948" s="3"/>
      <c r="AB948" s="4"/>
      <c r="AC948" s="3"/>
      <c r="AD948" s="4"/>
      <c r="AE948" s="3"/>
      <c r="AF948" s="4"/>
      <c r="AG948" s="3"/>
      <c r="AH948" s="4"/>
      <c r="AI948" s="3"/>
      <c r="AJ948" s="4"/>
      <c r="AK948" s="3"/>
      <c r="AL948" s="4"/>
      <c r="AM948" s="3"/>
      <c r="AN948" s="4"/>
      <c r="AO948" s="3"/>
      <c r="AP948" s="4"/>
      <c r="AQ948" s="3"/>
      <c r="AR948" s="4"/>
      <c r="AS948" s="3"/>
      <c r="AT948" s="4"/>
      <c r="AU948" s="3"/>
      <c r="AV948" s="4"/>
      <c r="AW948" s="3"/>
      <c r="AX948" s="4"/>
      <c r="AY948" s="3"/>
      <c r="AZ948" s="4"/>
      <c r="BA948" s="3"/>
      <c r="BB948" s="4"/>
      <c r="BC948" s="3"/>
      <c r="BD948" s="4"/>
      <c r="BE948" s="3"/>
      <c r="BF948" s="4"/>
      <c r="BG948" s="3"/>
      <c r="BH948" s="4"/>
      <c r="BI948" s="3"/>
      <c r="BJ948" s="4"/>
      <c r="BK948" s="3"/>
      <c r="BL948" s="4"/>
      <c r="BM948" s="3"/>
      <c r="BN948" s="4"/>
      <c r="BO948" s="3"/>
      <c r="BP948" s="4"/>
      <c r="BQ948" s="3"/>
      <c r="BR948" s="4"/>
      <c r="BS948" s="3"/>
      <c r="BT948" s="4"/>
      <c r="BU948" s="3"/>
      <c r="BV948" s="4"/>
      <c r="BW948" s="3"/>
      <c r="BX948" s="4"/>
      <c r="BY948" s="3"/>
      <c r="BZ948" s="4"/>
      <c r="CA948" s="3"/>
      <c r="CB948" s="4"/>
      <c r="CC948" s="3"/>
      <c r="CD948" s="4"/>
    </row>
    <row r="949">
      <c r="A949" s="3"/>
      <c r="B949" s="4"/>
      <c r="C949" s="3"/>
      <c r="D949" s="4"/>
      <c r="E949" s="3"/>
      <c r="F949" s="4"/>
      <c r="G949" s="3"/>
      <c r="H949" s="4"/>
      <c r="I949" s="3"/>
      <c r="J949" s="4"/>
      <c r="K949" s="3"/>
      <c r="L949" s="4"/>
      <c r="M949" s="3"/>
      <c r="N949" s="4"/>
      <c r="O949" s="3"/>
      <c r="P949" s="4"/>
      <c r="Q949" s="3"/>
      <c r="R949" s="4"/>
      <c r="S949" s="3"/>
      <c r="T949" s="4"/>
      <c r="U949" s="3"/>
      <c r="V949" s="4"/>
      <c r="W949" s="3"/>
      <c r="X949" s="4"/>
      <c r="Y949" s="3"/>
      <c r="Z949" s="4"/>
      <c r="AA949" s="3"/>
      <c r="AB949" s="4"/>
      <c r="AC949" s="3"/>
      <c r="AD949" s="4"/>
      <c r="AE949" s="3"/>
      <c r="AF949" s="4"/>
      <c r="AG949" s="3"/>
      <c r="AH949" s="4"/>
      <c r="AI949" s="3"/>
      <c r="AJ949" s="4"/>
      <c r="AK949" s="3"/>
      <c r="AL949" s="4"/>
      <c r="AM949" s="3"/>
      <c r="AN949" s="4"/>
      <c r="AO949" s="3"/>
      <c r="AP949" s="4"/>
      <c r="AQ949" s="3"/>
      <c r="AR949" s="4"/>
      <c r="AS949" s="3"/>
      <c r="AT949" s="4"/>
      <c r="AU949" s="3"/>
      <c r="AV949" s="4"/>
      <c r="AW949" s="3"/>
      <c r="AX949" s="4"/>
      <c r="AY949" s="3"/>
      <c r="AZ949" s="4"/>
      <c r="BA949" s="3"/>
      <c r="BB949" s="4"/>
      <c r="BC949" s="3"/>
      <c r="BD949" s="4"/>
      <c r="BE949" s="3"/>
      <c r="BF949" s="4"/>
      <c r="BG949" s="3"/>
      <c r="BH949" s="4"/>
      <c r="BI949" s="3"/>
      <c r="BJ949" s="4"/>
      <c r="BK949" s="3"/>
      <c r="BL949" s="4"/>
      <c r="BM949" s="3"/>
      <c r="BN949" s="4"/>
      <c r="BO949" s="3"/>
      <c r="BP949" s="4"/>
      <c r="BQ949" s="3"/>
      <c r="BR949" s="4"/>
      <c r="BS949" s="3"/>
      <c r="BT949" s="4"/>
      <c r="BU949" s="3"/>
      <c r="BV949" s="4"/>
      <c r="BW949" s="3"/>
      <c r="BX949" s="4"/>
      <c r="BY949" s="3"/>
      <c r="BZ949" s="4"/>
      <c r="CA949" s="3"/>
      <c r="CB949" s="4"/>
      <c r="CC949" s="3"/>
      <c r="CD949" s="4"/>
    </row>
    <row r="950">
      <c r="A950" s="3"/>
      <c r="B950" s="4"/>
      <c r="C950" s="3"/>
      <c r="D950" s="4"/>
      <c r="E950" s="3"/>
      <c r="F950" s="4"/>
      <c r="G950" s="3"/>
      <c r="H950" s="4"/>
      <c r="I950" s="3"/>
      <c r="J950" s="4"/>
      <c r="K950" s="3"/>
      <c r="L950" s="4"/>
      <c r="M950" s="3"/>
      <c r="N950" s="4"/>
      <c r="O950" s="3"/>
      <c r="P950" s="4"/>
      <c r="Q950" s="3"/>
      <c r="R950" s="4"/>
      <c r="S950" s="3"/>
      <c r="T950" s="4"/>
      <c r="U950" s="3"/>
      <c r="V950" s="4"/>
      <c r="W950" s="3"/>
      <c r="X950" s="4"/>
      <c r="Y950" s="3"/>
      <c r="Z950" s="4"/>
      <c r="AA950" s="3"/>
      <c r="AB950" s="4"/>
      <c r="AC950" s="3"/>
      <c r="AD950" s="4"/>
      <c r="AE950" s="3"/>
      <c r="AF950" s="4"/>
      <c r="AG950" s="3"/>
      <c r="AH950" s="4"/>
      <c r="AI950" s="3"/>
      <c r="AJ950" s="4"/>
      <c r="AK950" s="3"/>
      <c r="AL950" s="4"/>
      <c r="AM950" s="3"/>
      <c r="AN950" s="4"/>
      <c r="AO950" s="3"/>
      <c r="AP950" s="4"/>
      <c r="AQ950" s="3"/>
      <c r="AR950" s="4"/>
      <c r="AS950" s="3"/>
      <c r="AT950" s="4"/>
      <c r="AU950" s="3"/>
      <c r="AV950" s="4"/>
      <c r="AW950" s="3"/>
      <c r="AX950" s="4"/>
      <c r="AY950" s="3"/>
      <c r="AZ950" s="4"/>
      <c r="BA950" s="3"/>
      <c r="BB950" s="4"/>
      <c r="BC950" s="3"/>
      <c r="BD950" s="4"/>
      <c r="BE950" s="3"/>
      <c r="BF950" s="4"/>
      <c r="BG950" s="3"/>
      <c r="BH950" s="4"/>
      <c r="BI950" s="3"/>
      <c r="BJ950" s="4"/>
      <c r="BK950" s="3"/>
      <c r="BL950" s="4"/>
      <c r="BM950" s="3"/>
      <c r="BN950" s="4"/>
      <c r="BO950" s="3"/>
      <c r="BP950" s="4"/>
      <c r="BQ950" s="3"/>
      <c r="BR950" s="4"/>
      <c r="BS950" s="3"/>
      <c r="BT950" s="4"/>
      <c r="BU950" s="3"/>
      <c r="BV950" s="4"/>
      <c r="BW950" s="3"/>
      <c r="BX950" s="4"/>
      <c r="BY950" s="3"/>
      <c r="BZ950" s="4"/>
      <c r="CA950" s="3"/>
      <c r="CB950" s="4"/>
      <c r="CC950" s="3"/>
      <c r="CD950" s="4"/>
    </row>
    <row r="951">
      <c r="A951" s="3"/>
      <c r="B951" s="4"/>
      <c r="C951" s="3"/>
      <c r="D951" s="4"/>
      <c r="E951" s="3"/>
      <c r="F951" s="4"/>
      <c r="G951" s="3"/>
      <c r="H951" s="4"/>
      <c r="I951" s="3"/>
      <c r="J951" s="4"/>
      <c r="K951" s="3"/>
      <c r="L951" s="4"/>
      <c r="M951" s="3"/>
      <c r="N951" s="4"/>
      <c r="O951" s="3"/>
      <c r="P951" s="4"/>
      <c r="Q951" s="3"/>
      <c r="R951" s="4"/>
      <c r="S951" s="3"/>
      <c r="T951" s="4"/>
      <c r="U951" s="3"/>
      <c r="V951" s="4"/>
      <c r="W951" s="3"/>
      <c r="X951" s="4"/>
      <c r="Y951" s="3"/>
      <c r="Z951" s="4"/>
      <c r="AA951" s="3"/>
      <c r="AB951" s="4"/>
      <c r="AC951" s="3"/>
      <c r="AD951" s="4"/>
      <c r="AE951" s="3"/>
      <c r="AF951" s="4"/>
      <c r="AG951" s="3"/>
      <c r="AH951" s="4"/>
      <c r="AI951" s="3"/>
      <c r="AJ951" s="4"/>
      <c r="AK951" s="3"/>
      <c r="AL951" s="4"/>
      <c r="AM951" s="3"/>
      <c r="AN951" s="4"/>
      <c r="AO951" s="3"/>
      <c r="AP951" s="4"/>
      <c r="AQ951" s="3"/>
      <c r="AR951" s="4"/>
      <c r="AS951" s="3"/>
      <c r="AT951" s="4"/>
      <c r="AU951" s="3"/>
      <c r="AV951" s="4"/>
      <c r="AW951" s="3"/>
      <c r="AX951" s="4"/>
      <c r="AY951" s="3"/>
      <c r="AZ951" s="4"/>
      <c r="BA951" s="3"/>
      <c r="BB951" s="4"/>
      <c r="BC951" s="3"/>
      <c r="BD951" s="4"/>
      <c r="BE951" s="3"/>
      <c r="BF951" s="4"/>
      <c r="BG951" s="3"/>
      <c r="BH951" s="4"/>
      <c r="BI951" s="3"/>
      <c r="BJ951" s="4"/>
      <c r="BK951" s="3"/>
      <c r="BL951" s="4"/>
      <c r="BM951" s="3"/>
      <c r="BN951" s="4"/>
      <c r="BO951" s="3"/>
      <c r="BP951" s="4"/>
      <c r="BQ951" s="3"/>
      <c r="BR951" s="4"/>
      <c r="BS951" s="3"/>
      <c r="BT951" s="4"/>
      <c r="BU951" s="3"/>
      <c r="BV951" s="4"/>
      <c r="BW951" s="3"/>
      <c r="BX951" s="4"/>
      <c r="BY951" s="3"/>
      <c r="BZ951" s="4"/>
      <c r="CA951" s="3"/>
      <c r="CB951" s="4"/>
      <c r="CC951" s="3"/>
      <c r="CD951" s="4"/>
    </row>
    <row r="952">
      <c r="A952" s="3"/>
      <c r="B952" s="4"/>
      <c r="C952" s="3"/>
      <c r="D952" s="4"/>
      <c r="E952" s="3"/>
      <c r="F952" s="4"/>
      <c r="G952" s="3"/>
      <c r="H952" s="4"/>
      <c r="I952" s="3"/>
      <c r="J952" s="4"/>
      <c r="K952" s="3"/>
      <c r="L952" s="4"/>
      <c r="M952" s="3"/>
      <c r="N952" s="4"/>
      <c r="O952" s="3"/>
      <c r="P952" s="4"/>
      <c r="Q952" s="3"/>
      <c r="R952" s="4"/>
      <c r="S952" s="3"/>
      <c r="T952" s="4"/>
      <c r="U952" s="3"/>
      <c r="V952" s="4"/>
      <c r="W952" s="3"/>
      <c r="X952" s="4"/>
      <c r="Y952" s="3"/>
      <c r="Z952" s="4"/>
      <c r="AA952" s="3"/>
      <c r="AB952" s="4"/>
      <c r="AC952" s="3"/>
      <c r="AD952" s="4"/>
      <c r="AE952" s="3"/>
      <c r="AF952" s="4"/>
      <c r="AG952" s="3"/>
      <c r="AH952" s="4"/>
      <c r="AI952" s="3"/>
      <c r="AJ952" s="4"/>
      <c r="AK952" s="3"/>
      <c r="AL952" s="4"/>
      <c r="AM952" s="3"/>
      <c r="AN952" s="4"/>
      <c r="AO952" s="3"/>
      <c r="AP952" s="4"/>
      <c r="AQ952" s="3"/>
      <c r="AR952" s="4"/>
      <c r="AS952" s="3"/>
      <c r="AT952" s="4"/>
      <c r="AU952" s="3"/>
      <c r="AV952" s="4"/>
      <c r="AW952" s="3"/>
      <c r="AX952" s="4"/>
      <c r="AY952" s="3"/>
      <c r="AZ952" s="4"/>
      <c r="BA952" s="3"/>
      <c r="BB952" s="4"/>
      <c r="BC952" s="3"/>
      <c r="BD952" s="4"/>
      <c r="BE952" s="3"/>
      <c r="BF952" s="4"/>
      <c r="BG952" s="3"/>
      <c r="BH952" s="4"/>
      <c r="BI952" s="3"/>
      <c r="BJ952" s="4"/>
      <c r="BK952" s="3"/>
      <c r="BL952" s="4"/>
      <c r="BM952" s="3"/>
      <c r="BN952" s="4"/>
      <c r="BO952" s="3"/>
      <c r="BP952" s="4"/>
      <c r="BQ952" s="3"/>
      <c r="BR952" s="4"/>
      <c r="BS952" s="3"/>
      <c r="BT952" s="4"/>
      <c r="BU952" s="3"/>
      <c r="BV952" s="4"/>
      <c r="BW952" s="3"/>
      <c r="BX952" s="4"/>
      <c r="BY952" s="3"/>
      <c r="BZ952" s="4"/>
      <c r="CA952" s="3"/>
      <c r="CB952" s="4"/>
      <c r="CC952" s="3"/>
      <c r="CD952" s="4"/>
    </row>
    <row r="953">
      <c r="A953" s="3"/>
      <c r="B953" s="4"/>
      <c r="C953" s="3"/>
      <c r="D953" s="4"/>
      <c r="E953" s="3"/>
      <c r="F953" s="4"/>
      <c r="G953" s="3"/>
      <c r="H953" s="4"/>
      <c r="I953" s="3"/>
      <c r="J953" s="4"/>
      <c r="K953" s="3"/>
      <c r="L953" s="4"/>
      <c r="M953" s="3"/>
      <c r="N953" s="4"/>
      <c r="O953" s="3"/>
      <c r="P953" s="4"/>
      <c r="Q953" s="3"/>
      <c r="R953" s="4"/>
      <c r="S953" s="3"/>
      <c r="T953" s="4"/>
      <c r="U953" s="3"/>
      <c r="V953" s="4"/>
      <c r="W953" s="3"/>
      <c r="X953" s="4"/>
      <c r="Y953" s="3"/>
      <c r="Z953" s="4"/>
      <c r="AA953" s="3"/>
      <c r="AB953" s="4"/>
      <c r="AC953" s="3"/>
      <c r="AD953" s="4"/>
      <c r="AE953" s="3"/>
      <c r="AF953" s="4"/>
      <c r="AG953" s="3"/>
      <c r="AH953" s="4"/>
      <c r="AI953" s="3"/>
      <c r="AJ953" s="4"/>
      <c r="AK953" s="3"/>
      <c r="AL953" s="4"/>
      <c r="AM953" s="3"/>
      <c r="AN953" s="4"/>
      <c r="AO953" s="3"/>
      <c r="AP953" s="4"/>
      <c r="AQ953" s="3"/>
      <c r="AR953" s="4"/>
      <c r="AS953" s="3"/>
      <c r="AT953" s="4"/>
      <c r="AU953" s="3"/>
      <c r="AV953" s="4"/>
      <c r="AW953" s="3"/>
      <c r="AX953" s="4"/>
      <c r="AY953" s="3"/>
      <c r="AZ953" s="4"/>
      <c r="BA953" s="3"/>
      <c r="BB953" s="4"/>
      <c r="BC953" s="3"/>
      <c r="BD953" s="4"/>
      <c r="BE953" s="3"/>
      <c r="BF953" s="4"/>
      <c r="BG953" s="3"/>
      <c r="BH953" s="4"/>
      <c r="BI953" s="3"/>
      <c r="BJ953" s="4"/>
      <c r="BK953" s="3"/>
      <c r="BL953" s="4"/>
      <c r="BM953" s="3"/>
      <c r="BN953" s="4"/>
      <c r="BO953" s="3"/>
      <c r="BP953" s="4"/>
      <c r="BQ953" s="3"/>
      <c r="BR953" s="4"/>
      <c r="BS953" s="3"/>
      <c r="BT953" s="4"/>
      <c r="BU953" s="3"/>
      <c r="BV953" s="4"/>
      <c r="BW953" s="3"/>
      <c r="BX953" s="4"/>
      <c r="BY953" s="3"/>
      <c r="BZ953" s="4"/>
      <c r="CA953" s="3"/>
      <c r="CB953" s="4"/>
      <c r="CC953" s="3"/>
      <c r="CD953" s="4"/>
    </row>
    <row r="954">
      <c r="A954" s="3"/>
      <c r="B954" s="4"/>
      <c r="C954" s="3"/>
      <c r="D954" s="4"/>
      <c r="E954" s="3"/>
      <c r="F954" s="4"/>
      <c r="G954" s="3"/>
      <c r="H954" s="4"/>
      <c r="I954" s="3"/>
      <c r="J954" s="4"/>
      <c r="K954" s="3"/>
      <c r="L954" s="4"/>
      <c r="M954" s="3"/>
      <c r="N954" s="4"/>
      <c r="O954" s="3"/>
      <c r="P954" s="4"/>
      <c r="Q954" s="3"/>
      <c r="R954" s="4"/>
      <c r="S954" s="3"/>
      <c r="T954" s="4"/>
      <c r="U954" s="3"/>
      <c r="V954" s="4"/>
      <c r="W954" s="3"/>
      <c r="X954" s="4"/>
      <c r="Y954" s="3"/>
      <c r="Z954" s="4"/>
      <c r="AA954" s="3"/>
      <c r="AB954" s="4"/>
      <c r="AC954" s="3"/>
      <c r="AD954" s="4"/>
      <c r="AE954" s="3"/>
      <c r="AF954" s="4"/>
      <c r="AG954" s="3"/>
      <c r="AH954" s="4"/>
      <c r="AI954" s="3"/>
      <c r="AJ954" s="4"/>
      <c r="AK954" s="3"/>
      <c r="AL954" s="4"/>
      <c r="AM954" s="3"/>
      <c r="AN954" s="4"/>
      <c r="AO954" s="3"/>
      <c r="AP954" s="4"/>
      <c r="AQ954" s="3"/>
      <c r="AR954" s="4"/>
      <c r="AS954" s="3"/>
      <c r="AT954" s="4"/>
      <c r="AU954" s="3"/>
      <c r="AV954" s="4"/>
      <c r="AW954" s="3"/>
      <c r="AX954" s="4"/>
      <c r="AY954" s="3"/>
      <c r="AZ954" s="4"/>
      <c r="BA954" s="3"/>
      <c r="BB954" s="4"/>
      <c r="BC954" s="3"/>
      <c r="BD954" s="4"/>
      <c r="BE954" s="3"/>
      <c r="BF954" s="4"/>
      <c r="BG954" s="3"/>
      <c r="BH954" s="4"/>
      <c r="BI954" s="3"/>
      <c r="BJ954" s="4"/>
      <c r="BK954" s="3"/>
      <c r="BL954" s="4"/>
      <c r="BM954" s="3"/>
      <c r="BN954" s="4"/>
      <c r="BO954" s="3"/>
      <c r="BP954" s="4"/>
      <c r="BQ954" s="3"/>
      <c r="BR954" s="4"/>
      <c r="BS954" s="3"/>
      <c r="BT954" s="4"/>
      <c r="BU954" s="3"/>
      <c r="BV954" s="4"/>
      <c r="BW954" s="3"/>
      <c r="BX954" s="4"/>
      <c r="BY954" s="3"/>
      <c r="BZ954" s="4"/>
      <c r="CA954" s="3"/>
      <c r="CB954" s="4"/>
      <c r="CC954" s="3"/>
      <c r="CD954" s="4"/>
    </row>
    <row r="955">
      <c r="A955" s="3"/>
      <c r="B955" s="4"/>
      <c r="C955" s="3"/>
      <c r="D955" s="4"/>
      <c r="E955" s="3"/>
      <c r="F955" s="4"/>
      <c r="G955" s="3"/>
      <c r="H955" s="4"/>
      <c r="I955" s="3"/>
      <c r="J955" s="4"/>
      <c r="K955" s="3"/>
      <c r="L955" s="4"/>
      <c r="M955" s="3"/>
      <c r="N955" s="4"/>
      <c r="O955" s="3"/>
      <c r="P955" s="4"/>
      <c r="Q955" s="3"/>
      <c r="R955" s="4"/>
      <c r="S955" s="3"/>
      <c r="T955" s="4"/>
      <c r="U955" s="3"/>
      <c r="V955" s="4"/>
      <c r="W955" s="3"/>
      <c r="X955" s="4"/>
      <c r="Y955" s="3"/>
      <c r="Z955" s="4"/>
      <c r="AA955" s="3"/>
      <c r="AB955" s="4"/>
      <c r="AC955" s="3"/>
      <c r="AD955" s="4"/>
      <c r="AE955" s="3"/>
      <c r="AF955" s="4"/>
      <c r="AG955" s="3"/>
      <c r="AH955" s="4"/>
      <c r="AI955" s="3"/>
      <c r="AJ955" s="4"/>
      <c r="AK955" s="3"/>
      <c r="AL955" s="4"/>
      <c r="AM955" s="3"/>
      <c r="AN955" s="4"/>
      <c r="AO955" s="3"/>
      <c r="AP955" s="4"/>
      <c r="AQ955" s="3"/>
      <c r="AR955" s="4"/>
      <c r="AS955" s="3"/>
      <c r="AT955" s="4"/>
      <c r="AU955" s="3"/>
      <c r="AV955" s="4"/>
      <c r="AW955" s="3"/>
      <c r="AX955" s="4"/>
      <c r="AY955" s="3"/>
      <c r="AZ955" s="4"/>
      <c r="BA955" s="3"/>
      <c r="BB955" s="4"/>
      <c r="BC955" s="3"/>
      <c r="BD955" s="4"/>
      <c r="BE955" s="3"/>
      <c r="BF955" s="4"/>
      <c r="BG955" s="3"/>
      <c r="BH955" s="4"/>
      <c r="BI955" s="3"/>
      <c r="BJ955" s="4"/>
      <c r="BK955" s="3"/>
      <c r="BL955" s="4"/>
      <c r="BM955" s="3"/>
      <c r="BN955" s="4"/>
      <c r="BO955" s="3"/>
      <c r="BP955" s="4"/>
      <c r="BQ955" s="3"/>
      <c r="BR955" s="4"/>
      <c r="BS955" s="3"/>
      <c r="BT955" s="4"/>
      <c r="BU955" s="3"/>
      <c r="BV955" s="4"/>
      <c r="BW955" s="3"/>
      <c r="BX955" s="4"/>
      <c r="BY955" s="3"/>
      <c r="BZ955" s="4"/>
      <c r="CA955" s="3"/>
      <c r="CB955" s="4"/>
      <c r="CC955" s="3"/>
      <c r="CD955" s="4"/>
    </row>
    <row r="956">
      <c r="A956" s="3"/>
      <c r="B956" s="4"/>
      <c r="C956" s="3"/>
      <c r="D956" s="4"/>
      <c r="E956" s="3"/>
      <c r="F956" s="4"/>
      <c r="G956" s="3"/>
      <c r="H956" s="4"/>
      <c r="I956" s="3"/>
      <c r="J956" s="4"/>
      <c r="K956" s="3"/>
      <c r="L956" s="4"/>
      <c r="M956" s="3"/>
      <c r="N956" s="4"/>
      <c r="O956" s="3"/>
      <c r="P956" s="4"/>
      <c r="Q956" s="3"/>
      <c r="R956" s="4"/>
      <c r="S956" s="3"/>
      <c r="T956" s="4"/>
      <c r="U956" s="3"/>
      <c r="V956" s="4"/>
      <c r="W956" s="3"/>
      <c r="X956" s="4"/>
      <c r="Y956" s="3"/>
      <c r="Z956" s="4"/>
      <c r="AA956" s="3"/>
      <c r="AB956" s="4"/>
      <c r="AC956" s="3"/>
      <c r="AD956" s="4"/>
      <c r="AE956" s="3"/>
      <c r="AF956" s="4"/>
      <c r="AG956" s="3"/>
      <c r="AH956" s="4"/>
      <c r="AI956" s="3"/>
      <c r="AJ956" s="4"/>
      <c r="AK956" s="3"/>
      <c r="AL956" s="4"/>
      <c r="AM956" s="3"/>
      <c r="AN956" s="4"/>
      <c r="AO956" s="3"/>
      <c r="AP956" s="4"/>
      <c r="AQ956" s="3"/>
      <c r="AR956" s="4"/>
      <c r="AS956" s="3"/>
      <c r="AT956" s="4"/>
      <c r="AU956" s="3"/>
      <c r="AV956" s="4"/>
      <c r="AW956" s="3"/>
      <c r="AX956" s="4"/>
      <c r="AY956" s="3"/>
      <c r="AZ956" s="4"/>
      <c r="BA956" s="3"/>
      <c r="BB956" s="4"/>
      <c r="BC956" s="3"/>
      <c r="BD956" s="4"/>
      <c r="BE956" s="3"/>
      <c r="BF956" s="4"/>
      <c r="BG956" s="3"/>
      <c r="BH956" s="4"/>
      <c r="BI956" s="3"/>
      <c r="BJ956" s="4"/>
      <c r="BK956" s="3"/>
      <c r="BL956" s="4"/>
      <c r="BM956" s="3"/>
      <c r="BN956" s="4"/>
      <c r="BO956" s="3"/>
      <c r="BP956" s="4"/>
      <c r="BQ956" s="3"/>
      <c r="BR956" s="4"/>
      <c r="BS956" s="3"/>
      <c r="BT956" s="4"/>
      <c r="BU956" s="3"/>
      <c r="BV956" s="4"/>
      <c r="BW956" s="3"/>
      <c r="BX956" s="4"/>
      <c r="BY956" s="3"/>
      <c r="BZ956" s="4"/>
      <c r="CA956" s="3"/>
      <c r="CB956" s="4"/>
      <c r="CC956" s="3"/>
      <c r="CD956" s="4"/>
    </row>
    <row r="957">
      <c r="A957" s="3"/>
      <c r="B957" s="4"/>
      <c r="C957" s="3"/>
      <c r="D957" s="4"/>
      <c r="E957" s="3"/>
      <c r="F957" s="4"/>
      <c r="G957" s="3"/>
      <c r="H957" s="4"/>
      <c r="I957" s="3"/>
      <c r="J957" s="4"/>
      <c r="K957" s="3"/>
      <c r="L957" s="4"/>
      <c r="M957" s="3"/>
      <c r="N957" s="4"/>
      <c r="O957" s="3"/>
      <c r="P957" s="4"/>
      <c r="Q957" s="3"/>
      <c r="R957" s="4"/>
      <c r="S957" s="3"/>
      <c r="T957" s="4"/>
      <c r="U957" s="3"/>
      <c r="V957" s="4"/>
      <c r="W957" s="3"/>
      <c r="X957" s="4"/>
      <c r="Y957" s="3"/>
      <c r="Z957" s="4"/>
      <c r="AA957" s="3"/>
      <c r="AB957" s="4"/>
      <c r="AC957" s="3"/>
      <c r="AD957" s="4"/>
      <c r="AE957" s="3"/>
      <c r="AF957" s="4"/>
      <c r="AG957" s="3"/>
      <c r="AH957" s="4"/>
      <c r="AI957" s="3"/>
      <c r="AJ957" s="4"/>
      <c r="AK957" s="3"/>
      <c r="AL957" s="4"/>
      <c r="AM957" s="3"/>
      <c r="AN957" s="4"/>
      <c r="AO957" s="3"/>
      <c r="AP957" s="4"/>
      <c r="AQ957" s="3"/>
      <c r="AR957" s="4"/>
      <c r="AS957" s="3"/>
      <c r="AT957" s="4"/>
      <c r="AU957" s="3"/>
      <c r="AV957" s="4"/>
      <c r="AW957" s="3"/>
      <c r="AX957" s="4"/>
      <c r="AY957" s="3"/>
      <c r="AZ957" s="4"/>
      <c r="BA957" s="3"/>
      <c r="BB957" s="4"/>
      <c r="BC957" s="3"/>
      <c r="BD957" s="4"/>
      <c r="BE957" s="3"/>
      <c r="BF957" s="4"/>
      <c r="BG957" s="3"/>
      <c r="BH957" s="4"/>
      <c r="BI957" s="3"/>
      <c r="BJ957" s="4"/>
      <c r="BK957" s="3"/>
      <c r="BL957" s="4"/>
      <c r="BM957" s="3"/>
      <c r="BN957" s="4"/>
      <c r="BO957" s="3"/>
      <c r="BP957" s="4"/>
      <c r="BQ957" s="3"/>
      <c r="BR957" s="4"/>
      <c r="BS957" s="3"/>
      <c r="BT957" s="4"/>
      <c r="BU957" s="3"/>
      <c r="BV957" s="4"/>
      <c r="BW957" s="3"/>
      <c r="BX957" s="4"/>
      <c r="BY957" s="3"/>
      <c r="BZ957" s="4"/>
      <c r="CA957" s="3"/>
      <c r="CB957" s="4"/>
      <c r="CC957" s="3"/>
      <c r="CD957" s="4"/>
    </row>
    <row r="958">
      <c r="A958" s="3"/>
      <c r="B958" s="4"/>
      <c r="C958" s="3"/>
      <c r="D958" s="4"/>
      <c r="E958" s="3"/>
      <c r="F958" s="4"/>
      <c r="G958" s="3"/>
      <c r="H958" s="4"/>
      <c r="I958" s="3"/>
      <c r="J958" s="4"/>
      <c r="K958" s="3"/>
      <c r="L958" s="4"/>
      <c r="M958" s="3"/>
      <c r="N958" s="4"/>
      <c r="O958" s="3"/>
      <c r="P958" s="4"/>
      <c r="Q958" s="3"/>
      <c r="R958" s="4"/>
      <c r="S958" s="3"/>
      <c r="T958" s="4"/>
      <c r="U958" s="3"/>
      <c r="V958" s="4"/>
      <c r="W958" s="3"/>
      <c r="X958" s="4"/>
      <c r="Y958" s="3"/>
      <c r="Z958" s="4"/>
      <c r="AA958" s="3"/>
      <c r="AB958" s="4"/>
      <c r="AC958" s="3"/>
      <c r="AD958" s="4"/>
      <c r="AE958" s="3"/>
      <c r="AF958" s="4"/>
      <c r="AG958" s="3"/>
      <c r="AH958" s="4"/>
      <c r="AI958" s="3"/>
      <c r="AJ958" s="4"/>
      <c r="AK958" s="3"/>
      <c r="AL958" s="4"/>
      <c r="AM958" s="3"/>
      <c r="AN958" s="4"/>
      <c r="AO958" s="3"/>
      <c r="AP958" s="4"/>
      <c r="AQ958" s="3"/>
      <c r="AR958" s="4"/>
      <c r="AS958" s="3"/>
      <c r="AT958" s="4"/>
      <c r="AU958" s="3"/>
      <c r="AV958" s="4"/>
      <c r="AW958" s="3"/>
      <c r="AX958" s="4"/>
      <c r="AY958" s="3"/>
      <c r="AZ958" s="4"/>
      <c r="BA958" s="3"/>
      <c r="BB958" s="4"/>
      <c r="BC958" s="3"/>
      <c r="BD958" s="4"/>
      <c r="BE958" s="3"/>
      <c r="BF958" s="4"/>
      <c r="BG958" s="3"/>
      <c r="BH958" s="4"/>
      <c r="BI958" s="3"/>
      <c r="BJ958" s="4"/>
      <c r="BK958" s="3"/>
      <c r="BL958" s="4"/>
      <c r="BM958" s="3"/>
      <c r="BN958" s="4"/>
      <c r="BO958" s="3"/>
      <c r="BP958" s="4"/>
      <c r="BQ958" s="3"/>
      <c r="BR958" s="4"/>
      <c r="BS958" s="3"/>
      <c r="BT958" s="4"/>
      <c r="BU958" s="3"/>
      <c r="BV958" s="4"/>
      <c r="BW958" s="3"/>
      <c r="BX958" s="4"/>
      <c r="BY958" s="3"/>
      <c r="BZ958" s="4"/>
      <c r="CA958" s="3"/>
      <c r="CB958" s="4"/>
      <c r="CC958" s="3"/>
      <c r="CD958" s="4"/>
    </row>
    <row r="959">
      <c r="A959" s="3"/>
      <c r="B959" s="4"/>
      <c r="C959" s="3"/>
      <c r="D959" s="4"/>
      <c r="E959" s="3"/>
      <c r="F959" s="4"/>
      <c r="G959" s="3"/>
      <c r="H959" s="4"/>
      <c r="I959" s="3"/>
      <c r="J959" s="4"/>
      <c r="K959" s="3"/>
      <c r="L959" s="4"/>
      <c r="M959" s="3"/>
      <c r="N959" s="4"/>
      <c r="O959" s="3"/>
      <c r="P959" s="4"/>
      <c r="Q959" s="3"/>
      <c r="R959" s="4"/>
      <c r="S959" s="3"/>
      <c r="T959" s="4"/>
      <c r="U959" s="3"/>
      <c r="V959" s="4"/>
      <c r="W959" s="3"/>
      <c r="X959" s="4"/>
      <c r="Y959" s="3"/>
      <c r="Z959" s="4"/>
      <c r="AA959" s="3"/>
      <c r="AB959" s="4"/>
      <c r="AC959" s="3"/>
      <c r="AD959" s="4"/>
      <c r="AE959" s="3"/>
      <c r="AF959" s="4"/>
      <c r="AG959" s="3"/>
      <c r="AH959" s="4"/>
      <c r="AI959" s="3"/>
      <c r="AJ959" s="4"/>
      <c r="AK959" s="3"/>
      <c r="AL959" s="4"/>
      <c r="AM959" s="3"/>
      <c r="AN959" s="4"/>
      <c r="AO959" s="3"/>
      <c r="AP959" s="4"/>
      <c r="AQ959" s="3"/>
      <c r="AR959" s="4"/>
      <c r="AS959" s="3"/>
      <c r="AT959" s="4"/>
      <c r="AU959" s="3"/>
      <c r="AV959" s="4"/>
      <c r="AW959" s="3"/>
      <c r="AX959" s="4"/>
      <c r="AY959" s="3"/>
      <c r="AZ959" s="4"/>
      <c r="BA959" s="3"/>
      <c r="BB959" s="4"/>
      <c r="BC959" s="3"/>
      <c r="BD959" s="4"/>
      <c r="BE959" s="3"/>
      <c r="BF959" s="4"/>
      <c r="BG959" s="3"/>
      <c r="BH959" s="4"/>
      <c r="BI959" s="3"/>
      <c r="BJ959" s="4"/>
      <c r="BK959" s="3"/>
      <c r="BL959" s="4"/>
      <c r="BM959" s="3"/>
      <c r="BN959" s="4"/>
      <c r="BO959" s="3"/>
      <c r="BP959" s="4"/>
      <c r="BQ959" s="3"/>
      <c r="BR959" s="4"/>
      <c r="BS959" s="3"/>
      <c r="BT959" s="4"/>
      <c r="BU959" s="3"/>
      <c r="BV959" s="4"/>
      <c r="BW959" s="3"/>
      <c r="BX959" s="4"/>
      <c r="BY959" s="3"/>
      <c r="BZ959" s="4"/>
      <c r="CA959" s="3"/>
      <c r="CB959" s="4"/>
      <c r="CC959" s="3"/>
      <c r="CD959" s="4"/>
    </row>
    <row r="960">
      <c r="A960" s="3"/>
      <c r="B960" s="4"/>
      <c r="C960" s="3"/>
      <c r="D960" s="4"/>
      <c r="E960" s="3"/>
      <c r="F960" s="4"/>
      <c r="G960" s="3"/>
      <c r="H960" s="4"/>
      <c r="I960" s="3"/>
      <c r="J960" s="4"/>
      <c r="K960" s="3"/>
      <c r="L960" s="4"/>
      <c r="M960" s="3"/>
      <c r="N960" s="4"/>
      <c r="O960" s="3"/>
      <c r="P960" s="4"/>
      <c r="Q960" s="3"/>
      <c r="R960" s="4"/>
      <c r="S960" s="3"/>
      <c r="T960" s="4"/>
      <c r="U960" s="3"/>
      <c r="V960" s="4"/>
      <c r="W960" s="3"/>
      <c r="X960" s="4"/>
      <c r="Y960" s="3"/>
      <c r="Z960" s="4"/>
      <c r="AA960" s="3"/>
      <c r="AB960" s="4"/>
      <c r="AC960" s="3"/>
      <c r="AD960" s="4"/>
      <c r="AE960" s="3"/>
      <c r="AF960" s="4"/>
      <c r="AG960" s="3"/>
      <c r="AH960" s="4"/>
      <c r="AI960" s="3"/>
      <c r="AJ960" s="4"/>
      <c r="AK960" s="3"/>
      <c r="AL960" s="4"/>
      <c r="AM960" s="3"/>
      <c r="AN960" s="4"/>
      <c r="AO960" s="3"/>
      <c r="AP960" s="4"/>
      <c r="AQ960" s="3"/>
      <c r="AR960" s="4"/>
      <c r="AS960" s="3"/>
      <c r="AT960" s="4"/>
      <c r="AU960" s="3"/>
      <c r="AV960" s="4"/>
      <c r="AW960" s="3"/>
      <c r="AX960" s="4"/>
      <c r="AY960" s="3"/>
      <c r="AZ960" s="4"/>
      <c r="BA960" s="3"/>
      <c r="BB960" s="4"/>
      <c r="BC960" s="3"/>
      <c r="BD960" s="4"/>
      <c r="BE960" s="3"/>
      <c r="BF960" s="4"/>
      <c r="BG960" s="3"/>
      <c r="BH960" s="4"/>
      <c r="BI960" s="3"/>
      <c r="BJ960" s="4"/>
      <c r="BK960" s="3"/>
      <c r="BL960" s="4"/>
      <c r="BM960" s="3"/>
      <c r="BN960" s="4"/>
      <c r="BO960" s="3"/>
      <c r="BP960" s="4"/>
      <c r="BQ960" s="3"/>
      <c r="BR960" s="4"/>
      <c r="BS960" s="3"/>
      <c r="BT960" s="4"/>
      <c r="BU960" s="3"/>
      <c r="BV960" s="4"/>
      <c r="BW960" s="3"/>
      <c r="BX960" s="4"/>
      <c r="BY960" s="3"/>
      <c r="BZ960" s="4"/>
      <c r="CA960" s="3"/>
      <c r="CB960" s="4"/>
      <c r="CC960" s="3"/>
      <c r="CD960" s="4"/>
    </row>
    <row r="961">
      <c r="A961" s="3"/>
      <c r="B961" s="4"/>
      <c r="C961" s="3"/>
      <c r="D961" s="4"/>
      <c r="E961" s="3"/>
      <c r="F961" s="4"/>
      <c r="G961" s="3"/>
      <c r="H961" s="4"/>
      <c r="I961" s="3"/>
      <c r="J961" s="4"/>
      <c r="K961" s="3"/>
      <c r="L961" s="4"/>
      <c r="M961" s="3"/>
      <c r="N961" s="4"/>
      <c r="O961" s="3"/>
      <c r="P961" s="4"/>
      <c r="Q961" s="3"/>
      <c r="R961" s="4"/>
      <c r="S961" s="3"/>
      <c r="T961" s="4"/>
      <c r="U961" s="3"/>
      <c r="V961" s="4"/>
      <c r="W961" s="3"/>
      <c r="X961" s="4"/>
      <c r="Y961" s="3"/>
      <c r="Z961" s="4"/>
      <c r="AA961" s="3"/>
      <c r="AB961" s="4"/>
      <c r="AC961" s="3"/>
      <c r="AD961" s="4"/>
      <c r="AE961" s="3"/>
      <c r="AF961" s="4"/>
      <c r="AG961" s="3"/>
      <c r="AH961" s="4"/>
      <c r="AI961" s="3"/>
      <c r="AJ961" s="4"/>
      <c r="AK961" s="3"/>
      <c r="AL961" s="4"/>
      <c r="AM961" s="3"/>
      <c r="AN961" s="4"/>
      <c r="AO961" s="3"/>
      <c r="AP961" s="4"/>
      <c r="AQ961" s="3"/>
      <c r="AR961" s="4"/>
      <c r="AS961" s="3"/>
      <c r="AT961" s="4"/>
      <c r="AU961" s="3"/>
      <c r="AV961" s="4"/>
      <c r="AW961" s="3"/>
      <c r="AX961" s="4"/>
      <c r="AY961" s="3"/>
      <c r="AZ961" s="4"/>
      <c r="BA961" s="3"/>
      <c r="BB961" s="4"/>
      <c r="BC961" s="3"/>
      <c r="BD961" s="4"/>
      <c r="BE961" s="3"/>
      <c r="BF961" s="4"/>
      <c r="BG961" s="3"/>
      <c r="BH961" s="4"/>
      <c r="BI961" s="3"/>
      <c r="BJ961" s="4"/>
      <c r="BK961" s="3"/>
      <c r="BL961" s="4"/>
      <c r="BM961" s="3"/>
      <c r="BN961" s="4"/>
      <c r="BO961" s="3"/>
      <c r="BP961" s="4"/>
      <c r="BQ961" s="3"/>
      <c r="BR961" s="4"/>
      <c r="BS961" s="3"/>
      <c r="BT961" s="4"/>
      <c r="BU961" s="3"/>
      <c r="BV961" s="4"/>
      <c r="BW961" s="3"/>
      <c r="BX961" s="4"/>
      <c r="BY961" s="3"/>
      <c r="BZ961" s="4"/>
      <c r="CA961" s="3"/>
      <c r="CB961" s="4"/>
      <c r="CC961" s="3"/>
      <c r="CD961" s="4"/>
    </row>
    <row r="962">
      <c r="A962" s="3"/>
      <c r="B962" s="4"/>
      <c r="C962" s="3"/>
      <c r="D962" s="4"/>
      <c r="E962" s="3"/>
      <c r="F962" s="4"/>
      <c r="G962" s="3"/>
      <c r="H962" s="4"/>
      <c r="I962" s="3"/>
      <c r="J962" s="4"/>
      <c r="K962" s="3"/>
      <c r="L962" s="4"/>
      <c r="M962" s="3"/>
      <c r="N962" s="4"/>
      <c r="O962" s="3"/>
      <c r="P962" s="4"/>
      <c r="Q962" s="3"/>
      <c r="R962" s="4"/>
      <c r="S962" s="3"/>
      <c r="T962" s="4"/>
      <c r="U962" s="3"/>
      <c r="V962" s="4"/>
      <c r="W962" s="3"/>
      <c r="X962" s="4"/>
      <c r="Y962" s="3"/>
      <c r="Z962" s="4"/>
      <c r="AA962" s="3"/>
      <c r="AB962" s="4"/>
      <c r="AC962" s="3"/>
      <c r="AD962" s="4"/>
      <c r="AE962" s="3"/>
      <c r="AF962" s="4"/>
      <c r="AG962" s="3"/>
      <c r="AH962" s="4"/>
      <c r="AI962" s="3"/>
      <c r="AJ962" s="4"/>
      <c r="AK962" s="3"/>
      <c r="AL962" s="4"/>
      <c r="AM962" s="3"/>
      <c r="AN962" s="4"/>
      <c r="AO962" s="3"/>
      <c r="AP962" s="4"/>
      <c r="AQ962" s="3"/>
      <c r="AR962" s="4"/>
      <c r="AS962" s="3"/>
      <c r="AT962" s="4"/>
      <c r="AU962" s="3"/>
      <c r="AV962" s="4"/>
      <c r="AW962" s="3"/>
      <c r="AX962" s="4"/>
      <c r="AY962" s="3"/>
      <c r="AZ962" s="4"/>
      <c r="BA962" s="3"/>
      <c r="BB962" s="4"/>
      <c r="BC962" s="3"/>
      <c r="BD962" s="4"/>
      <c r="BE962" s="3"/>
      <c r="BF962" s="4"/>
      <c r="BG962" s="3"/>
      <c r="BH962" s="4"/>
      <c r="BI962" s="3"/>
      <c r="BJ962" s="4"/>
      <c r="BK962" s="3"/>
      <c r="BL962" s="4"/>
      <c r="BM962" s="3"/>
      <c r="BN962" s="4"/>
      <c r="BO962" s="3"/>
      <c r="BP962" s="4"/>
      <c r="BQ962" s="3"/>
      <c r="BR962" s="4"/>
      <c r="BS962" s="3"/>
      <c r="BT962" s="4"/>
      <c r="BU962" s="3"/>
      <c r="BV962" s="4"/>
      <c r="BW962" s="3"/>
      <c r="BX962" s="4"/>
      <c r="BY962" s="3"/>
      <c r="BZ962" s="4"/>
      <c r="CA962" s="3"/>
      <c r="CB962" s="4"/>
      <c r="CC962" s="3"/>
      <c r="CD962" s="4"/>
    </row>
    <row r="963">
      <c r="A963" s="3"/>
      <c r="B963" s="4"/>
      <c r="C963" s="3"/>
      <c r="D963" s="4"/>
      <c r="E963" s="3"/>
      <c r="F963" s="4"/>
      <c r="G963" s="3"/>
      <c r="H963" s="4"/>
      <c r="I963" s="3"/>
      <c r="J963" s="4"/>
      <c r="K963" s="3"/>
      <c r="L963" s="4"/>
      <c r="M963" s="3"/>
      <c r="N963" s="4"/>
      <c r="O963" s="3"/>
      <c r="P963" s="4"/>
      <c r="Q963" s="3"/>
      <c r="R963" s="4"/>
      <c r="S963" s="3"/>
      <c r="T963" s="4"/>
      <c r="U963" s="3"/>
      <c r="V963" s="4"/>
      <c r="W963" s="3"/>
      <c r="X963" s="4"/>
      <c r="Y963" s="3"/>
      <c r="Z963" s="4"/>
      <c r="AA963" s="3"/>
      <c r="AB963" s="4"/>
      <c r="AC963" s="3"/>
      <c r="AD963" s="4"/>
      <c r="AE963" s="3"/>
      <c r="AF963" s="4"/>
      <c r="AG963" s="3"/>
      <c r="AH963" s="4"/>
      <c r="AI963" s="3"/>
      <c r="AJ963" s="4"/>
      <c r="AK963" s="3"/>
      <c r="AL963" s="4"/>
      <c r="AM963" s="3"/>
      <c r="AN963" s="4"/>
      <c r="AO963" s="3"/>
      <c r="AP963" s="4"/>
      <c r="AQ963" s="3"/>
      <c r="AR963" s="4"/>
      <c r="AS963" s="3"/>
      <c r="AT963" s="4"/>
      <c r="AU963" s="3"/>
      <c r="AV963" s="4"/>
      <c r="AW963" s="3"/>
      <c r="AX963" s="4"/>
      <c r="AY963" s="3"/>
      <c r="AZ963" s="4"/>
      <c r="BA963" s="3"/>
      <c r="BB963" s="4"/>
      <c r="BC963" s="3"/>
      <c r="BD963" s="4"/>
      <c r="BE963" s="3"/>
      <c r="BF963" s="4"/>
      <c r="BG963" s="3"/>
      <c r="BH963" s="4"/>
      <c r="BI963" s="3"/>
      <c r="BJ963" s="4"/>
      <c r="BK963" s="3"/>
      <c r="BL963" s="4"/>
      <c r="BM963" s="3"/>
      <c r="BN963" s="4"/>
      <c r="BO963" s="3"/>
      <c r="BP963" s="4"/>
      <c r="BQ963" s="3"/>
      <c r="BR963" s="4"/>
      <c r="BS963" s="3"/>
      <c r="BT963" s="4"/>
      <c r="BU963" s="3"/>
      <c r="BV963" s="4"/>
      <c r="BW963" s="3"/>
      <c r="BX963" s="4"/>
      <c r="BY963" s="3"/>
      <c r="BZ963" s="4"/>
      <c r="CA963" s="3"/>
      <c r="CB963" s="4"/>
      <c r="CC963" s="3"/>
      <c r="CD963" s="4"/>
    </row>
    <row r="964">
      <c r="A964" s="3"/>
      <c r="B964" s="4"/>
      <c r="C964" s="3"/>
      <c r="D964" s="4"/>
      <c r="E964" s="3"/>
      <c r="F964" s="4"/>
      <c r="G964" s="3"/>
      <c r="H964" s="4"/>
      <c r="I964" s="3"/>
      <c r="J964" s="4"/>
      <c r="K964" s="3"/>
      <c r="L964" s="4"/>
      <c r="M964" s="3"/>
      <c r="N964" s="4"/>
      <c r="O964" s="3"/>
      <c r="P964" s="4"/>
      <c r="Q964" s="3"/>
      <c r="R964" s="4"/>
      <c r="S964" s="3"/>
      <c r="T964" s="4"/>
      <c r="U964" s="3"/>
      <c r="V964" s="4"/>
      <c r="W964" s="3"/>
      <c r="X964" s="4"/>
      <c r="Y964" s="3"/>
      <c r="Z964" s="4"/>
      <c r="AA964" s="3"/>
      <c r="AB964" s="4"/>
      <c r="AC964" s="3"/>
      <c r="AD964" s="4"/>
      <c r="AE964" s="3"/>
      <c r="AF964" s="4"/>
      <c r="AG964" s="3"/>
      <c r="AH964" s="4"/>
      <c r="AI964" s="3"/>
      <c r="AJ964" s="4"/>
      <c r="AK964" s="3"/>
      <c r="AL964" s="4"/>
      <c r="AM964" s="3"/>
      <c r="AN964" s="4"/>
      <c r="AO964" s="3"/>
      <c r="AP964" s="4"/>
      <c r="AQ964" s="3"/>
      <c r="AR964" s="4"/>
      <c r="AS964" s="3"/>
      <c r="AT964" s="4"/>
      <c r="AU964" s="3"/>
      <c r="AV964" s="4"/>
      <c r="AW964" s="3"/>
      <c r="AX964" s="4"/>
      <c r="AY964" s="3"/>
      <c r="AZ964" s="4"/>
      <c r="BA964" s="3"/>
      <c r="BB964" s="4"/>
      <c r="BC964" s="3"/>
      <c r="BD964" s="4"/>
      <c r="BE964" s="3"/>
      <c r="BF964" s="4"/>
      <c r="BG964" s="3"/>
      <c r="BH964" s="4"/>
      <c r="BI964" s="3"/>
      <c r="BJ964" s="4"/>
      <c r="BK964" s="3"/>
      <c r="BL964" s="4"/>
      <c r="BM964" s="3"/>
      <c r="BN964" s="4"/>
      <c r="BO964" s="3"/>
      <c r="BP964" s="4"/>
      <c r="BQ964" s="3"/>
      <c r="BR964" s="4"/>
      <c r="BS964" s="3"/>
      <c r="BT964" s="4"/>
      <c r="BU964" s="3"/>
      <c r="BV964" s="4"/>
      <c r="BW964" s="3"/>
      <c r="BX964" s="4"/>
      <c r="BY964" s="3"/>
      <c r="BZ964" s="4"/>
      <c r="CA964" s="3"/>
      <c r="CB964" s="4"/>
      <c r="CC964" s="3"/>
      <c r="CD964" s="4"/>
    </row>
    <row r="965">
      <c r="A965" s="3"/>
      <c r="B965" s="4"/>
      <c r="C965" s="3"/>
      <c r="D965" s="4"/>
      <c r="E965" s="3"/>
      <c r="F965" s="4"/>
      <c r="G965" s="3"/>
      <c r="H965" s="4"/>
      <c r="I965" s="3"/>
      <c r="J965" s="4"/>
      <c r="K965" s="3"/>
      <c r="L965" s="4"/>
      <c r="M965" s="3"/>
      <c r="N965" s="4"/>
      <c r="O965" s="3"/>
      <c r="P965" s="4"/>
      <c r="Q965" s="3"/>
      <c r="R965" s="4"/>
      <c r="S965" s="3"/>
      <c r="T965" s="4"/>
      <c r="U965" s="3"/>
      <c r="V965" s="4"/>
      <c r="W965" s="3"/>
      <c r="X965" s="4"/>
      <c r="Y965" s="3"/>
      <c r="Z965" s="4"/>
      <c r="AA965" s="3"/>
      <c r="AB965" s="4"/>
      <c r="AC965" s="3"/>
      <c r="AD965" s="4"/>
      <c r="AE965" s="3"/>
      <c r="AF965" s="4"/>
      <c r="AG965" s="3"/>
      <c r="AH965" s="4"/>
      <c r="AI965" s="3"/>
      <c r="AJ965" s="4"/>
      <c r="AK965" s="3"/>
      <c r="AL965" s="4"/>
      <c r="AM965" s="3"/>
      <c r="AN965" s="4"/>
      <c r="AO965" s="3"/>
      <c r="AP965" s="4"/>
      <c r="AQ965" s="3"/>
      <c r="AR965" s="4"/>
      <c r="AS965" s="3"/>
      <c r="AT965" s="4"/>
      <c r="AU965" s="3"/>
      <c r="AV965" s="4"/>
      <c r="AW965" s="3"/>
      <c r="AX965" s="4"/>
      <c r="AY965" s="3"/>
      <c r="AZ965" s="4"/>
      <c r="BA965" s="3"/>
      <c r="BB965" s="4"/>
      <c r="BC965" s="3"/>
      <c r="BD965" s="4"/>
      <c r="BE965" s="3"/>
      <c r="BF965" s="4"/>
      <c r="BG965" s="3"/>
      <c r="BH965" s="4"/>
      <c r="BI965" s="3"/>
      <c r="BJ965" s="4"/>
      <c r="BK965" s="3"/>
      <c r="BL965" s="4"/>
      <c r="BM965" s="3"/>
      <c r="BN965" s="4"/>
      <c r="BO965" s="3"/>
      <c r="BP965" s="4"/>
      <c r="BQ965" s="3"/>
      <c r="BR965" s="4"/>
      <c r="BS965" s="3"/>
      <c r="BT965" s="4"/>
      <c r="BU965" s="3"/>
      <c r="BV965" s="4"/>
      <c r="BW965" s="3"/>
      <c r="BX965" s="4"/>
      <c r="BY965" s="3"/>
      <c r="BZ965" s="4"/>
      <c r="CA965" s="3"/>
      <c r="CB965" s="4"/>
      <c r="CC965" s="3"/>
      <c r="CD965" s="4"/>
    </row>
    <row r="966">
      <c r="A966" s="3"/>
      <c r="B966" s="4"/>
      <c r="C966" s="3"/>
      <c r="D966" s="4"/>
      <c r="E966" s="3"/>
      <c r="F966" s="4"/>
      <c r="G966" s="3"/>
      <c r="H966" s="4"/>
      <c r="I966" s="3"/>
      <c r="J966" s="4"/>
      <c r="K966" s="3"/>
      <c r="L966" s="4"/>
      <c r="M966" s="3"/>
      <c r="N966" s="4"/>
      <c r="O966" s="3"/>
      <c r="P966" s="4"/>
      <c r="Q966" s="3"/>
      <c r="R966" s="4"/>
      <c r="S966" s="3"/>
      <c r="T966" s="4"/>
      <c r="U966" s="3"/>
      <c r="V966" s="4"/>
      <c r="W966" s="3"/>
      <c r="X966" s="4"/>
      <c r="Y966" s="3"/>
      <c r="Z966" s="4"/>
      <c r="AA966" s="3"/>
      <c r="AB966" s="4"/>
      <c r="AC966" s="3"/>
      <c r="AD966" s="4"/>
      <c r="AE966" s="3"/>
      <c r="AF966" s="4"/>
      <c r="AG966" s="3"/>
      <c r="AH966" s="4"/>
      <c r="AI966" s="3"/>
      <c r="AJ966" s="4"/>
      <c r="AK966" s="3"/>
      <c r="AL966" s="4"/>
      <c r="AM966" s="3"/>
      <c r="AN966" s="4"/>
      <c r="AO966" s="3"/>
      <c r="AP966" s="4"/>
      <c r="AQ966" s="3"/>
      <c r="AR966" s="4"/>
      <c r="AS966" s="3"/>
      <c r="AT966" s="4"/>
      <c r="AU966" s="3"/>
      <c r="AV966" s="4"/>
      <c r="AW966" s="3"/>
      <c r="AX966" s="4"/>
      <c r="AY966" s="3"/>
      <c r="AZ966" s="4"/>
      <c r="BA966" s="3"/>
      <c r="BB966" s="4"/>
      <c r="BC966" s="3"/>
      <c r="BD966" s="4"/>
      <c r="BE966" s="3"/>
      <c r="BF966" s="4"/>
      <c r="BG966" s="3"/>
      <c r="BH966" s="4"/>
      <c r="BI966" s="3"/>
      <c r="BJ966" s="4"/>
      <c r="BK966" s="3"/>
      <c r="BL966" s="4"/>
      <c r="BM966" s="3"/>
      <c r="BN966" s="4"/>
      <c r="BO966" s="3"/>
      <c r="BP966" s="4"/>
      <c r="BQ966" s="3"/>
      <c r="BR966" s="4"/>
      <c r="BS966" s="3"/>
      <c r="BT966" s="4"/>
      <c r="BU966" s="3"/>
      <c r="BV966" s="4"/>
      <c r="BW966" s="3"/>
      <c r="BX966" s="4"/>
      <c r="BY966" s="3"/>
      <c r="BZ966" s="4"/>
      <c r="CA966" s="3"/>
      <c r="CB966" s="4"/>
      <c r="CC966" s="3"/>
      <c r="CD966" s="4"/>
    </row>
    <row r="967">
      <c r="A967" s="3"/>
      <c r="B967" s="4"/>
      <c r="C967" s="3"/>
      <c r="D967" s="4"/>
      <c r="E967" s="3"/>
      <c r="F967" s="4"/>
      <c r="G967" s="3"/>
      <c r="H967" s="4"/>
      <c r="I967" s="3"/>
      <c r="J967" s="4"/>
      <c r="K967" s="3"/>
      <c r="L967" s="4"/>
      <c r="M967" s="3"/>
      <c r="N967" s="4"/>
      <c r="O967" s="3"/>
      <c r="P967" s="4"/>
      <c r="Q967" s="3"/>
      <c r="R967" s="4"/>
      <c r="S967" s="3"/>
      <c r="T967" s="4"/>
      <c r="U967" s="3"/>
      <c r="V967" s="4"/>
      <c r="W967" s="3"/>
      <c r="X967" s="4"/>
      <c r="Y967" s="3"/>
      <c r="Z967" s="4"/>
      <c r="AA967" s="3"/>
      <c r="AB967" s="4"/>
      <c r="AC967" s="3"/>
      <c r="AD967" s="4"/>
      <c r="AE967" s="3"/>
      <c r="AF967" s="4"/>
      <c r="AG967" s="3"/>
      <c r="AH967" s="4"/>
      <c r="AI967" s="3"/>
      <c r="AJ967" s="4"/>
      <c r="AK967" s="3"/>
      <c r="AL967" s="4"/>
      <c r="AM967" s="3"/>
      <c r="AN967" s="4"/>
      <c r="AO967" s="3"/>
      <c r="AP967" s="4"/>
      <c r="AQ967" s="3"/>
      <c r="AR967" s="4"/>
      <c r="AS967" s="3"/>
      <c r="AT967" s="4"/>
      <c r="AU967" s="3"/>
      <c r="AV967" s="4"/>
      <c r="AW967" s="3"/>
      <c r="AX967" s="4"/>
      <c r="AY967" s="3"/>
      <c r="AZ967" s="4"/>
      <c r="BA967" s="3"/>
      <c r="BB967" s="4"/>
      <c r="BC967" s="3"/>
      <c r="BD967" s="4"/>
      <c r="BE967" s="3"/>
      <c r="BF967" s="4"/>
      <c r="BG967" s="3"/>
      <c r="BH967" s="4"/>
      <c r="BI967" s="3"/>
      <c r="BJ967" s="4"/>
      <c r="BK967" s="3"/>
      <c r="BL967" s="4"/>
      <c r="BM967" s="3"/>
      <c r="BN967" s="4"/>
      <c r="BO967" s="3"/>
      <c r="BP967" s="4"/>
      <c r="BQ967" s="3"/>
      <c r="BR967" s="4"/>
      <c r="BS967" s="3"/>
      <c r="BT967" s="4"/>
      <c r="BU967" s="3"/>
      <c r="BV967" s="4"/>
      <c r="BW967" s="3"/>
      <c r="BX967" s="4"/>
      <c r="BY967" s="3"/>
      <c r="BZ967" s="4"/>
      <c r="CA967" s="3"/>
      <c r="CB967" s="4"/>
      <c r="CC967" s="3"/>
      <c r="CD967" s="4"/>
    </row>
    <row r="968">
      <c r="A968" s="3"/>
      <c r="B968" s="4"/>
      <c r="C968" s="3"/>
      <c r="D968" s="4"/>
      <c r="E968" s="3"/>
      <c r="F968" s="4"/>
      <c r="G968" s="3"/>
      <c r="H968" s="4"/>
      <c r="I968" s="3"/>
      <c r="J968" s="4"/>
      <c r="K968" s="3"/>
      <c r="L968" s="4"/>
      <c r="M968" s="3"/>
      <c r="N968" s="4"/>
      <c r="O968" s="3"/>
      <c r="P968" s="4"/>
      <c r="Q968" s="3"/>
      <c r="R968" s="4"/>
      <c r="S968" s="3"/>
      <c r="T968" s="4"/>
      <c r="U968" s="3"/>
      <c r="V968" s="4"/>
      <c r="W968" s="3"/>
      <c r="X968" s="4"/>
      <c r="Y968" s="3"/>
      <c r="Z968" s="4"/>
      <c r="AA968" s="3"/>
      <c r="AB968" s="4"/>
      <c r="AC968" s="3"/>
      <c r="AD968" s="4"/>
      <c r="AE968" s="3"/>
      <c r="AF968" s="4"/>
      <c r="AG968" s="3"/>
      <c r="AH968" s="4"/>
      <c r="AI968" s="3"/>
      <c r="AJ968" s="4"/>
      <c r="AK968" s="3"/>
      <c r="AL968" s="4"/>
      <c r="AM968" s="3"/>
      <c r="AN968" s="4"/>
      <c r="AO968" s="3"/>
      <c r="AP968" s="4"/>
      <c r="AQ968" s="3"/>
      <c r="AR968" s="4"/>
      <c r="AS968" s="3"/>
      <c r="AT968" s="4"/>
      <c r="AU968" s="3"/>
      <c r="AV968" s="4"/>
      <c r="AW968" s="3"/>
      <c r="AX968" s="4"/>
      <c r="AY968" s="3"/>
      <c r="AZ968" s="4"/>
      <c r="BA968" s="3"/>
      <c r="BB968" s="4"/>
      <c r="BC968" s="3"/>
      <c r="BD968" s="4"/>
      <c r="BE968" s="3"/>
      <c r="BF968" s="4"/>
      <c r="BG968" s="3"/>
      <c r="BH968" s="4"/>
      <c r="BI968" s="3"/>
      <c r="BJ968" s="4"/>
      <c r="BK968" s="3"/>
      <c r="BL968" s="4"/>
      <c r="BM968" s="3"/>
      <c r="BN968" s="4"/>
      <c r="BO968" s="3"/>
      <c r="BP968" s="4"/>
      <c r="BQ968" s="3"/>
      <c r="BR968" s="4"/>
      <c r="BS968" s="3"/>
      <c r="BT968" s="4"/>
      <c r="BU968" s="3"/>
      <c r="BV968" s="4"/>
      <c r="BW968" s="3"/>
      <c r="BX968" s="4"/>
      <c r="BY968" s="3"/>
      <c r="BZ968" s="4"/>
      <c r="CA968" s="3"/>
      <c r="CB968" s="4"/>
      <c r="CC968" s="3"/>
      <c r="CD968" s="4"/>
    </row>
    <row r="969">
      <c r="A969" s="3"/>
      <c r="B969" s="4"/>
      <c r="C969" s="3"/>
      <c r="D969" s="4"/>
      <c r="E969" s="3"/>
      <c r="F969" s="4"/>
      <c r="G969" s="3"/>
      <c r="H969" s="4"/>
      <c r="I969" s="3"/>
      <c r="J969" s="4"/>
      <c r="K969" s="3"/>
      <c r="L969" s="4"/>
      <c r="M969" s="3"/>
      <c r="N969" s="4"/>
      <c r="O969" s="3"/>
      <c r="P969" s="4"/>
      <c r="Q969" s="3"/>
      <c r="R969" s="4"/>
      <c r="S969" s="3"/>
      <c r="T969" s="4"/>
      <c r="U969" s="3"/>
      <c r="V969" s="4"/>
      <c r="W969" s="3"/>
      <c r="X969" s="4"/>
      <c r="Y969" s="3"/>
      <c r="Z969" s="4"/>
      <c r="AA969" s="3"/>
      <c r="AB969" s="4"/>
      <c r="AC969" s="3"/>
      <c r="AD969" s="4"/>
      <c r="AE969" s="3"/>
      <c r="AF969" s="4"/>
      <c r="AG969" s="3"/>
      <c r="AH969" s="4"/>
      <c r="AI969" s="3"/>
      <c r="AJ969" s="4"/>
      <c r="AK969" s="3"/>
      <c r="AL969" s="4"/>
      <c r="AM969" s="3"/>
      <c r="AN969" s="4"/>
      <c r="AO969" s="3"/>
      <c r="AP969" s="4"/>
      <c r="AQ969" s="3"/>
      <c r="AR969" s="4"/>
      <c r="AS969" s="3"/>
      <c r="AT969" s="4"/>
      <c r="AU969" s="3"/>
      <c r="AV969" s="4"/>
      <c r="AW969" s="3"/>
      <c r="AX969" s="4"/>
      <c r="AY969" s="3"/>
      <c r="AZ969" s="4"/>
      <c r="BA969" s="3"/>
      <c r="BB969" s="4"/>
      <c r="BC969" s="3"/>
      <c r="BD969" s="4"/>
      <c r="BE969" s="3"/>
      <c r="BF969" s="4"/>
      <c r="BG969" s="3"/>
      <c r="BH969" s="4"/>
      <c r="BI969" s="3"/>
      <c r="BJ969" s="4"/>
      <c r="BK969" s="3"/>
      <c r="BL969" s="4"/>
      <c r="BM969" s="3"/>
      <c r="BN969" s="4"/>
      <c r="BO969" s="3"/>
      <c r="BP969" s="4"/>
      <c r="BQ969" s="3"/>
      <c r="BR969" s="4"/>
      <c r="BS969" s="3"/>
      <c r="BT969" s="4"/>
      <c r="BU969" s="3"/>
      <c r="BV969" s="4"/>
      <c r="BW969" s="3"/>
      <c r="BX969" s="4"/>
      <c r="BY969" s="3"/>
      <c r="BZ969" s="4"/>
      <c r="CA969" s="3"/>
      <c r="CB969" s="4"/>
      <c r="CC969" s="3"/>
      <c r="CD969" s="4"/>
    </row>
    <row r="970">
      <c r="A970" s="3"/>
      <c r="B970" s="4"/>
      <c r="C970" s="3"/>
      <c r="D970" s="4"/>
      <c r="E970" s="3"/>
      <c r="F970" s="4"/>
      <c r="G970" s="3"/>
      <c r="H970" s="4"/>
      <c r="I970" s="3"/>
      <c r="J970" s="4"/>
      <c r="K970" s="3"/>
      <c r="L970" s="4"/>
      <c r="M970" s="3"/>
      <c r="N970" s="4"/>
      <c r="O970" s="3"/>
      <c r="P970" s="4"/>
      <c r="Q970" s="3"/>
      <c r="R970" s="4"/>
      <c r="S970" s="3"/>
      <c r="T970" s="4"/>
      <c r="U970" s="3"/>
      <c r="V970" s="4"/>
      <c r="W970" s="3"/>
      <c r="X970" s="4"/>
      <c r="Y970" s="3"/>
      <c r="Z970" s="4"/>
      <c r="AA970" s="3"/>
      <c r="AB970" s="4"/>
      <c r="AC970" s="3"/>
      <c r="AD970" s="4"/>
      <c r="AE970" s="3"/>
      <c r="AF970" s="4"/>
      <c r="AG970" s="3"/>
      <c r="AH970" s="4"/>
      <c r="AI970" s="3"/>
      <c r="AJ970" s="4"/>
      <c r="AK970" s="3"/>
      <c r="AL970" s="4"/>
      <c r="AM970" s="3"/>
      <c r="AN970" s="4"/>
      <c r="AO970" s="3"/>
      <c r="AP970" s="4"/>
      <c r="AQ970" s="3"/>
      <c r="AR970" s="4"/>
      <c r="AS970" s="3"/>
      <c r="AT970" s="4"/>
      <c r="AU970" s="3"/>
      <c r="AV970" s="4"/>
      <c r="AW970" s="3"/>
      <c r="AX970" s="4"/>
      <c r="AY970" s="3"/>
      <c r="AZ970" s="4"/>
      <c r="BA970" s="3"/>
      <c r="BB970" s="4"/>
      <c r="BC970" s="3"/>
      <c r="BD970" s="4"/>
      <c r="BE970" s="3"/>
      <c r="BF970" s="4"/>
      <c r="BG970" s="3"/>
      <c r="BH970" s="4"/>
      <c r="BI970" s="3"/>
      <c r="BJ970" s="4"/>
      <c r="BK970" s="3"/>
      <c r="BL970" s="4"/>
      <c r="BM970" s="3"/>
      <c r="BN970" s="4"/>
      <c r="BO970" s="3"/>
      <c r="BP970" s="4"/>
      <c r="BQ970" s="3"/>
      <c r="BR970" s="4"/>
      <c r="BS970" s="3"/>
      <c r="BT970" s="4"/>
      <c r="BU970" s="3"/>
      <c r="BV970" s="4"/>
      <c r="BW970" s="3"/>
      <c r="BX970" s="4"/>
      <c r="BY970" s="3"/>
      <c r="BZ970" s="4"/>
      <c r="CA970" s="3"/>
      <c r="CB970" s="4"/>
      <c r="CC970" s="3"/>
      <c r="CD970" s="4"/>
    </row>
    <row r="971">
      <c r="A971" s="3"/>
      <c r="B971" s="4"/>
      <c r="C971" s="3"/>
      <c r="D971" s="4"/>
      <c r="E971" s="3"/>
      <c r="F971" s="4"/>
      <c r="G971" s="3"/>
      <c r="H971" s="4"/>
      <c r="I971" s="3"/>
      <c r="J971" s="4"/>
      <c r="K971" s="3"/>
      <c r="L971" s="4"/>
      <c r="M971" s="3"/>
      <c r="N971" s="4"/>
      <c r="O971" s="3"/>
      <c r="P971" s="4"/>
      <c r="Q971" s="3"/>
      <c r="R971" s="4"/>
      <c r="S971" s="3"/>
      <c r="T971" s="4"/>
      <c r="U971" s="3"/>
      <c r="V971" s="4"/>
      <c r="W971" s="3"/>
      <c r="X971" s="4"/>
      <c r="Y971" s="3"/>
      <c r="Z971" s="4"/>
      <c r="AA971" s="3"/>
      <c r="AB971" s="4"/>
      <c r="AC971" s="3"/>
      <c r="AD971" s="4"/>
      <c r="AE971" s="3"/>
      <c r="AF971" s="4"/>
      <c r="AG971" s="3"/>
      <c r="AH971" s="4"/>
      <c r="AI971" s="3"/>
      <c r="AJ971" s="4"/>
      <c r="AK971" s="3"/>
      <c r="AL971" s="4"/>
      <c r="AM971" s="3"/>
      <c r="AN971" s="4"/>
      <c r="AO971" s="3"/>
      <c r="AP971" s="4"/>
      <c r="AQ971" s="3"/>
      <c r="AR971" s="4"/>
      <c r="AS971" s="3"/>
      <c r="AT971" s="4"/>
      <c r="AU971" s="3"/>
      <c r="AV971" s="4"/>
      <c r="AW971" s="3"/>
      <c r="AX971" s="4"/>
      <c r="AY971" s="3"/>
      <c r="AZ971" s="4"/>
      <c r="BA971" s="3"/>
      <c r="BB971" s="4"/>
      <c r="BC971" s="3"/>
      <c r="BD971" s="4"/>
      <c r="BE971" s="3"/>
      <c r="BF971" s="4"/>
      <c r="BG971" s="3"/>
      <c r="BH971" s="4"/>
      <c r="BI971" s="3"/>
      <c r="BJ971" s="4"/>
      <c r="BK971" s="3"/>
      <c r="BL971" s="4"/>
      <c r="BM971" s="3"/>
      <c r="BN971" s="4"/>
      <c r="BO971" s="3"/>
      <c r="BP971" s="4"/>
      <c r="BQ971" s="3"/>
      <c r="BR971" s="4"/>
      <c r="BS971" s="3"/>
      <c r="BT971" s="4"/>
      <c r="BU971" s="3"/>
      <c r="BV971" s="4"/>
      <c r="BW971" s="3"/>
      <c r="BX971" s="4"/>
      <c r="BY971" s="3"/>
      <c r="BZ971" s="4"/>
      <c r="CA971" s="3"/>
      <c r="CB971" s="4"/>
      <c r="CC971" s="3"/>
      <c r="CD971" s="4"/>
    </row>
    <row r="972">
      <c r="A972" s="3"/>
      <c r="B972" s="4"/>
      <c r="C972" s="3"/>
      <c r="D972" s="4"/>
      <c r="E972" s="3"/>
      <c r="F972" s="4"/>
      <c r="G972" s="3"/>
      <c r="H972" s="4"/>
      <c r="I972" s="3"/>
      <c r="J972" s="4"/>
      <c r="K972" s="3"/>
      <c r="L972" s="4"/>
      <c r="M972" s="3"/>
      <c r="N972" s="4"/>
      <c r="O972" s="3"/>
      <c r="P972" s="4"/>
      <c r="Q972" s="3"/>
      <c r="R972" s="4"/>
      <c r="S972" s="3"/>
      <c r="T972" s="4"/>
      <c r="U972" s="3"/>
      <c r="V972" s="4"/>
      <c r="W972" s="3"/>
      <c r="X972" s="4"/>
      <c r="Y972" s="3"/>
      <c r="Z972" s="4"/>
      <c r="AA972" s="3"/>
      <c r="AB972" s="4"/>
      <c r="AC972" s="3"/>
      <c r="AD972" s="4"/>
      <c r="AE972" s="3"/>
      <c r="AF972" s="4"/>
      <c r="AG972" s="3"/>
      <c r="AH972" s="4"/>
      <c r="AI972" s="3"/>
      <c r="AJ972" s="4"/>
      <c r="AK972" s="3"/>
      <c r="AL972" s="4"/>
      <c r="AM972" s="3"/>
      <c r="AN972" s="4"/>
      <c r="AO972" s="3"/>
      <c r="AP972" s="4"/>
      <c r="AQ972" s="3"/>
      <c r="AR972" s="4"/>
      <c r="AS972" s="3"/>
      <c r="AT972" s="4"/>
      <c r="AU972" s="3"/>
      <c r="AV972" s="4"/>
      <c r="AW972" s="3"/>
      <c r="AX972" s="4"/>
      <c r="AY972" s="3"/>
      <c r="AZ972" s="4"/>
      <c r="BA972" s="3"/>
      <c r="BB972" s="4"/>
      <c r="BC972" s="3"/>
      <c r="BD972" s="4"/>
      <c r="BE972" s="3"/>
      <c r="BF972" s="4"/>
      <c r="BG972" s="3"/>
      <c r="BH972" s="4"/>
      <c r="BI972" s="3"/>
      <c r="BJ972" s="4"/>
      <c r="BK972" s="3"/>
      <c r="BL972" s="4"/>
      <c r="BM972" s="3"/>
      <c r="BN972" s="4"/>
      <c r="BO972" s="3"/>
      <c r="BP972" s="4"/>
      <c r="BQ972" s="3"/>
      <c r="BR972" s="4"/>
      <c r="BS972" s="3"/>
      <c r="BT972" s="4"/>
      <c r="BU972" s="3"/>
      <c r="BV972" s="4"/>
      <c r="BW972" s="3"/>
      <c r="BX972" s="4"/>
      <c r="BY972" s="3"/>
      <c r="BZ972" s="4"/>
      <c r="CA972" s="3"/>
      <c r="CB972" s="4"/>
      <c r="CC972" s="3"/>
      <c r="CD972" s="4"/>
    </row>
    <row r="973">
      <c r="A973" s="3"/>
      <c r="B973" s="4"/>
      <c r="C973" s="3"/>
      <c r="D973" s="4"/>
      <c r="E973" s="3"/>
      <c r="F973" s="4"/>
      <c r="G973" s="3"/>
      <c r="H973" s="4"/>
      <c r="I973" s="3"/>
      <c r="J973" s="4"/>
      <c r="K973" s="3"/>
      <c r="L973" s="4"/>
      <c r="M973" s="3"/>
      <c r="N973" s="4"/>
      <c r="O973" s="3"/>
      <c r="P973" s="4"/>
      <c r="Q973" s="3"/>
      <c r="R973" s="4"/>
      <c r="S973" s="3"/>
      <c r="T973" s="4"/>
      <c r="U973" s="3"/>
      <c r="V973" s="4"/>
      <c r="W973" s="3"/>
      <c r="X973" s="4"/>
      <c r="Y973" s="3"/>
      <c r="Z973" s="4"/>
      <c r="AA973" s="3"/>
      <c r="AB973" s="4"/>
      <c r="AC973" s="3"/>
      <c r="AD973" s="4"/>
      <c r="AE973" s="3"/>
      <c r="AF973" s="4"/>
      <c r="AG973" s="3"/>
      <c r="AH973" s="4"/>
      <c r="AI973" s="3"/>
      <c r="AJ973" s="4"/>
      <c r="AK973" s="3"/>
      <c r="AL973" s="4"/>
      <c r="AM973" s="3"/>
      <c r="AN973" s="4"/>
      <c r="AO973" s="3"/>
      <c r="AP973" s="4"/>
      <c r="AQ973" s="3"/>
      <c r="AR973" s="4"/>
      <c r="AS973" s="3"/>
      <c r="AT973" s="4"/>
      <c r="AU973" s="3"/>
      <c r="AV973" s="4"/>
      <c r="AW973" s="3"/>
      <c r="AX973" s="4"/>
      <c r="AY973" s="3"/>
      <c r="AZ973" s="4"/>
      <c r="BA973" s="3"/>
      <c r="BB973" s="4"/>
      <c r="BC973" s="3"/>
      <c r="BD973" s="4"/>
      <c r="BE973" s="3"/>
      <c r="BF973" s="4"/>
      <c r="BG973" s="3"/>
      <c r="BH973" s="4"/>
      <c r="BI973" s="3"/>
      <c r="BJ973" s="4"/>
      <c r="BK973" s="3"/>
      <c r="BL973" s="4"/>
      <c r="BM973" s="3"/>
      <c r="BN973" s="4"/>
      <c r="BO973" s="3"/>
      <c r="BP973" s="4"/>
      <c r="BQ973" s="3"/>
      <c r="BR973" s="4"/>
      <c r="BS973" s="3"/>
      <c r="BT973" s="4"/>
      <c r="BU973" s="3"/>
      <c r="BV973" s="4"/>
      <c r="BW973" s="3"/>
      <c r="BX973" s="4"/>
      <c r="BY973" s="3"/>
      <c r="BZ973" s="4"/>
      <c r="CA973" s="3"/>
      <c r="CB973" s="4"/>
      <c r="CC973" s="3"/>
      <c r="CD973" s="4"/>
    </row>
    <row r="974">
      <c r="A974" s="3"/>
      <c r="B974" s="4"/>
      <c r="C974" s="3"/>
      <c r="D974" s="4"/>
      <c r="E974" s="3"/>
      <c r="F974" s="4"/>
      <c r="G974" s="3"/>
      <c r="H974" s="4"/>
      <c r="I974" s="3"/>
      <c r="J974" s="4"/>
      <c r="K974" s="3"/>
      <c r="L974" s="4"/>
      <c r="M974" s="3"/>
      <c r="N974" s="4"/>
      <c r="O974" s="3"/>
      <c r="P974" s="4"/>
      <c r="Q974" s="3"/>
      <c r="R974" s="4"/>
      <c r="S974" s="3"/>
      <c r="T974" s="4"/>
      <c r="U974" s="3"/>
      <c r="V974" s="4"/>
      <c r="W974" s="3"/>
      <c r="X974" s="4"/>
      <c r="Y974" s="3"/>
      <c r="Z974" s="4"/>
      <c r="AA974" s="3"/>
      <c r="AB974" s="4"/>
      <c r="AC974" s="3"/>
      <c r="AD974" s="4"/>
      <c r="AE974" s="3"/>
      <c r="AF974" s="4"/>
      <c r="AG974" s="3"/>
      <c r="AH974" s="4"/>
      <c r="AI974" s="3"/>
      <c r="AJ974" s="4"/>
      <c r="AK974" s="3"/>
      <c r="AL974" s="4"/>
      <c r="AM974" s="3"/>
      <c r="AN974" s="4"/>
      <c r="AO974" s="3"/>
      <c r="AP974" s="4"/>
      <c r="AQ974" s="3"/>
      <c r="AR974" s="4"/>
      <c r="AS974" s="3"/>
      <c r="AT974" s="4"/>
      <c r="AU974" s="3"/>
      <c r="AV974" s="4"/>
      <c r="AW974" s="3"/>
      <c r="AX974" s="4"/>
      <c r="AY974" s="3"/>
      <c r="AZ974" s="4"/>
      <c r="BA974" s="3"/>
      <c r="BB974" s="4"/>
      <c r="BC974" s="3"/>
      <c r="BD974" s="4"/>
      <c r="BE974" s="3"/>
      <c r="BF974" s="4"/>
      <c r="BG974" s="3"/>
      <c r="BH974" s="4"/>
      <c r="BI974" s="3"/>
      <c r="BJ974" s="4"/>
      <c r="BK974" s="3"/>
      <c r="BL974" s="4"/>
      <c r="BM974" s="3"/>
      <c r="BN974" s="4"/>
      <c r="BO974" s="3"/>
      <c r="BP974" s="4"/>
      <c r="BQ974" s="3"/>
      <c r="BR974" s="4"/>
      <c r="BS974" s="3"/>
      <c r="BT974" s="4"/>
      <c r="BU974" s="3"/>
      <c r="BV974" s="4"/>
      <c r="BW974" s="3"/>
      <c r="BX974" s="4"/>
      <c r="BY974" s="3"/>
      <c r="BZ974" s="4"/>
      <c r="CA974" s="3"/>
      <c r="CB974" s="4"/>
      <c r="CC974" s="3"/>
      <c r="CD974" s="4"/>
    </row>
    <row r="975">
      <c r="A975" s="3"/>
      <c r="B975" s="4"/>
      <c r="C975" s="3"/>
      <c r="D975" s="4"/>
      <c r="E975" s="3"/>
      <c r="F975" s="4"/>
      <c r="G975" s="3"/>
      <c r="H975" s="4"/>
      <c r="I975" s="3"/>
      <c r="J975" s="4"/>
      <c r="K975" s="3"/>
      <c r="L975" s="4"/>
      <c r="M975" s="3"/>
      <c r="N975" s="4"/>
      <c r="O975" s="3"/>
      <c r="P975" s="4"/>
      <c r="Q975" s="3"/>
      <c r="R975" s="4"/>
      <c r="S975" s="3"/>
      <c r="T975" s="4"/>
      <c r="U975" s="3"/>
      <c r="V975" s="4"/>
      <c r="W975" s="3"/>
      <c r="X975" s="4"/>
      <c r="Y975" s="3"/>
      <c r="Z975" s="4"/>
      <c r="AA975" s="3"/>
      <c r="AB975" s="4"/>
      <c r="AC975" s="3"/>
      <c r="AD975" s="4"/>
      <c r="AE975" s="3"/>
      <c r="AF975" s="4"/>
      <c r="AG975" s="3"/>
      <c r="AH975" s="4"/>
      <c r="AI975" s="3"/>
      <c r="AJ975" s="4"/>
      <c r="AK975" s="3"/>
      <c r="AL975" s="4"/>
      <c r="AM975" s="3"/>
      <c r="AN975" s="4"/>
      <c r="AO975" s="3"/>
      <c r="AP975" s="4"/>
      <c r="AQ975" s="3"/>
      <c r="AR975" s="4"/>
      <c r="AS975" s="3"/>
      <c r="AT975" s="4"/>
      <c r="AU975" s="3"/>
      <c r="AV975" s="4"/>
      <c r="AW975" s="3"/>
      <c r="AX975" s="4"/>
      <c r="AY975" s="3"/>
      <c r="AZ975" s="4"/>
      <c r="BA975" s="3"/>
      <c r="BB975" s="4"/>
      <c r="BC975" s="3"/>
      <c r="BD975" s="4"/>
      <c r="BE975" s="3"/>
      <c r="BF975" s="4"/>
      <c r="BG975" s="3"/>
      <c r="BH975" s="4"/>
      <c r="BI975" s="3"/>
      <c r="BJ975" s="4"/>
      <c r="BK975" s="3"/>
      <c r="BL975" s="4"/>
      <c r="BM975" s="3"/>
      <c r="BN975" s="4"/>
      <c r="BO975" s="3"/>
      <c r="BP975" s="4"/>
      <c r="BQ975" s="3"/>
      <c r="BR975" s="4"/>
      <c r="BS975" s="3"/>
      <c r="BT975" s="4"/>
      <c r="BU975" s="3"/>
      <c r="BV975" s="4"/>
      <c r="BW975" s="3"/>
      <c r="BX975" s="4"/>
      <c r="BY975" s="3"/>
      <c r="BZ975" s="4"/>
      <c r="CA975" s="3"/>
      <c r="CB975" s="4"/>
      <c r="CC975" s="3"/>
      <c r="CD975" s="4"/>
    </row>
    <row r="976">
      <c r="A976" s="3"/>
      <c r="B976" s="4"/>
      <c r="C976" s="3"/>
      <c r="D976" s="4"/>
      <c r="E976" s="3"/>
      <c r="F976" s="4"/>
      <c r="G976" s="3"/>
      <c r="H976" s="4"/>
      <c r="I976" s="3"/>
      <c r="J976" s="4"/>
      <c r="K976" s="3"/>
      <c r="L976" s="4"/>
      <c r="M976" s="3"/>
      <c r="N976" s="4"/>
      <c r="O976" s="3"/>
      <c r="P976" s="4"/>
      <c r="Q976" s="3"/>
      <c r="R976" s="4"/>
      <c r="S976" s="3"/>
      <c r="T976" s="4"/>
      <c r="U976" s="3"/>
      <c r="V976" s="4"/>
      <c r="W976" s="3"/>
      <c r="X976" s="4"/>
      <c r="Y976" s="3"/>
      <c r="Z976" s="4"/>
      <c r="AA976" s="3"/>
      <c r="AB976" s="4"/>
      <c r="AC976" s="3"/>
      <c r="AD976" s="4"/>
      <c r="AE976" s="3"/>
      <c r="AF976" s="4"/>
      <c r="AG976" s="3"/>
      <c r="AH976" s="4"/>
      <c r="AI976" s="3"/>
      <c r="AJ976" s="4"/>
      <c r="AK976" s="3"/>
      <c r="AL976" s="4"/>
      <c r="AM976" s="3"/>
      <c r="AN976" s="4"/>
      <c r="AO976" s="3"/>
      <c r="AP976" s="4"/>
      <c r="AQ976" s="3"/>
      <c r="AR976" s="4"/>
      <c r="AS976" s="3"/>
      <c r="AT976" s="4"/>
      <c r="AU976" s="3"/>
      <c r="AV976" s="4"/>
      <c r="AW976" s="3"/>
      <c r="AX976" s="4"/>
      <c r="AY976" s="3"/>
      <c r="AZ976" s="4"/>
      <c r="BA976" s="3"/>
      <c r="BB976" s="4"/>
      <c r="BC976" s="3"/>
      <c r="BD976" s="4"/>
      <c r="BE976" s="3"/>
      <c r="BF976" s="4"/>
      <c r="BG976" s="3"/>
      <c r="BH976" s="4"/>
      <c r="BI976" s="3"/>
      <c r="BJ976" s="4"/>
      <c r="BK976" s="3"/>
      <c r="BL976" s="4"/>
      <c r="BM976" s="3"/>
      <c r="BN976" s="4"/>
      <c r="BO976" s="3"/>
      <c r="BP976" s="4"/>
      <c r="BQ976" s="3"/>
      <c r="BR976" s="4"/>
      <c r="BS976" s="3"/>
      <c r="BT976" s="4"/>
      <c r="BU976" s="3"/>
      <c r="BV976" s="4"/>
      <c r="BW976" s="3"/>
      <c r="BX976" s="4"/>
      <c r="BY976" s="3"/>
      <c r="BZ976" s="4"/>
      <c r="CA976" s="3"/>
      <c r="CB976" s="4"/>
      <c r="CC976" s="3"/>
      <c r="CD976" s="4"/>
    </row>
    <row r="977">
      <c r="A977" s="3"/>
      <c r="B977" s="4"/>
      <c r="C977" s="3"/>
      <c r="D977" s="4"/>
      <c r="E977" s="3"/>
      <c r="F977" s="4"/>
      <c r="G977" s="3"/>
      <c r="H977" s="4"/>
      <c r="I977" s="3"/>
      <c r="J977" s="4"/>
      <c r="K977" s="3"/>
      <c r="L977" s="4"/>
      <c r="M977" s="3"/>
      <c r="N977" s="4"/>
      <c r="O977" s="3"/>
      <c r="P977" s="4"/>
      <c r="Q977" s="3"/>
      <c r="R977" s="4"/>
      <c r="S977" s="3"/>
      <c r="T977" s="4"/>
      <c r="U977" s="3"/>
      <c r="V977" s="4"/>
      <c r="W977" s="3"/>
      <c r="X977" s="4"/>
      <c r="Y977" s="3"/>
      <c r="Z977" s="4"/>
      <c r="AA977" s="3"/>
      <c r="AB977" s="4"/>
      <c r="AC977" s="3"/>
      <c r="AD977" s="4"/>
      <c r="AE977" s="3"/>
      <c r="AF977" s="4"/>
      <c r="AG977" s="3"/>
      <c r="AH977" s="4"/>
      <c r="AI977" s="3"/>
      <c r="AJ977" s="4"/>
      <c r="AK977" s="3"/>
      <c r="AL977" s="4"/>
      <c r="AM977" s="3"/>
      <c r="AN977" s="4"/>
      <c r="AO977" s="3"/>
      <c r="AP977" s="4"/>
      <c r="AQ977" s="3"/>
      <c r="AR977" s="4"/>
      <c r="AS977" s="3"/>
      <c r="AT977" s="4"/>
      <c r="AU977" s="3"/>
      <c r="AV977" s="4"/>
      <c r="AW977" s="3"/>
      <c r="AX977" s="4"/>
      <c r="AY977" s="3"/>
      <c r="AZ977" s="4"/>
      <c r="BA977" s="3"/>
      <c r="BB977" s="4"/>
      <c r="BC977" s="3"/>
      <c r="BD977" s="4"/>
      <c r="BE977" s="3"/>
      <c r="BF977" s="4"/>
      <c r="BG977" s="3"/>
      <c r="BH977" s="4"/>
      <c r="BI977" s="3"/>
      <c r="BJ977" s="4"/>
      <c r="BK977" s="3"/>
      <c r="BL977" s="4"/>
      <c r="BM977" s="3"/>
      <c r="BN977" s="4"/>
      <c r="BO977" s="3"/>
      <c r="BP977" s="4"/>
      <c r="BQ977" s="3"/>
      <c r="BR977" s="4"/>
      <c r="BS977" s="3"/>
      <c r="BT977" s="4"/>
      <c r="BU977" s="3"/>
      <c r="BV977" s="4"/>
      <c r="BW977" s="3"/>
      <c r="BX977" s="4"/>
      <c r="BY977" s="3"/>
      <c r="BZ977" s="4"/>
      <c r="CA977" s="3"/>
      <c r="CB977" s="4"/>
      <c r="CC977" s="3"/>
      <c r="CD977" s="4"/>
    </row>
    <row r="978">
      <c r="A978" s="3"/>
      <c r="B978" s="4"/>
      <c r="C978" s="3"/>
      <c r="D978" s="4"/>
      <c r="E978" s="3"/>
      <c r="F978" s="4"/>
      <c r="G978" s="3"/>
      <c r="H978" s="4"/>
      <c r="I978" s="3"/>
      <c r="J978" s="4"/>
      <c r="K978" s="3"/>
      <c r="L978" s="4"/>
      <c r="M978" s="3"/>
      <c r="N978" s="4"/>
      <c r="O978" s="3"/>
      <c r="P978" s="4"/>
      <c r="Q978" s="3"/>
      <c r="R978" s="4"/>
      <c r="S978" s="3"/>
      <c r="T978" s="4"/>
      <c r="U978" s="3"/>
      <c r="V978" s="4"/>
      <c r="W978" s="3"/>
      <c r="X978" s="4"/>
      <c r="Y978" s="3"/>
      <c r="Z978" s="4"/>
      <c r="AA978" s="3"/>
      <c r="AB978" s="4"/>
      <c r="AC978" s="3"/>
      <c r="AD978" s="4"/>
      <c r="AE978" s="3"/>
      <c r="AF978" s="4"/>
      <c r="AG978" s="3"/>
      <c r="AH978" s="4"/>
      <c r="AI978" s="3"/>
      <c r="AJ978" s="4"/>
      <c r="AK978" s="3"/>
      <c r="AL978" s="4"/>
      <c r="AM978" s="3"/>
      <c r="AN978" s="4"/>
      <c r="AO978" s="3"/>
      <c r="AP978" s="4"/>
      <c r="AQ978" s="3"/>
      <c r="AR978" s="4"/>
      <c r="AS978" s="3"/>
      <c r="AT978" s="4"/>
      <c r="AU978" s="3"/>
      <c r="AV978" s="4"/>
      <c r="AW978" s="3"/>
      <c r="AX978" s="4"/>
      <c r="AY978" s="3"/>
      <c r="AZ978" s="4"/>
      <c r="BA978" s="3"/>
      <c r="BB978" s="4"/>
      <c r="BC978" s="3"/>
      <c r="BD978" s="4"/>
      <c r="BE978" s="3"/>
      <c r="BF978" s="4"/>
      <c r="BG978" s="3"/>
      <c r="BH978" s="4"/>
      <c r="BI978" s="3"/>
      <c r="BJ978" s="4"/>
      <c r="BK978" s="3"/>
      <c r="BL978" s="4"/>
      <c r="BM978" s="3"/>
      <c r="BN978" s="4"/>
      <c r="BO978" s="3"/>
      <c r="BP978" s="4"/>
      <c r="BQ978" s="3"/>
      <c r="BR978" s="4"/>
      <c r="BS978" s="3"/>
      <c r="BT978" s="4"/>
      <c r="BU978" s="3"/>
      <c r="BV978" s="4"/>
      <c r="BW978" s="3"/>
      <c r="BX978" s="4"/>
      <c r="BY978" s="3"/>
      <c r="BZ978" s="4"/>
      <c r="CA978" s="3"/>
      <c r="CB978" s="4"/>
      <c r="CC978" s="3"/>
      <c r="CD978" s="4"/>
    </row>
    <row r="979">
      <c r="A979" s="3"/>
      <c r="B979" s="4"/>
      <c r="C979" s="3"/>
      <c r="D979" s="4"/>
      <c r="E979" s="3"/>
      <c r="F979" s="4"/>
      <c r="G979" s="3"/>
      <c r="H979" s="4"/>
      <c r="I979" s="3"/>
      <c r="J979" s="4"/>
      <c r="K979" s="3"/>
      <c r="L979" s="4"/>
      <c r="M979" s="3"/>
      <c r="N979" s="4"/>
      <c r="O979" s="3"/>
      <c r="P979" s="4"/>
      <c r="Q979" s="3"/>
      <c r="R979" s="4"/>
      <c r="S979" s="3"/>
      <c r="T979" s="4"/>
      <c r="U979" s="3"/>
      <c r="V979" s="4"/>
      <c r="W979" s="3"/>
      <c r="X979" s="4"/>
      <c r="Y979" s="3"/>
      <c r="Z979" s="4"/>
      <c r="AA979" s="3"/>
      <c r="AB979" s="4"/>
      <c r="AC979" s="3"/>
      <c r="AD979" s="4"/>
      <c r="AE979" s="3"/>
      <c r="AF979" s="4"/>
      <c r="AG979" s="3"/>
      <c r="AH979" s="4"/>
      <c r="AI979" s="3"/>
      <c r="AJ979" s="4"/>
      <c r="AK979" s="3"/>
      <c r="AL979" s="4"/>
      <c r="AM979" s="3"/>
      <c r="AN979" s="4"/>
      <c r="AO979" s="3"/>
      <c r="AP979" s="4"/>
      <c r="AQ979" s="3"/>
      <c r="AR979" s="4"/>
      <c r="AS979" s="3"/>
      <c r="AT979" s="4"/>
      <c r="AU979" s="3"/>
      <c r="AV979" s="4"/>
      <c r="AW979" s="3"/>
      <c r="AX979" s="4"/>
      <c r="AY979" s="3"/>
      <c r="AZ979" s="4"/>
      <c r="BA979" s="3"/>
      <c r="BB979" s="4"/>
      <c r="BC979" s="3"/>
      <c r="BD979" s="4"/>
      <c r="BE979" s="3"/>
      <c r="BF979" s="4"/>
      <c r="BG979" s="3"/>
      <c r="BH979" s="4"/>
      <c r="BI979" s="3"/>
      <c r="BJ979" s="4"/>
      <c r="BK979" s="3"/>
      <c r="BL979" s="4"/>
      <c r="BM979" s="3"/>
      <c r="BN979" s="4"/>
      <c r="BO979" s="3"/>
      <c r="BP979" s="4"/>
      <c r="BQ979" s="3"/>
      <c r="BR979" s="4"/>
      <c r="BS979" s="3"/>
      <c r="BT979" s="4"/>
      <c r="BU979" s="3"/>
      <c r="BV979" s="4"/>
      <c r="BW979" s="3"/>
      <c r="BX979" s="4"/>
      <c r="BY979" s="3"/>
      <c r="BZ979" s="4"/>
      <c r="CA979" s="3"/>
      <c r="CB979" s="4"/>
      <c r="CC979" s="3"/>
      <c r="CD979" s="4"/>
    </row>
    <row r="980">
      <c r="A980" s="3"/>
      <c r="B980" s="4"/>
      <c r="C980" s="3"/>
      <c r="D980" s="4"/>
      <c r="E980" s="3"/>
      <c r="F980" s="4"/>
      <c r="G980" s="3"/>
      <c r="H980" s="4"/>
      <c r="I980" s="3"/>
      <c r="J980" s="4"/>
      <c r="K980" s="3"/>
      <c r="L980" s="4"/>
      <c r="M980" s="3"/>
      <c r="N980" s="4"/>
      <c r="O980" s="3"/>
      <c r="P980" s="4"/>
      <c r="Q980" s="3"/>
      <c r="R980" s="4"/>
      <c r="S980" s="3"/>
      <c r="T980" s="4"/>
      <c r="U980" s="3"/>
      <c r="V980" s="4"/>
      <c r="W980" s="3"/>
      <c r="X980" s="4"/>
      <c r="Y980" s="3"/>
      <c r="Z980" s="4"/>
      <c r="AA980" s="3"/>
      <c r="AB980" s="4"/>
      <c r="AC980" s="3"/>
      <c r="AD980" s="4"/>
      <c r="AE980" s="3"/>
      <c r="AF980" s="4"/>
      <c r="AG980" s="3"/>
      <c r="AH980" s="4"/>
      <c r="AI980" s="3"/>
      <c r="AJ980" s="4"/>
      <c r="AK980" s="3"/>
      <c r="AL980" s="4"/>
      <c r="AM980" s="3"/>
      <c r="AN980" s="4"/>
      <c r="AO980" s="3"/>
      <c r="AP980" s="4"/>
      <c r="AQ980" s="3"/>
      <c r="AR980" s="4"/>
      <c r="AS980" s="3"/>
      <c r="AT980" s="4"/>
      <c r="AU980" s="3"/>
      <c r="AV980" s="4"/>
      <c r="AW980" s="3"/>
      <c r="AX980" s="4"/>
      <c r="AY980" s="3"/>
      <c r="AZ980" s="4"/>
      <c r="BA980" s="3"/>
      <c r="BB980" s="4"/>
      <c r="BC980" s="3"/>
      <c r="BD980" s="4"/>
      <c r="BE980" s="3"/>
      <c r="BF980" s="4"/>
      <c r="BG980" s="3"/>
      <c r="BH980" s="4"/>
      <c r="BI980" s="3"/>
      <c r="BJ980" s="4"/>
      <c r="BK980" s="3"/>
      <c r="BL980" s="4"/>
      <c r="BM980" s="3"/>
      <c r="BN980" s="4"/>
      <c r="BO980" s="3"/>
      <c r="BP980" s="4"/>
      <c r="BQ980" s="3"/>
      <c r="BR980" s="4"/>
      <c r="BS980" s="3"/>
      <c r="BT980" s="4"/>
      <c r="BU980" s="3"/>
      <c r="BV980" s="4"/>
      <c r="BW980" s="3"/>
      <c r="BX980" s="4"/>
      <c r="BY980" s="3"/>
      <c r="BZ980" s="4"/>
      <c r="CA980" s="3"/>
      <c r="CB980" s="4"/>
      <c r="CC980" s="3"/>
      <c r="CD980" s="4"/>
    </row>
    <row r="981">
      <c r="A981" s="3"/>
      <c r="B981" s="4"/>
      <c r="C981" s="3"/>
      <c r="D981" s="4"/>
      <c r="E981" s="3"/>
      <c r="F981" s="4"/>
      <c r="G981" s="3"/>
      <c r="H981" s="4"/>
      <c r="I981" s="3"/>
      <c r="J981" s="4"/>
      <c r="K981" s="3"/>
      <c r="L981" s="4"/>
      <c r="M981" s="3"/>
      <c r="N981" s="4"/>
      <c r="O981" s="3"/>
      <c r="P981" s="4"/>
      <c r="Q981" s="3"/>
      <c r="R981" s="4"/>
      <c r="S981" s="3"/>
      <c r="T981" s="4"/>
      <c r="U981" s="3"/>
      <c r="V981" s="4"/>
      <c r="W981" s="3"/>
      <c r="X981" s="4"/>
      <c r="Y981" s="3"/>
      <c r="Z981" s="4"/>
      <c r="AA981" s="3"/>
      <c r="AB981" s="4"/>
      <c r="AC981" s="3"/>
      <c r="AD981" s="4"/>
      <c r="AE981" s="3"/>
      <c r="AF981" s="4"/>
      <c r="AG981" s="3"/>
      <c r="AH981" s="4"/>
      <c r="AI981" s="3"/>
      <c r="AJ981" s="4"/>
      <c r="AK981" s="3"/>
      <c r="AL981" s="4"/>
      <c r="AM981" s="3"/>
      <c r="AN981" s="4"/>
      <c r="AO981" s="3"/>
      <c r="AP981" s="4"/>
      <c r="AQ981" s="3"/>
      <c r="AR981" s="4"/>
      <c r="AS981" s="3"/>
      <c r="AT981" s="4"/>
      <c r="AU981" s="3"/>
      <c r="AV981" s="4"/>
      <c r="AW981" s="3"/>
      <c r="AX981" s="4"/>
      <c r="AY981" s="3"/>
      <c r="AZ981" s="4"/>
      <c r="BA981" s="3"/>
      <c r="BB981" s="4"/>
      <c r="BC981" s="3"/>
      <c r="BD981" s="4"/>
      <c r="BE981" s="3"/>
      <c r="BF981" s="4"/>
      <c r="BG981" s="3"/>
      <c r="BH981" s="4"/>
      <c r="BI981" s="3"/>
      <c r="BJ981" s="4"/>
      <c r="BK981" s="3"/>
      <c r="BL981" s="4"/>
      <c r="BM981" s="3"/>
      <c r="BN981" s="4"/>
      <c r="BO981" s="3"/>
      <c r="BP981" s="4"/>
      <c r="BQ981" s="3"/>
      <c r="BR981" s="4"/>
      <c r="BS981" s="3"/>
      <c r="BT981" s="4"/>
      <c r="BU981" s="3"/>
      <c r="BV981" s="4"/>
      <c r="BW981" s="3"/>
      <c r="BX981" s="4"/>
      <c r="BY981" s="3"/>
      <c r="BZ981" s="4"/>
      <c r="CA981" s="3"/>
      <c r="CB981" s="4"/>
      <c r="CC981" s="3"/>
      <c r="CD981" s="4"/>
    </row>
    <row r="982">
      <c r="A982" s="3"/>
      <c r="B982" s="4"/>
      <c r="C982" s="3"/>
      <c r="D982" s="4"/>
      <c r="E982" s="3"/>
      <c r="F982" s="4"/>
      <c r="G982" s="3"/>
      <c r="H982" s="4"/>
      <c r="I982" s="3"/>
      <c r="J982" s="4"/>
      <c r="K982" s="3"/>
      <c r="L982" s="4"/>
      <c r="M982" s="3"/>
      <c r="N982" s="4"/>
      <c r="O982" s="3"/>
      <c r="P982" s="4"/>
      <c r="Q982" s="3"/>
      <c r="R982" s="4"/>
      <c r="S982" s="3"/>
      <c r="T982" s="4"/>
      <c r="U982" s="3"/>
      <c r="V982" s="4"/>
      <c r="W982" s="3"/>
      <c r="X982" s="4"/>
      <c r="Y982" s="3"/>
      <c r="Z982" s="4"/>
      <c r="AA982" s="3"/>
      <c r="AB982" s="4"/>
      <c r="AC982" s="3"/>
      <c r="AD982" s="4"/>
      <c r="AE982" s="3"/>
      <c r="AF982" s="4"/>
      <c r="AG982" s="3"/>
      <c r="AH982" s="4"/>
      <c r="AI982" s="3"/>
      <c r="AJ982" s="4"/>
      <c r="AK982" s="3"/>
      <c r="AL982" s="4"/>
      <c r="AM982" s="3"/>
      <c r="AN982" s="4"/>
      <c r="AO982" s="3"/>
      <c r="AP982" s="4"/>
      <c r="AQ982" s="3"/>
      <c r="AR982" s="4"/>
      <c r="AS982" s="3"/>
      <c r="AT982" s="4"/>
      <c r="AU982" s="3"/>
      <c r="AV982" s="4"/>
      <c r="AW982" s="3"/>
      <c r="AX982" s="4"/>
      <c r="AY982" s="3"/>
      <c r="AZ982" s="4"/>
      <c r="BA982" s="3"/>
      <c r="BB982" s="4"/>
      <c r="BC982" s="3"/>
      <c r="BD982" s="4"/>
      <c r="BE982" s="3"/>
      <c r="BF982" s="4"/>
      <c r="BG982" s="3"/>
      <c r="BH982" s="4"/>
      <c r="BI982" s="3"/>
      <c r="BJ982" s="4"/>
      <c r="BK982" s="3"/>
      <c r="BL982" s="4"/>
      <c r="BM982" s="3"/>
      <c r="BN982" s="4"/>
      <c r="BO982" s="3"/>
      <c r="BP982" s="4"/>
      <c r="BQ982" s="3"/>
      <c r="BR982" s="4"/>
      <c r="BS982" s="3"/>
      <c r="BT982" s="4"/>
      <c r="BU982" s="3"/>
      <c r="BV982" s="4"/>
      <c r="BW982" s="3"/>
      <c r="BX982" s="4"/>
      <c r="BY982" s="3"/>
      <c r="BZ982" s="4"/>
      <c r="CA982" s="3"/>
      <c r="CB982" s="4"/>
      <c r="CC982" s="3"/>
      <c r="CD982" s="4"/>
    </row>
    <row r="983">
      <c r="A983" s="3"/>
      <c r="B983" s="4"/>
      <c r="C983" s="3"/>
      <c r="D983" s="4"/>
      <c r="E983" s="3"/>
      <c r="F983" s="4"/>
      <c r="G983" s="3"/>
      <c r="H983" s="4"/>
      <c r="I983" s="3"/>
      <c r="J983" s="4"/>
      <c r="K983" s="3"/>
      <c r="L983" s="4"/>
      <c r="M983" s="3"/>
      <c r="N983" s="4"/>
      <c r="O983" s="3"/>
      <c r="P983" s="4"/>
      <c r="Q983" s="3"/>
      <c r="R983" s="4"/>
      <c r="S983" s="3"/>
      <c r="T983" s="4"/>
      <c r="U983" s="3"/>
      <c r="V983" s="4"/>
      <c r="W983" s="3"/>
      <c r="X983" s="4"/>
      <c r="Y983" s="3"/>
      <c r="Z983" s="4"/>
      <c r="AA983" s="3"/>
      <c r="AB983" s="4"/>
      <c r="AC983" s="3"/>
      <c r="AD983" s="4"/>
      <c r="AE983" s="3"/>
      <c r="AF983" s="4"/>
      <c r="AG983" s="3"/>
      <c r="AH983" s="4"/>
      <c r="AI983" s="3"/>
      <c r="AJ983" s="4"/>
      <c r="AK983" s="3"/>
      <c r="AL983" s="4"/>
      <c r="AM983" s="3"/>
      <c r="AN983" s="4"/>
      <c r="AO983" s="3"/>
      <c r="AP983" s="4"/>
      <c r="AQ983" s="3"/>
      <c r="AR983" s="4"/>
      <c r="AS983" s="3"/>
      <c r="AT983" s="4"/>
      <c r="AU983" s="3"/>
      <c r="AV983" s="4"/>
      <c r="AW983" s="3"/>
      <c r="AX983" s="4"/>
      <c r="AY983" s="3"/>
      <c r="AZ983" s="4"/>
      <c r="BA983" s="3"/>
      <c r="BB983" s="4"/>
      <c r="BC983" s="3"/>
      <c r="BD983" s="4"/>
      <c r="BE983" s="3"/>
      <c r="BF983" s="4"/>
      <c r="BG983" s="3"/>
      <c r="BH983" s="4"/>
      <c r="BI983" s="3"/>
      <c r="BJ983" s="4"/>
      <c r="BK983" s="3"/>
      <c r="BL983" s="4"/>
      <c r="BM983" s="3"/>
      <c r="BN983" s="4"/>
      <c r="BO983" s="3"/>
      <c r="BP983" s="4"/>
      <c r="BQ983" s="3"/>
      <c r="BR983" s="4"/>
      <c r="BS983" s="3"/>
      <c r="BT983" s="4"/>
      <c r="BU983" s="3"/>
      <c r="BV983" s="4"/>
      <c r="BW983" s="3"/>
      <c r="BX983" s="4"/>
      <c r="BY983" s="3"/>
      <c r="BZ983" s="4"/>
      <c r="CA983" s="3"/>
      <c r="CB983" s="4"/>
      <c r="CC983" s="3"/>
      <c r="CD983" s="4"/>
    </row>
    <row r="984">
      <c r="A984" s="3"/>
      <c r="B984" s="4"/>
      <c r="C984" s="3"/>
      <c r="D984" s="4"/>
      <c r="E984" s="3"/>
      <c r="F984" s="4"/>
      <c r="G984" s="3"/>
      <c r="H984" s="4"/>
      <c r="I984" s="3"/>
      <c r="J984" s="4"/>
      <c r="K984" s="3"/>
      <c r="L984" s="4"/>
      <c r="M984" s="3"/>
      <c r="N984" s="4"/>
      <c r="O984" s="3"/>
      <c r="P984" s="4"/>
      <c r="Q984" s="3"/>
      <c r="R984" s="4"/>
      <c r="S984" s="3"/>
      <c r="T984" s="4"/>
      <c r="U984" s="3"/>
      <c r="V984" s="4"/>
      <c r="W984" s="3"/>
      <c r="X984" s="4"/>
      <c r="Y984" s="3"/>
      <c r="Z984" s="4"/>
      <c r="AA984" s="3"/>
      <c r="AB984" s="4"/>
      <c r="AC984" s="3"/>
      <c r="AD984" s="4"/>
      <c r="AE984" s="3"/>
      <c r="AF984" s="4"/>
      <c r="AG984" s="3"/>
      <c r="AH984" s="4"/>
      <c r="AI984" s="3"/>
      <c r="AJ984" s="4"/>
      <c r="AK984" s="3"/>
      <c r="AL984" s="4"/>
      <c r="AM984" s="3"/>
      <c r="AN984" s="4"/>
      <c r="AO984" s="3"/>
      <c r="AP984" s="4"/>
      <c r="AQ984" s="3"/>
      <c r="AR984" s="4"/>
      <c r="AS984" s="3"/>
      <c r="AT984" s="4"/>
      <c r="AU984" s="3"/>
      <c r="AV984" s="4"/>
      <c r="AW984" s="3"/>
      <c r="AX984" s="4"/>
      <c r="AY984" s="3"/>
      <c r="AZ984" s="4"/>
      <c r="BA984" s="3"/>
      <c r="BB984" s="4"/>
      <c r="BC984" s="3"/>
      <c r="BD984" s="4"/>
      <c r="BE984" s="3"/>
      <c r="BF984" s="4"/>
      <c r="BG984" s="3"/>
      <c r="BH984" s="4"/>
      <c r="BI984" s="3"/>
      <c r="BJ984" s="4"/>
      <c r="BK984" s="3"/>
      <c r="BL984" s="4"/>
      <c r="BM984" s="3"/>
      <c r="BN984" s="4"/>
      <c r="BO984" s="3"/>
      <c r="BP984" s="4"/>
      <c r="BQ984" s="3"/>
      <c r="BR984" s="4"/>
      <c r="BS984" s="3"/>
      <c r="BT984" s="4"/>
      <c r="BU984" s="3"/>
      <c r="BV984" s="4"/>
      <c r="BW984" s="3"/>
      <c r="BX984" s="4"/>
      <c r="BY984" s="3"/>
      <c r="BZ984" s="4"/>
      <c r="CA984" s="3"/>
      <c r="CB984" s="4"/>
      <c r="CC984" s="3"/>
      <c r="CD984" s="4"/>
    </row>
    <row r="985">
      <c r="A985" s="3"/>
      <c r="B985" s="4"/>
      <c r="C985" s="3"/>
      <c r="D985" s="4"/>
      <c r="E985" s="3"/>
      <c r="F985" s="4"/>
      <c r="G985" s="3"/>
      <c r="H985" s="4"/>
      <c r="I985" s="3"/>
      <c r="J985" s="4"/>
      <c r="K985" s="3"/>
      <c r="L985" s="4"/>
      <c r="M985" s="3"/>
      <c r="N985" s="4"/>
      <c r="O985" s="3"/>
      <c r="P985" s="4"/>
      <c r="Q985" s="3"/>
      <c r="R985" s="4"/>
      <c r="S985" s="3"/>
      <c r="T985" s="4"/>
      <c r="U985" s="3"/>
      <c r="V985" s="4"/>
      <c r="W985" s="3"/>
      <c r="X985" s="4"/>
      <c r="Y985" s="3"/>
      <c r="Z985" s="4"/>
      <c r="AA985" s="3"/>
      <c r="AB985" s="4"/>
      <c r="AC985" s="3"/>
      <c r="AD985" s="4"/>
      <c r="AE985" s="3"/>
      <c r="AF985" s="4"/>
      <c r="AG985" s="3"/>
      <c r="AH985" s="4"/>
      <c r="AI985" s="3"/>
      <c r="AJ985" s="4"/>
      <c r="AK985" s="3"/>
      <c r="AL985" s="4"/>
      <c r="AM985" s="3"/>
      <c r="AN985" s="4"/>
      <c r="AO985" s="3"/>
      <c r="AP985" s="4"/>
      <c r="AQ985" s="3"/>
      <c r="AR985" s="4"/>
      <c r="AS985" s="3"/>
      <c r="AT985" s="4"/>
      <c r="AU985" s="3"/>
      <c r="AV985" s="4"/>
      <c r="AW985" s="3"/>
      <c r="AX985" s="4"/>
      <c r="AY985" s="3"/>
      <c r="AZ985" s="4"/>
      <c r="BA985" s="3"/>
      <c r="BB985" s="4"/>
      <c r="BC985" s="3"/>
      <c r="BD985" s="4"/>
      <c r="BE985" s="3"/>
      <c r="BF985" s="4"/>
      <c r="BG985" s="3"/>
      <c r="BH985" s="4"/>
      <c r="BI985" s="3"/>
      <c r="BJ985" s="4"/>
      <c r="BK985" s="3"/>
      <c r="BL985" s="4"/>
      <c r="BM985" s="3"/>
      <c r="BN985" s="4"/>
      <c r="BO985" s="3"/>
      <c r="BP985" s="4"/>
      <c r="BQ985" s="3"/>
      <c r="BR985" s="4"/>
      <c r="BS985" s="3"/>
      <c r="BT985" s="4"/>
      <c r="BU985" s="3"/>
      <c r="BV985" s="4"/>
      <c r="BW985" s="3"/>
      <c r="BX985" s="4"/>
      <c r="BY985" s="3"/>
      <c r="BZ985" s="4"/>
      <c r="CA985" s="3"/>
      <c r="CB985" s="4"/>
      <c r="CC985" s="3"/>
      <c r="CD985" s="4"/>
    </row>
    <row r="986">
      <c r="A986" s="3"/>
      <c r="B986" s="4"/>
      <c r="C986" s="3"/>
      <c r="D986" s="4"/>
      <c r="E986" s="3"/>
      <c r="F986" s="4"/>
      <c r="G986" s="3"/>
      <c r="H986" s="4"/>
      <c r="I986" s="3"/>
      <c r="J986" s="4"/>
      <c r="K986" s="3"/>
      <c r="L986" s="4"/>
      <c r="M986" s="3"/>
      <c r="N986" s="4"/>
      <c r="O986" s="3"/>
      <c r="P986" s="4"/>
      <c r="Q986" s="3"/>
      <c r="R986" s="4"/>
      <c r="S986" s="3"/>
      <c r="T986" s="4"/>
      <c r="U986" s="3"/>
      <c r="V986" s="4"/>
      <c r="W986" s="3"/>
      <c r="X986" s="4"/>
      <c r="Y986" s="3"/>
      <c r="Z986" s="4"/>
      <c r="AA986" s="3"/>
      <c r="AB986" s="4"/>
      <c r="AC986" s="3"/>
      <c r="AD986" s="4"/>
      <c r="AE986" s="3"/>
      <c r="AF986" s="4"/>
      <c r="AG986" s="3"/>
      <c r="AH986" s="4"/>
      <c r="AI986" s="3"/>
      <c r="AJ986" s="4"/>
      <c r="AK986" s="3"/>
      <c r="AL986" s="4"/>
      <c r="AM986" s="3"/>
      <c r="AN986" s="4"/>
      <c r="AO986" s="3"/>
      <c r="AP986" s="4"/>
      <c r="AQ986" s="3"/>
      <c r="AR986" s="4"/>
      <c r="AS986" s="3"/>
      <c r="AT986" s="4"/>
      <c r="AU986" s="3"/>
      <c r="AV986" s="4"/>
      <c r="AW986" s="3"/>
      <c r="AX986" s="4"/>
      <c r="AY986" s="3"/>
      <c r="AZ986" s="4"/>
      <c r="BA986" s="3"/>
      <c r="BB986" s="4"/>
      <c r="BC986" s="3"/>
      <c r="BD986" s="4"/>
      <c r="BE986" s="3"/>
      <c r="BF986" s="4"/>
      <c r="BG986" s="3"/>
      <c r="BH986" s="4"/>
      <c r="BI986" s="3"/>
      <c r="BJ986" s="4"/>
      <c r="BK986" s="3"/>
      <c r="BL986" s="4"/>
      <c r="BM986" s="3"/>
      <c r="BN986" s="4"/>
      <c r="BO986" s="3"/>
      <c r="BP986" s="4"/>
      <c r="BQ986" s="3"/>
      <c r="BR986" s="4"/>
      <c r="BS986" s="3"/>
      <c r="BT986" s="4"/>
      <c r="BU986" s="3"/>
      <c r="BV986" s="4"/>
      <c r="BW986" s="3"/>
      <c r="BX986" s="4"/>
      <c r="BY986" s="3"/>
      <c r="BZ986" s="4"/>
      <c r="CA986" s="3"/>
      <c r="CB986" s="4"/>
      <c r="CC986" s="3"/>
      <c r="CD986" s="4"/>
    </row>
    <row r="987">
      <c r="A987" s="3"/>
      <c r="B987" s="4"/>
      <c r="C987" s="3"/>
      <c r="D987" s="4"/>
      <c r="E987" s="3"/>
      <c r="F987" s="4"/>
      <c r="G987" s="3"/>
      <c r="H987" s="4"/>
      <c r="I987" s="3"/>
      <c r="J987" s="4"/>
      <c r="K987" s="3"/>
      <c r="L987" s="4"/>
      <c r="M987" s="3"/>
      <c r="N987" s="4"/>
      <c r="O987" s="3"/>
      <c r="P987" s="4"/>
      <c r="Q987" s="3"/>
      <c r="R987" s="4"/>
      <c r="S987" s="3"/>
      <c r="T987" s="4"/>
      <c r="U987" s="3"/>
      <c r="V987" s="4"/>
      <c r="W987" s="3"/>
      <c r="X987" s="4"/>
      <c r="Y987" s="3"/>
      <c r="Z987" s="4"/>
      <c r="AA987" s="3"/>
      <c r="AB987" s="4"/>
      <c r="AC987" s="3"/>
      <c r="AD987" s="4"/>
      <c r="AE987" s="3"/>
      <c r="AF987" s="4"/>
      <c r="AG987" s="3"/>
      <c r="AH987" s="4"/>
      <c r="AI987" s="3"/>
      <c r="AJ987" s="4"/>
      <c r="AK987" s="3"/>
      <c r="AL987" s="4"/>
      <c r="AM987" s="3"/>
      <c r="AN987" s="4"/>
      <c r="AO987" s="3"/>
      <c r="AP987" s="4"/>
      <c r="AQ987" s="3"/>
      <c r="AR987" s="4"/>
      <c r="AS987" s="3"/>
      <c r="AT987" s="4"/>
      <c r="AU987" s="3"/>
      <c r="AV987" s="4"/>
      <c r="AW987" s="3"/>
      <c r="AX987" s="4"/>
      <c r="AY987" s="3"/>
      <c r="AZ987" s="4"/>
      <c r="BA987" s="3"/>
      <c r="BB987" s="4"/>
      <c r="BC987" s="3"/>
      <c r="BD987" s="4"/>
      <c r="BE987" s="3"/>
      <c r="BF987" s="4"/>
      <c r="BG987" s="3"/>
      <c r="BH987" s="4"/>
      <c r="BI987" s="3"/>
      <c r="BJ987" s="4"/>
      <c r="BK987" s="3"/>
      <c r="BL987" s="4"/>
      <c r="BM987" s="3"/>
      <c r="BN987" s="4"/>
      <c r="BO987" s="3"/>
      <c r="BP987" s="4"/>
      <c r="BQ987" s="3"/>
      <c r="BR987" s="4"/>
      <c r="BS987" s="3"/>
      <c r="BT987" s="4"/>
      <c r="BU987" s="3"/>
      <c r="BV987" s="4"/>
      <c r="BW987" s="3"/>
      <c r="BX987" s="4"/>
      <c r="BY987" s="3"/>
      <c r="BZ987" s="4"/>
      <c r="CA987" s="3"/>
      <c r="CB987" s="4"/>
      <c r="CC987" s="3"/>
      <c r="CD987" s="4"/>
    </row>
    <row r="988">
      <c r="A988" s="3"/>
      <c r="B988" s="4"/>
      <c r="C988" s="3"/>
      <c r="D988" s="4"/>
      <c r="E988" s="3"/>
      <c r="F988" s="4"/>
      <c r="G988" s="3"/>
      <c r="H988" s="4"/>
      <c r="I988" s="3"/>
      <c r="J988" s="4"/>
      <c r="K988" s="3"/>
      <c r="L988" s="4"/>
      <c r="M988" s="3"/>
      <c r="N988" s="4"/>
      <c r="O988" s="3"/>
      <c r="P988" s="4"/>
      <c r="Q988" s="3"/>
      <c r="R988" s="4"/>
      <c r="S988" s="3"/>
      <c r="T988" s="4"/>
      <c r="U988" s="3"/>
      <c r="V988" s="4"/>
      <c r="W988" s="3"/>
      <c r="X988" s="4"/>
      <c r="Y988" s="3"/>
      <c r="Z988" s="4"/>
      <c r="AA988" s="3"/>
      <c r="AB988" s="4"/>
      <c r="AC988" s="3"/>
      <c r="AD988" s="4"/>
      <c r="AE988" s="3"/>
      <c r="AF988" s="4"/>
      <c r="AG988" s="3"/>
      <c r="AH988" s="4"/>
      <c r="AI988" s="3"/>
      <c r="AJ988" s="4"/>
      <c r="AK988" s="3"/>
      <c r="AL988" s="4"/>
      <c r="AM988" s="3"/>
      <c r="AN988" s="4"/>
      <c r="AO988" s="3"/>
      <c r="AP988" s="4"/>
      <c r="AQ988" s="3"/>
      <c r="AR988" s="4"/>
      <c r="AS988" s="3"/>
      <c r="AT988" s="4"/>
      <c r="AU988" s="3"/>
      <c r="AV988" s="4"/>
      <c r="AW988" s="3"/>
      <c r="AX988" s="4"/>
      <c r="AY988" s="3"/>
      <c r="AZ988" s="4"/>
      <c r="BA988" s="3"/>
      <c r="BB988" s="4"/>
      <c r="BC988" s="3"/>
      <c r="BD988" s="4"/>
      <c r="BE988" s="3"/>
      <c r="BF988" s="4"/>
      <c r="BG988" s="3"/>
      <c r="BH988" s="4"/>
      <c r="BI988" s="3"/>
      <c r="BJ988" s="4"/>
      <c r="BK988" s="3"/>
      <c r="BL988" s="4"/>
      <c r="BM988" s="3"/>
      <c r="BN988" s="4"/>
      <c r="BO988" s="3"/>
      <c r="BP988" s="4"/>
      <c r="BQ988" s="3"/>
      <c r="BR988" s="4"/>
      <c r="BS988" s="3"/>
      <c r="BT988" s="4"/>
      <c r="BU988" s="3"/>
      <c r="BV988" s="4"/>
      <c r="BW988" s="3"/>
      <c r="BX988" s="4"/>
      <c r="BY988" s="3"/>
      <c r="BZ988" s="4"/>
      <c r="CA988" s="3"/>
      <c r="CB988" s="4"/>
      <c r="CC988" s="3"/>
      <c r="CD988" s="4"/>
    </row>
    <row r="989">
      <c r="A989" s="3"/>
      <c r="B989" s="4"/>
      <c r="C989" s="3"/>
      <c r="D989" s="4"/>
      <c r="E989" s="3"/>
      <c r="F989" s="4"/>
      <c r="G989" s="3"/>
      <c r="H989" s="4"/>
      <c r="I989" s="3"/>
      <c r="J989" s="4"/>
      <c r="K989" s="3"/>
      <c r="L989" s="4"/>
      <c r="M989" s="3"/>
      <c r="N989" s="4"/>
      <c r="O989" s="3"/>
      <c r="P989" s="4"/>
      <c r="Q989" s="3"/>
      <c r="R989" s="4"/>
      <c r="S989" s="3"/>
      <c r="T989" s="4"/>
      <c r="U989" s="3"/>
      <c r="V989" s="4"/>
      <c r="W989" s="3"/>
      <c r="X989" s="4"/>
      <c r="Y989" s="3"/>
      <c r="Z989" s="4"/>
      <c r="AA989" s="3"/>
      <c r="AB989" s="4"/>
      <c r="AC989" s="3"/>
      <c r="AD989" s="4"/>
      <c r="AE989" s="3"/>
      <c r="AF989" s="4"/>
      <c r="AG989" s="3"/>
      <c r="AH989" s="4"/>
      <c r="AI989" s="3"/>
      <c r="AJ989" s="4"/>
      <c r="AK989" s="3"/>
      <c r="AL989" s="4"/>
      <c r="AM989" s="3"/>
      <c r="AN989" s="4"/>
      <c r="AO989" s="3"/>
      <c r="AP989" s="4"/>
      <c r="AQ989" s="3"/>
      <c r="AR989" s="4"/>
      <c r="AS989" s="3"/>
      <c r="AT989" s="4"/>
      <c r="AU989" s="3"/>
      <c r="AV989" s="4"/>
      <c r="AW989" s="3"/>
      <c r="AX989" s="4"/>
      <c r="AY989" s="3"/>
      <c r="AZ989" s="4"/>
      <c r="BA989" s="3"/>
      <c r="BB989" s="4"/>
      <c r="BC989" s="3"/>
      <c r="BD989" s="4"/>
      <c r="BE989" s="3"/>
      <c r="BF989" s="4"/>
      <c r="BG989" s="3"/>
      <c r="BH989" s="4"/>
      <c r="BI989" s="3"/>
      <c r="BJ989" s="4"/>
      <c r="BK989" s="3"/>
      <c r="BL989" s="4"/>
      <c r="BM989" s="3"/>
      <c r="BN989" s="4"/>
      <c r="BO989" s="3"/>
      <c r="BP989" s="4"/>
      <c r="BQ989" s="3"/>
      <c r="BR989" s="4"/>
      <c r="BS989" s="3"/>
      <c r="BT989" s="4"/>
      <c r="BU989" s="3"/>
      <c r="BV989" s="4"/>
      <c r="BW989" s="3"/>
      <c r="BX989" s="4"/>
      <c r="BY989" s="3"/>
      <c r="BZ989" s="4"/>
      <c r="CA989" s="3"/>
      <c r="CB989" s="4"/>
      <c r="CC989" s="3"/>
      <c r="CD989" s="4"/>
    </row>
    <row r="990">
      <c r="A990" s="3"/>
      <c r="B990" s="4"/>
      <c r="C990" s="3"/>
      <c r="D990" s="4"/>
      <c r="E990" s="3"/>
      <c r="F990" s="4"/>
      <c r="G990" s="3"/>
      <c r="H990" s="4"/>
      <c r="I990" s="3"/>
      <c r="J990" s="4"/>
      <c r="K990" s="3"/>
      <c r="L990" s="4"/>
      <c r="M990" s="3"/>
      <c r="N990" s="4"/>
      <c r="O990" s="3"/>
      <c r="P990" s="4"/>
      <c r="Q990" s="3"/>
      <c r="R990" s="4"/>
      <c r="S990" s="3"/>
      <c r="T990" s="4"/>
      <c r="U990" s="3"/>
      <c r="V990" s="4"/>
      <c r="W990" s="3"/>
      <c r="X990" s="4"/>
      <c r="Y990" s="3"/>
      <c r="Z990" s="4"/>
      <c r="AA990" s="3"/>
      <c r="AB990" s="4"/>
      <c r="AC990" s="3"/>
      <c r="AD990" s="4"/>
      <c r="AE990" s="3"/>
      <c r="AF990" s="4"/>
      <c r="AG990" s="3"/>
      <c r="AH990" s="4"/>
      <c r="AI990" s="3"/>
      <c r="AJ990" s="4"/>
      <c r="AK990" s="3"/>
      <c r="AL990" s="4"/>
      <c r="AM990" s="3"/>
      <c r="AN990" s="4"/>
      <c r="AO990" s="3"/>
      <c r="AP990" s="4"/>
      <c r="AQ990" s="3"/>
      <c r="AR990" s="4"/>
      <c r="AS990" s="3"/>
      <c r="AT990" s="4"/>
      <c r="AU990" s="3"/>
      <c r="AV990" s="4"/>
      <c r="AW990" s="3"/>
      <c r="AX990" s="4"/>
      <c r="AY990" s="3"/>
      <c r="AZ990" s="4"/>
      <c r="BA990" s="3"/>
      <c r="BB990" s="4"/>
      <c r="BC990" s="3"/>
      <c r="BD990" s="4"/>
      <c r="BE990" s="3"/>
      <c r="BF990" s="4"/>
      <c r="BG990" s="3"/>
      <c r="BH990" s="4"/>
      <c r="BI990" s="3"/>
      <c r="BJ990" s="4"/>
      <c r="BK990" s="3"/>
      <c r="BL990" s="4"/>
      <c r="BM990" s="3"/>
      <c r="BN990" s="4"/>
      <c r="BO990" s="3"/>
      <c r="BP990" s="4"/>
      <c r="BQ990" s="3"/>
      <c r="BR990" s="4"/>
      <c r="BS990" s="3"/>
      <c r="BT990" s="4"/>
      <c r="BU990" s="3"/>
      <c r="BV990" s="4"/>
      <c r="BW990" s="3"/>
      <c r="BX990" s="4"/>
      <c r="BY990" s="3"/>
      <c r="BZ990" s="4"/>
      <c r="CA990" s="3"/>
      <c r="CB990" s="4"/>
      <c r="CC990" s="3"/>
      <c r="CD990" s="4"/>
    </row>
    <row r="991">
      <c r="A991" s="3"/>
      <c r="B991" s="4"/>
      <c r="C991" s="3"/>
      <c r="D991" s="4"/>
      <c r="E991" s="3"/>
      <c r="F991" s="4"/>
      <c r="G991" s="3"/>
      <c r="H991" s="4"/>
      <c r="I991" s="3"/>
      <c r="J991" s="4"/>
      <c r="K991" s="3"/>
      <c r="L991" s="4"/>
      <c r="M991" s="3"/>
      <c r="N991" s="4"/>
      <c r="O991" s="3"/>
      <c r="P991" s="4"/>
      <c r="Q991" s="3"/>
      <c r="R991" s="4"/>
      <c r="S991" s="3"/>
      <c r="T991" s="4"/>
      <c r="U991" s="3"/>
      <c r="V991" s="4"/>
      <c r="W991" s="3"/>
      <c r="X991" s="4"/>
      <c r="Y991" s="3"/>
      <c r="Z991" s="4"/>
      <c r="AA991" s="3"/>
      <c r="AB991" s="4"/>
      <c r="AC991" s="3"/>
      <c r="AD991" s="4"/>
      <c r="AE991" s="3"/>
      <c r="AF991" s="4"/>
      <c r="AG991" s="3"/>
      <c r="AH991" s="4"/>
      <c r="AI991" s="3"/>
      <c r="AJ991" s="4"/>
      <c r="AK991" s="3"/>
      <c r="AL991" s="4"/>
      <c r="AM991" s="3"/>
      <c r="AN991" s="4"/>
      <c r="AO991" s="3"/>
      <c r="AP991" s="4"/>
      <c r="AQ991" s="3"/>
      <c r="AR991" s="4"/>
      <c r="AS991" s="3"/>
      <c r="AT991" s="4"/>
      <c r="AU991" s="3"/>
      <c r="AV991" s="4"/>
      <c r="AW991" s="3"/>
      <c r="AX991" s="4"/>
      <c r="AY991" s="3"/>
      <c r="AZ991" s="4"/>
      <c r="BA991" s="3"/>
      <c r="BB991" s="4"/>
      <c r="BC991" s="3"/>
      <c r="BD991" s="4"/>
      <c r="BE991" s="3"/>
      <c r="BF991" s="4"/>
      <c r="BG991" s="3"/>
      <c r="BH991" s="4"/>
      <c r="BI991" s="3"/>
      <c r="BJ991" s="4"/>
      <c r="BK991" s="3"/>
      <c r="BL991" s="4"/>
      <c r="BM991" s="3"/>
      <c r="BN991" s="4"/>
      <c r="BO991" s="3"/>
      <c r="BP991" s="4"/>
      <c r="BQ991" s="3"/>
      <c r="BR991" s="4"/>
      <c r="BS991" s="3"/>
      <c r="BT991" s="4"/>
      <c r="BU991" s="3"/>
      <c r="BV991" s="4"/>
      <c r="BW991" s="3"/>
      <c r="BX991" s="4"/>
      <c r="BY991" s="3"/>
      <c r="BZ991" s="4"/>
      <c r="CA991" s="3"/>
      <c r="CB991" s="4"/>
      <c r="CC991" s="3"/>
      <c r="CD991" s="4"/>
    </row>
    <row r="992">
      <c r="A992" s="3"/>
      <c r="B992" s="4"/>
      <c r="C992" s="3"/>
      <c r="D992" s="4"/>
      <c r="E992" s="3"/>
      <c r="F992" s="4"/>
      <c r="G992" s="3"/>
      <c r="H992" s="4"/>
      <c r="I992" s="3"/>
      <c r="J992" s="4"/>
      <c r="K992" s="3"/>
      <c r="L992" s="4"/>
      <c r="M992" s="3"/>
      <c r="N992" s="4"/>
      <c r="O992" s="3"/>
      <c r="P992" s="4"/>
      <c r="Q992" s="3"/>
      <c r="R992" s="4"/>
      <c r="S992" s="3"/>
      <c r="T992" s="4"/>
      <c r="U992" s="3"/>
      <c r="V992" s="4"/>
      <c r="W992" s="3"/>
      <c r="X992" s="4"/>
      <c r="Y992" s="3"/>
      <c r="Z992" s="4"/>
      <c r="AA992" s="3"/>
      <c r="AB992" s="4"/>
      <c r="AC992" s="3"/>
      <c r="AD992" s="4"/>
      <c r="AE992" s="3"/>
      <c r="AF992" s="4"/>
      <c r="AG992" s="3"/>
      <c r="AH992" s="4"/>
      <c r="AI992" s="3"/>
      <c r="AJ992" s="4"/>
      <c r="AK992" s="3"/>
      <c r="AL992" s="4"/>
      <c r="AM992" s="3"/>
      <c r="AN992" s="4"/>
      <c r="AO992" s="3"/>
      <c r="AP992" s="4"/>
      <c r="AQ992" s="3"/>
      <c r="AR992" s="4"/>
      <c r="AS992" s="3"/>
      <c r="AT992" s="4"/>
      <c r="AU992" s="3"/>
      <c r="AV992" s="4"/>
      <c r="AW992" s="3"/>
      <c r="AX992" s="4"/>
      <c r="AY992" s="3"/>
      <c r="AZ992" s="4"/>
      <c r="BA992" s="3"/>
      <c r="BB992" s="4"/>
      <c r="BC992" s="3"/>
      <c r="BD992" s="4"/>
      <c r="BE992" s="3"/>
      <c r="BF992" s="4"/>
      <c r="BG992" s="3"/>
      <c r="BH992" s="4"/>
      <c r="BI992" s="3"/>
      <c r="BJ992" s="4"/>
      <c r="BK992" s="3"/>
      <c r="BL992" s="4"/>
      <c r="BM992" s="3"/>
      <c r="BN992" s="4"/>
      <c r="BO992" s="3"/>
      <c r="BP992" s="4"/>
      <c r="BQ992" s="3"/>
      <c r="BR992" s="4"/>
      <c r="BS992" s="3"/>
      <c r="BT992" s="4"/>
      <c r="BU992" s="3"/>
      <c r="BV992" s="4"/>
      <c r="BW992" s="3"/>
      <c r="BX992" s="4"/>
      <c r="BY992" s="3"/>
      <c r="BZ992" s="4"/>
      <c r="CA992" s="3"/>
      <c r="CB992" s="4"/>
      <c r="CC992" s="3"/>
      <c r="CD992" s="4"/>
    </row>
    <row r="993">
      <c r="A993" s="3"/>
      <c r="B993" s="4"/>
      <c r="C993" s="3"/>
      <c r="D993" s="4"/>
      <c r="E993" s="3"/>
      <c r="F993" s="4"/>
      <c r="G993" s="3"/>
      <c r="H993" s="4"/>
      <c r="I993" s="3"/>
      <c r="J993" s="4"/>
      <c r="K993" s="3"/>
      <c r="L993" s="4"/>
      <c r="M993" s="3"/>
      <c r="N993" s="4"/>
      <c r="O993" s="3"/>
      <c r="P993" s="4"/>
      <c r="Q993" s="3"/>
      <c r="R993" s="4"/>
      <c r="S993" s="3"/>
      <c r="T993" s="4"/>
      <c r="U993" s="3"/>
      <c r="V993" s="4"/>
      <c r="W993" s="3"/>
      <c r="X993" s="4"/>
      <c r="Y993" s="3"/>
      <c r="Z993" s="4"/>
      <c r="AA993" s="3"/>
      <c r="AB993" s="4"/>
      <c r="AC993" s="3"/>
      <c r="AD993" s="4"/>
      <c r="AE993" s="3"/>
      <c r="AF993" s="4"/>
      <c r="AG993" s="3"/>
      <c r="AH993" s="4"/>
      <c r="AI993" s="3"/>
      <c r="AJ993" s="4"/>
      <c r="AK993" s="3"/>
      <c r="AL993" s="4"/>
      <c r="AM993" s="3"/>
      <c r="AN993" s="4"/>
      <c r="AO993" s="3"/>
      <c r="AP993" s="4"/>
      <c r="AQ993" s="3"/>
      <c r="AR993" s="4"/>
      <c r="AS993" s="3"/>
      <c r="AT993" s="4"/>
      <c r="AU993" s="3"/>
      <c r="AV993" s="4"/>
      <c r="AW993" s="3"/>
      <c r="AX993" s="4"/>
      <c r="AY993" s="3"/>
      <c r="AZ993" s="4"/>
      <c r="BA993" s="3"/>
      <c r="BB993" s="4"/>
      <c r="BC993" s="3"/>
      <c r="BD993" s="4"/>
      <c r="BE993" s="3"/>
      <c r="BF993" s="4"/>
      <c r="BG993" s="3"/>
      <c r="BH993" s="4"/>
      <c r="BI993" s="3"/>
      <c r="BJ993" s="4"/>
      <c r="BK993" s="3"/>
      <c r="BL993" s="4"/>
      <c r="BM993" s="3"/>
      <c r="BN993" s="4"/>
      <c r="BO993" s="3"/>
      <c r="BP993" s="4"/>
      <c r="BQ993" s="3"/>
      <c r="BR993" s="4"/>
      <c r="BS993" s="3"/>
      <c r="BT993" s="4"/>
      <c r="BU993" s="3"/>
      <c r="BV993" s="4"/>
      <c r="BW993" s="3"/>
      <c r="BX993" s="4"/>
      <c r="BY993" s="3"/>
      <c r="BZ993" s="4"/>
      <c r="CA993" s="3"/>
      <c r="CB993" s="4"/>
      <c r="CC993" s="3"/>
      <c r="CD993" s="4"/>
    </row>
    <row r="994">
      <c r="A994" s="3"/>
      <c r="B994" s="4"/>
      <c r="C994" s="3"/>
      <c r="D994" s="4"/>
      <c r="E994" s="3"/>
      <c r="F994" s="4"/>
      <c r="G994" s="3"/>
      <c r="H994" s="4"/>
      <c r="I994" s="3"/>
      <c r="J994" s="4"/>
      <c r="K994" s="3"/>
      <c r="L994" s="4"/>
      <c r="M994" s="3"/>
      <c r="N994" s="4"/>
      <c r="O994" s="3"/>
      <c r="P994" s="4"/>
      <c r="Q994" s="3"/>
      <c r="R994" s="4"/>
      <c r="S994" s="3"/>
      <c r="T994" s="4"/>
      <c r="U994" s="3"/>
      <c r="V994" s="4"/>
      <c r="W994" s="3"/>
      <c r="X994" s="4"/>
      <c r="Y994" s="3"/>
      <c r="Z994" s="4"/>
      <c r="AA994" s="3"/>
      <c r="AB994" s="4"/>
      <c r="AC994" s="3"/>
      <c r="AD994" s="4"/>
      <c r="AE994" s="3"/>
      <c r="AF994" s="4"/>
      <c r="AG994" s="3"/>
      <c r="AH994" s="4"/>
      <c r="AI994" s="3"/>
      <c r="AJ994" s="4"/>
      <c r="AK994" s="3"/>
      <c r="AL994" s="4"/>
      <c r="AM994" s="3"/>
      <c r="AN994" s="4"/>
      <c r="AO994" s="3"/>
      <c r="AP994" s="4"/>
      <c r="AQ994" s="3"/>
      <c r="AR994" s="4"/>
      <c r="AS994" s="3"/>
      <c r="AT994" s="4"/>
      <c r="AU994" s="3"/>
      <c r="AV994" s="4"/>
      <c r="AW994" s="3"/>
      <c r="AX994" s="4"/>
      <c r="AY994" s="3"/>
      <c r="AZ994" s="4"/>
      <c r="BA994" s="3"/>
      <c r="BB994" s="4"/>
      <c r="BC994" s="3"/>
      <c r="BD994" s="4"/>
      <c r="BE994" s="3"/>
      <c r="BF994" s="4"/>
      <c r="BG994" s="3"/>
      <c r="BH994" s="4"/>
      <c r="BI994" s="3"/>
      <c r="BJ994" s="4"/>
      <c r="BK994" s="3"/>
      <c r="BL994" s="4"/>
      <c r="BM994" s="3"/>
      <c r="BN994" s="4"/>
      <c r="BO994" s="3"/>
      <c r="BP994" s="4"/>
      <c r="BQ994" s="3"/>
      <c r="BR994" s="4"/>
      <c r="BS994" s="3"/>
      <c r="BT994" s="4"/>
      <c r="BU994" s="3"/>
      <c r="BV994" s="4"/>
      <c r="BW994" s="3"/>
      <c r="BX994" s="4"/>
      <c r="BY994" s="3"/>
      <c r="BZ994" s="4"/>
      <c r="CA994" s="3"/>
      <c r="CB994" s="4"/>
      <c r="CC994" s="3"/>
      <c r="CD994" s="4"/>
    </row>
    <row r="995">
      <c r="A995" s="3"/>
      <c r="B995" s="4"/>
      <c r="C995" s="3"/>
      <c r="D995" s="4"/>
      <c r="E995" s="3"/>
      <c r="F995" s="4"/>
      <c r="G995" s="3"/>
      <c r="H995" s="4"/>
      <c r="I995" s="3"/>
      <c r="J995" s="4"/>
      <c r="K995" s="3"/>
      <c r="L995" s="4"/>
      <c r="M995" s="3"/>
      <c r="N995" s="4"/>
      <c r="O995" s="3"/>
      <c r="P995" s="4"/>
      <c r="Q995" s="3"/>
      <c r="R995" s="4"/>
      <c r="S995" s="3"/>
      <c r="T995" s="4"/>
      <c r="U995" s="3"/>
      <c r="V995" s="4"/>
      <c r="W995" s="3"/>
      <c r="X995" s="4"/>
      <c r="Y995" s="3"/>
      <c r="Z995" s="4"/>
      <c r="AA995" s="3"/>
      <c r="AB995" s="4"/>
      <c r="AC995" s="3"/>
      <c r="AD995" s="4"/>
      <c r="AE995" s="3"/>
      <c r="AF995" s="4"/>
      <c r="AG995" s="3"/>
      <c r="AH995" s="4"/>
      <c r="AI995" s="3"/>
      <c r="AJ995" s="4"/>
      <c r="AK995" s="3"/>
      <c r="AL995" s="4"/>
      <c r="AM995" s="3"/>
      <c r="AN995" s="4"/>
      <c r="AO995" s="3"/>
      <c r="AP995" s="4"/>
      <c r="AQ995" s="3"/>
      <c r="AR995" s="4"/>
      <c r="AS995" s="3"/>
      <c r="AT995" s="4"/>
      <c r="AU995" s="3"/>
      <c r="AV995" s="4"/>
      <c r="AW995" s="3"/>
      <c r="AX995" s="4"/>
      <c r="AY995" s="3"/>
      <c r="AZ995" s="4"/>
      <c r="BA995" s="3"/>
      <c r="BB995" s="4"/>
      <c r="BC995" s="3"/>
      <c r="BD995" s="4"/>
      <c r="BE995" s="3"/>
      <c r="BF995" s="4"/>
      <c r="BG995" s="3"/>
      <c r="BH995" s="4"/>
      <c r="BI995" s="3"/>
      <c r="BJ995" s="4"/>
      <c r="BK995" s="3"/>
      <c r="BL995" s="4"/>
      <c r="BM995" s="3"/>
      <c r="BN995" s="4"/>
      <c r="BO995" s="3"/>
      <c r="BP995" s="4"/>
      <c r="BQ995" s="3"/>
      <c r="BR995" s="4"/>
      <c r="BS995" s="3"/>
      <c r="BT995" s="4"/>
      <c r="BU995" s="3"/>
      <c r="BV995" s="4"/>
      <c r="BW995" s="3"/>
      <c r="BX995" s="4"/>
      <c r="BY995" s="3"/>
      <c r="BZ995" s="4"/>
      <c r="CA995" s="3"/>
      <c r="CB995" s="4"/>
      <c r="CC995" s="3"/>
      <c r="CD995" s="4"/>
    </row>
    <row r="996">
      <c r="A996" s="3"/>
      <c r="B996" s="4"/>
      <c r="C996" s="3"/>
      <c r="D996" s="4"/>
      <c r="E996" s="3"/>
      <c r="F996" s="4"/>
      <c r="G996" s="3"/>
      <c r="H996" s="4"/>
      <c r="I996" s="3"/>
      <c r="J996" s="4"/>
      <c r="K996" s="3"/>
      <c r="L996" s="4"/>
      <c r="M996" s="3"/>
      <c r="N996" s="4"/>
      <c r="O996" s="3"/>
      <c r="P996" s="4"/>
      <c r="Q996" s="3"/>
      <c r="R996" s="4"/>
      <c r="S996" s="3"/>
      <c r="T996" s="4"/>
      <c r="U996" s="3"/>
      <c r="V996" s="4"/>
      <c r="W996" s="3"/>
      <c r="X996" s="4"/>
      <c r="Y996" s="3"/>
      <c r="Z996" s="4"/>
      <c r="AA996" s="3"/>
      <c r="AB996" s="4"/>
      <c r="AC996" s="3"/>
      <c r="AD996" s="4"/>
      <c r="AE996" s="3"/>
      <c r="AF996" s="4"/>
      <c r="AG996" s="3"/>
      <c r="AH996" s="4"/>
      <c r="AI996" s="3"/>
      <c r="AJ996" s="4"/>
      <c r="AK996" s="3"/>
      <c r="AL996" s="4"/>
      <c r="AM996" s="3"/>
      <c r="AN996" s="4"/>
      <c r="AO996" s="3"/>
      <c r="AP996" s="4"/>
      <c r="AQ996" s="3"/>
      <c r="AR996" s="4"/>
      <c r="AS996" s="3"/>
      <c r="AT996" s="4"/>
      <c r="AU996" s="3"/>
      <c r="AV996" s="4"/>
      <c r="AW996" s="3"/>
      <c r="AX996" s="4"/>
      <c r="AY996" s="3"/>
      <c r="AZ996" s="4"/>
      <c r="BA996" s="3"/>
      <c r="BB996" s="4"/>
      <c r="BC996" s="3"/>
      <c r="BD996" s="4"/>
      <c r="BE996" s="3"/>
      <c r="BF996" s="4"/>
      <c r="BG996" s="3"/>
      <c r="BH996" s="4"/>
      <c r="BI996" s="3"/>
      <c r="BJ996" s="4"/>
      <c r="BK996" s="3"/>
      <c r="BL996" s="4"/>
      <c r="BM996" s="3"/>
      <c r="BN996" s="4"/>
      <c r="BO996" s="3"/>
      <c r="BP996" s="4"/>
      <c r="BQ996" s="3"/>
      <c r="BR996" s="4"/>
      <c r="BS996" s="3"/>
      <c r="BT996" s="4"/>
      <c r="BU996" s="3"/>
      <c r="BV996" s="4"/>
      <c r="BW996" s="3"/>
      <c r="BX996" s="4"/>
      <c r="BY996" s="3"/>
      <c r="BZ996" s="4"/>
      <c r="CA996" s="3"/>
      <c r="CB996" s="4"/>
      <c r="CC996" s="3"/>
      <c r="CD996" s="4"/>
    </row>
    <row r="997">
      <c r="A997" s="3"/>
      <c r="B997" s="4"/>
      <c r="C997" s="3"/>
      <c r="D997" s="4"/>
      <c r="E997" s="3"/>
      <c r="F997" s="4"/>
      <c r="G997" s="3"/>
      <c r="H997" s="4"/>
      <c r="I997" s="3"/>
      <c r="J997" s="4"/>
      <c r="K997" s="3"/>
      <c r="L997" s="4"/>
      <c r="M997" s="3"/>
      <c r="N997" s="4"/>
      <c r="O997" s="3"/>
      <c r="P997" s="4"/>
      <c r="Q997" s="3"/>
      <c r="R997" s="4"/>
      <c r="S997" s="3"/>
      <c r="T997" s="4"/>
      <c r="U997" s="3"/>
      <c r="V997" s="4"/>
      <c r="W997" s="3"/>
      <c r="X997" s="4"/>
      <c r="Y997" s="3"/>
      <c r="Z997" s="4"/>
      <c r="AA997" s="3"/>
      <c r="AB997" s="4"/>
      <c r="AC997" s="3"/>
      <c r="AD997" s="4"/>
      <c r="AE997" s="3"/>
      <c r="AF997" s="4"/>
      <c r="AG997" s="3"/>
      <c r="AH997" s="4"/>
      <c r="AI997" s="3"/>
      <c r="AJ997" s="4"/>
      <c r="AK997" s="3"/>
      <c r="AL997" s="4"/>
      <c r="AM997" s="3"/>
      <c r="AN997" s="4"/>
      <c r="AO997" s="3"/>
      <c r="AP997" s="4"/>
      <c r="AQ997" s="3"/>
      <c r="AR997" s="4"/>
      <c r="AS997" s="3"/>
      <c r="AT997" s="4"/>
      <c r="AU997" s="3"/>
      <c r="AV997" s="4"/>
      <c r="AW997" s="3"/>
      <c r="AX997" s="4"/>
      <c r="AY997" s="3"/>
      <c r="AZ997" s="4"/>
      <c r="BA997" s="3"/>
      <c r="BB997" s="4"/>
      <c r="BC997" s="3"/>
      <c r="BD997" s="4"/>
      <c r="BE997" s="3"/>
      <c r="BF997" s="4"/>
      <c r="BG997" s="3"/>
      <c r="BH997" s="4"/>
      <c r="BI997" s="3"/>
      <c r="BJ997" s="4"/>
      <c r="BK997" s="3"/>
      <c r="BL997" s="4"/>
      <c r="BM997" s="3"/>
      <c r="BN997" s="4"/>
      <c r="BO997" s="3"/>
      <c r="BP997" s="4"/>
      <c r="BQ997" s="3"/>
      <c r="BR997" s="4"/>
      <c r="BS997" s="3"/>
      <c r="BT997" s="4"/>
      <c r="BU997" s="3"/>
      <c r="BV997" s="4"/>
      <c r="BW997" s="3"/>
      <c r="BX997" s="4"/>
      <c r="BY997" s="3"/>
      <c r="BZ997" s="4"/>
      <c r="CA997" s="3"/>
      <c r="CB997" s="4"/>
      <c r="CC997" s="3"/>
      <c r="CD997" s="4"/>
    </row>
    <row r="998">
      <c r="A998" s="3"/>
      <c r="B998" s="4"/>
      <c r="C998" s="3"/>
      <c r="D998" s="4"/>
      <c r="E998" s="3"/>
      <c r="F998" s="4"/>
      <c r="G998" s="3"/>
      <c r="H998" s="4"/>
      <c r="I998" s="3"/>
      <c r="J998" s="4"/>
      <c r="K998" s="3"/>
      <c r="L998" s="4"/>
      <c r="M998" s="3"/>
      <c r="N998" s="4"/>
      <c r="O998" s="3"/>
      <c r="P998" s="4"/>
      <c r="Q998" s="3"/>
      <c r="R998" s="4"/>
      <c r="S998" s="3"/>
      <c r="T998" s="4"/>
      <c r="U998" s="3"/>
      <c r="V998" s="4"/>
      <c r="W998" s="3"/>
      <c r="X998" s="4"/>
      <c r="Y998" s="3"/>
      <c r="Z998" s="4"/>
      <c r="AA998" s="3"/>
      <c r="AB998" s="4"/>
      <c r="AC998" s="3"/>
      <c r="AD998" s="4"/>
      <c r="AE998" s="3"/>
      <c r="AF998" s="4"/>
      <c r="AG998" s="3"/>
      <c r="AH998" s="4"/>
      <c r="AI998" s="3"/>
      <c r="AJ998" s="4"/>
      <c r="AK998" s="3"/>
      <c r="AL998" s="4"/>
      <c r="AM998" s="3"/>
      <c r="AN998" s="4"/>
      <c r="AO998" s="3"/>
      <c r="AP998" s="4"/>
      <c r="AQ998" s="3"/>
      <c r="AR998" s="4"/>
      <c r="AS998" s="3"/>
      <c r="AT998" s="4"/>
      <c r="AU998" s="3"/>
      <c r="AV998" s="4"/>
      <c r="AW998" s="3"/>
      <c r="AX998" s="4"/>
      <c r="AY998" s="3"/>
      <c r="AZ998" s="4"/>
      <c r="BA998" s="3"/>
      <c r="BB998" s="4"/>
      <c r="BC998" s="3"/>
      <c r="BD998" s="4"/>
      <c r="BE998" s="3"/>
      <c r="BF998" s="4"/>
      <c r="BG998" s="3"/>
      <c r="BH998" s="4"/>
      <c r="BI998" s="3"/>
      <c r="BJ998" s="4"/>
      <c r="BK998" s="3"/>
      <c r="BL998" s="4"/>
      <c r="BM998" s="3"/>
      <c r="BN998" s="4"/>
      <c r="BO998" s="3"/>
      <c r="BP998" s="4"/>
      <c r="BQ998" s="3"/>
      <c r="BR998" s="4"/>
      <c r="BS998" s="3"/>
      <c r="BT998" s="4"/>
      <c r="BU998" s="3"/>
      <c r="BV998" s="4"/>
      <c r="BW998" s="3"/>
      <c r="BX998" s="4"/>
      <c r="BY998" s="3"/>
      <c r="BZ998" s="4"/>
      <c r="CA998" s="3"/>
      <c r="CB998" s="4"/>
      <c r="CC998" s="3"/>
      <c r="CD998" s="4"/>
    </row>
    <row r="999">
      <c r="A999" s="3"/>
      <c r="B999" s="4"/>
      <c r="C999" s="3"/>
      <c r="D999" s="4"/>
      <c r="E999" s="3"/>
      <c r="F999" s="4"/>
      <c r="G999" s="3"/>
      <c r="H999" s="4"/>
      <c r="I999" s="3"/>
      <c r="J999" s="4"/>
      <c r="K999" s="3"/>
      <c r="L999" s="4"/>
      <c r="M999" s="3"/>
      <c r="N999" s="4"/>
      <c r="O999" s="3"/>
      <c r="P999" s="4"/>
      <c r="Q999" s="3"/>
      <c r="R999" s="4"/>
      <c r="S999" s="3"/>
      <c r="T999" s="4"/>
      <c r="U999" s="3"/>
      <c r="V999" s="4"/>
      <c r="W999" s="3"/>
      <c r="X999" s="4"/>
      <c r="Y999" s="3"/>
      <c r="Z999" s="4"/>
      <c r="AA999" s="3"/>
      <c r="AB999" s="4"/>
      <c r="AC999" s="3"/>
      <c r="AD999" s="4"/>
      <c r="AE999" s="3"/>
      <c r="AF999" s="4"/>
      <c r="AG999" s="3"/>
      <c r="AH999" s="4"/>
      <c r="AI999" s="3"/>
      <c r="AJ999" s="4"/>
      <c r="AK999" s="3"/>
      <c r="AL999" s="4"/>
      <c r="AM999" s="3"/>
      <c r="AN999" s="4"/>
      <c r="AO999" s="3"/>
      <c r="AP999" s="4"/>
      <c r="AQ999" s="3"/>
      <c r="AR999" s="4"/>
      <c r="AS999" s="3"/>
      <c r="AT999" s="4"/>
      <c r="AU999" s="3"/>
      <c r="AV999" s="4"/>
      <c r="AW999" s="3"/>
      <c r="AX999" s="4"/>
      <c r="AY999" s="3"/>
      <c r="AZ999" s="4"/>
      <c r="BA999" s="3"/>
      <c r="BB999" s="4"/>
      <c r="BC999" s="3"/>
      <c r="BD999" s="4"/>
      <c r="BE999" s="3"/>
      <c r="BF999" s="4"/>
      <c r="BG999" s="3"/>
      <c r="BH999" s="4"/>
      <c r="BI999" s="3"/>
      <c r="BJ999" s="4"/>
      <c r="BK999" s="3"/>
      <c r="BL999" s="4"/>
      <c r="BM999" s="3"/>
      <c r="BN999" s="4"/>
      <c r="BO999" s="3"/>
      <c r="BP999" s="4"/>
      <c r="BQ999" s="3"/>
      <c r="BR999" s="4"/>
      <c r="BS999" s="3"/>
      <c r="BT999" s="4"/>
      <c r="BU999" s="3"/>
      <c r="BV999" s="4"/>
      <c r="BW999" s="3"/>
      <c r="BX999" s="4"/>
      <c r="BY999" s="3"/>
      <c r="BZ999" s="4"/>
      <c r="CA999" s="3"/>
      <c r="CB999" s="4"/>
      <c r="CC999" s="3"/>
      <c r="CD999" s="4"/>
    </row>
    <row r="1000">
      <c r="A1000" s="3"/>
      <c r="B1000" s="4"/>
      <c r="C1000" s="3"/>
      <c r="D1000" s="4"/>
      <c r="E1000" s="3"/>
      <c r="F1000" s="4"/>
      <c r="G1000" s="3"/>
      <c r="H1000" s="4"/>
      <c r="I1000" s="3"/>
      <c r="J1000" s="4"/>
      <c r="K1000" s="3"/>
      <c r="L1000" s="4"/>
      <c r="M1000" s="3"/>
      <c r="N1000" s="4"/>
      <c r="O1000" s="3"/>
      <c r="P1000" s="4"/>
      <c r="Q1000" s="3"/>
      <c r="R1000" s="4"/>
      <c r="S1000" s="3"/>
      <c r="T1000" s="4"/>
      <c r="U1000" s="3"/>
      <c r="V1000" s="4"/>
      <c r="W1000" s="3"/>
      <c r="X1000" s="4"/>
      <c r="Y1000" s="3"/>
      <c r="Z1000" s="4"/>
      <c r="AA1000" s="3"/>
      <c r="AB1000" s="4"/>
      <c r="AC1000" s="3"/>
      <c r="AD1000" s="4"/>
      <c r="AE1000" s="3"/>
      <c r="AF1000" s="4"/>
      <c r="AG1000" s="3"/>
      <c r="AH1000" s="4"/>
      <c r="AI1000" s="3"/>
      <c r="AJ1000" s="4"/>
      <c r="AK1000" s="3"/>
      <c r="AL1000" s="4"/>
      <c r="AM1000" s="3"/>
      <c r="AN1000" s="4"/>
      <c r="AO1000" s="3"/>
      <c r="AP1000" s="4"/>
      <c r="AQ1000" s="3"/>
      <c r="AR1000" s="4"/>
      <c r="AS1000" s="3"/>
      <c r="AT1000" s="4"/>
      <c r="AU1000" s="3"/>
      <c r="AV1000" s="4"/>
      <c r="AW1000" s="3"/>
      <c r="AX1000" s="4"/>
      <c r="AY1000" s="3"/>
      <c r="AZ1000" s="4"/>
      <c r="BA1000" s="3"/>
      <c r="BB1000" s="4"/>
      <c r="BC1000" s="3"/>
      <c r="BD1000" s="4"/>
      <c r="BE1000" s="3"/>
      <c r="BF1000" s="4"/>
      <c r="BG1000" s="3"/>
      <c r="BH1000" s="4"/>
      <c r="BI1000" s="3"/>
      <c r="BJ1000" s="4"/>
      <c r="BK1000" s="3"/>
      <c r="BL1000" s="4"/>
      <c r="BM1000" s="3"/>
      <c r="BN1000" s="4"/>
      <c r="BO1000" s="3"/>
      <c r="BP1000" s="4"/>
      <c r="BQ1000" s="3"/>
      <c r="BR1000" s="4"/>
      <c r="BS1000" s="3"/>
      <c r="BT1000" s="4"/>
      <c r="BU1000" s="3"/>
      <c r="BV1000" s="4"/>
      <c r="BW1000" s="3"/>
      <c r="BX1000" s="4"/>
      <c r="BY1000" s="3"/>
      <c r="BZ1000" s="4"/>
      <c r="CA1000" s="3"/>
      <c r="CB1000" s="4"/>
      <c r="CC1000" s="3"/>
      <c r="CD1000"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3.86"/>
  </cols>
  <sheetData>
    <row r="1">
      <c r="A1" s="5" t="s">
        <v>41</v>
      </c>
    </row>
    <row r="2">
      <c r="A2" s="5" t="s">
        <v>42</v>
      </c>
    </row>
    <row r="3">
      <c r="A3" s="5" t="s">
        <v>43</v>
      </c>
    </row>
    <row r="4">
      <c r="A4" s="5" t="s">
        <v>44</v>
      </c>
    </row>
    <row r="5">
      <c r="A5" s="5" t="s">
        <v>45</v>
      </c>
    </row>
    <row r="6">
      <c r="A6" s="5" t="s">
        <v>46</v>
      </c>
    </row>
    <row r="7">
      <c r="A7" s="5" t="s">
        <v>47</v>
      </c>
    </row>
    <row r="8">
      <c r="A8" s="5" t="s">
        <v>48</v>
      </c>
    </row>
    <row r="9">
      <c r="A9" s="5" t="s">
        <v>49</v>
      </c>
    </row>
    <row r="10">
      <c r="A10" s="5" t="s">
        <v>50</v>
      </c>
    </row>
    <row r="11">
      <c r="A11" s="5" t="s">
        <v>51</v>
      </c>
    </row>
    <row r="12">
      <c r="A12" s="5" t="s">
        <v>52</v>
      </c>
    </row>
    <row r="13">
      <c r="A13" s="5" t="s">
        <v>53</v>
      </c>
    </row>
    <row r="14">
      <c r="A14" s="5" t="s">
        <v>54</v>
      </c>
    </row>
    <row r="15">
      <c r="A15" s="5" t="s">
        <v>55</v>
      </c>
    </row>
    <row r="16">
      <c r="A16" s="5" t="s">
        <v>56</v>
      </c>
    </row>
    <row r="17">
      <c r="A17" s="5" t="s">
        <v>57</v>
      </c>
    </row>
    <row r="18">
      <c r="A18" s="5" t="s">
        <v>58</v>
      </c>
    </row>
    <row r="19">
      <c r="A19" s="5" t="s">
        <v>59</v>
      </c>
    </row>
    <row r="20">
      <c r="A20" s="5" t="s">
        <v>60</v>
      </c>
    </row>
    <row r="21">
      <c r="A21" s="5" t="s">
        <v>61</v>
      </c>
    </row>
    <row r="22">
      <c r="A22" s="5" t="s">
        <v>62</v>
      </c>
    </row>
    <row r="23">
      <c r="A23" s="5" t="s">
        <v>63</v>
      </c>
    </row>
    <row r="24">
      <c r="A24" s="5" t="s">
        <v>64</v>
      </c>
    </row>
    <row r="25">
      <c r="A25" s="5" t="s">
        <v>65</v>
      </c>
    </row>
    <row r="26">
      <c r="A26" s="5" t="s">
        <v>66</v>
      </c>
    </row>
    <row r="27">
      <c r="A27" s="5" t="s">
        <v>67</v>
      </c>
    </row>
    <row r="28">
      <c r="A28" s="5" t="s">
        <v>68</v>
      </c>
    </row>
    <row r="29">
      <c r="A29" s="5" t="s">
        <v>69</v>
      </c>
    </row>
    <row r="30">
      <c r="A30" s="5" t="s">
        <v>70</v>
      </c>
    </row>
    <row r="31">
      <c r="A31" s="5" t="s">
        <v>71</v>
      </c>
    </row>
    <row r="32">
      <c r="A32" s="5" t="s">
        <v>72</v>
      </c>
    </row>
    <row r="33">
      <c r="A33" s="5" t="s">
        <v>73</v>
      </c>
    </row>
    <row r="34">
      <c r="A34" s="5" t="s">
        <v>74</v>
      </c>
    </row>
    <row r="35">
      <c r="A35" s="5" t="s">
        <v>75</v>
      </c>
    </row>
    <row r="36">
      <c r="A36" s="5" t="s">
        <v>76</v>
      </c>
    </row>
    <row r="37">
      <c r="A37" s="5" t="s">
        <v>77</v>
      </c>
    </row>
    <row r="38">
      <c r="A38" s="5" t="s">
        <v>78</v>
      </c>
    </row>
    <row r="39">
      <c r="A39" s="5" t="s">
        <v>79</v>
      </c>
    </row>
    <row r="40">
      <c r="A40" s="5" t="s">
        <v>80</v>
      </c>
    </row>
    <row r="41">
      <c r="A41" s="5" t="s">
        <v>81</v>
      </c>
    </row>
    <row r="42">
      <c r="A42" s="5" t="s">
        <v>82</v>
      </c>
    </row>
    <row r="43">
      <c r="A43" s="5" t="s">
        <v>83</v>
      </c>
    </row>
    <row r="44">
      <c r="A44" s="5" t="s">
        <v>84</v>
      </c>
    </row>
    <row r="45">
      <c r="A45" s="5" t="s">
        <v>85</v>
      </c>
    </row>
    <row r="46">
      <c r="A46" s="5" t="s">
        <v>86</v>
      </c>
    </row>
    <row r="47">
      <c r="A47" s="5" t="s">
        <v>87</v>
      </c>
    </row>
    <row r="48">
      <c r="A48" s="5" t="s">
        <v>88</v>
      </c>
    </row>
    <row r="49">
      <c r="A49" s="5" t="s">
        <v>89</v>
      </c>
    </row>
    <row r="50">
      <c r="A50" s="5" t="s">
        <v>90</v>
      </c>
    </row>
    <row r="51">
      <c r="A51" s="5" t="s">
        <v>91</v>
      </c>
    </row>
    <row r="52">
      <c r="A52" s="5" t="s">
        <v>92</v>
      </c>
    </row>
    <row r="53">
      <c r="A53" s="5" t="s">
        <v>93</v>
      </c>
    </row>
    <row r="54">
      <c r="A54" s="5" t="s">
        <v>94</v>
      </c>
    </row>
    <row r="55">
      <c r="A55" s="5" t="s">
        <v>95</v>
      </c>
    </row>
    <row r="56">
      <c r="A56" s="5" t="s">
        <v>96</v>
      </c>
    </row>
    <row r="57">
      <c r="A57" s="5" t="s">
        <v>97</v>
      </c>
    </row>
    <row r="58">
      <c r="A58" s="5" t="s">
        <v>98</v>
      </c>
    </row>
    <row r="59">
      <c r="A59" s="5" t="s">
        <v>99</v>
      </c>
    </row>
    <row r="60">
      <c r="A60" s="5" t="s">
        <v>100</v>
      </c>
    </row>
    <row r="61">
      <c r="A61" s="5" t="s">
        <v>101</v>
      </c>
    </row>
    <row r="62">
      <c r="A62" s="5" t="s">
        <v>102</v>
      </c>
    </row>
    <row r="63">
      <c r="A63" s="5" t="s">
        <v>103</v>
      </c>
    </row>
    <row r="64">
      <c r="A64" s="5" t="s">
        <v>104</v>
      </c>
    </row>
    <row r="65">
      <c r="A65" s="5" t="s">
        <v>105</v>
      </c>
    </row>
    <row r="66">
      <c r="A66" s="5" t="s">
        <v>106</v>
      </c>
    </row>
    <row r="67">
      <c r="A67" s="5" t="s">
        <v>107</v>
      </c>
    </row>
    <row r="68">
      <c r="A68" s="5" t="s">
        <v>108</v>
      </c>
    </row>
    <row r="69">
      <c r="A69" s="5" t="s">
        <v>109</v>
      </c>
    </row>
    <row r="70">
      <c r="A70" s="5" t="s">
        <v>110</v>
      </c>
    </row>
    <row r="71">
      <c r="A71" s="5" t="s">
        <v>111</v>
      </c>
    </row>
    <row r="72">
      <c r="A72" s="5" t="s">
        <v>112</v>
      </c>
    </row>
    <row r="73">
      <c r="A73" s="5" t="s">
        <v>113</v>
      </c>
    </row>
    <row r="74">
      <c r="A74" s="5" t="s">
        <v>114</v>
      </c>
    </row>
    <row r="75">
      <c r="A75" s="5" t="s">
        <v>115</v>
      </c>
    </row>
    <row r="76">
      <c r="A76" s="5" t="s">
        <v>116</v>
      </c>
    </row>
    <row r="77">
      <c r="A77" s="5" t="s">
        <v>117</v>
      </c>
    </row>
    <row r="78">
      <c r="A78" s="5" t="s">
        <v>118</v>
      </c>
    </row>
    <row r="79">
      <c r="A79" s="5" t="s">
        <v>119</v>
      </c>
    </row>
    <row r="80">
      <c r="A80" s="5" t="s">
        <v>120</v>
      </c>
    </row>
    <row r="81">
      <c r="A81" s="5" t="s">
        <v>121</v>
      </c>
    </row>
    <row r="82">
      <c r="A82" s="5" t="s">
        <v>122</v>
      </c>
    </row>
    <row r="83">
      <c r="A83" s="5" t="s">
        <v>123</v>
      </c>
    </row>
    <row r="84">
      <c r="A84" s="5" t="s">
        <v>124</v>
      </c>
    </row>
    <row r="85">
      <c r="A85" s="5" t="s">
        <v>125</v>
      </c>
    </row>
    <row r="86">
      <c r="A86" s="5" t="s">
        <v>126</v>
      </c>
    </row>
    <row r="87">
      <c r="A87" s="5" t="s">
        <v>127</v>
      </c>
    </row>
    <row r="88">
      <c r="A88" s="5" t="s">
        <v>128</v>
      </c>
    </row>
    <row r="89">
      <c r="A89" s="5" t="s">
        <v>129</v>
      </c>
    </row>
    <row r="90">
      <c r="A90" s="5" t="s">
        <v>130</v>
      </c>
    </row>
    <row r="91">
      <c r="A91" s="5" t="s">
        <v>131</v>
      </c>
    </row>
    <row r="92">
      <c r="A92" s="5" t="s">
        <v>132</v>
      </c>
    </row>
    <row r="93">
      <c r="A93" s="5" t="s">
        <v>133</v>
      </c>
    </row>
    <row r="94">
      <c r="A94" s="5" t="s">
        <v>134</v>
      </c>
    </row>
    <row r="95">
      <c r="A95" s="5" t="s">
        <v>135</v>
      </c>
    </row>
    <row r="96">
      <c r="A96" s="5" t="s">
        <v>136</v>
      </c>
    </row>
    <row r="97">
      <c r="A97" s="5" t="s">
        <v>137</v>
      </c>
    </row>
    <row r="98">
      <c r="A98" s="5" t="s">
        <v>138</v>
      </c>
    </row>
    <row r="99">
      <c r="A99" s="5" t="s">
        <v>139</v>
      </c>
    </row>
    <row r="100">
      <c r="A100" s="5" t="s">
        <v>140</v>
      </c>
    </row>
    <row r="101">
      <c r="A101" s="5" t="s">
        <v>141</v>
      </c>
    </row>
    <row r="102">
      <c r="A102" s="5" t="s">
        <v>142</v>
      </c>
    </row>
    <row r="103">
      <c r="A103" s="5" t="s">
        <v>143</v>
      </c>
    </row>
    <row r="104">
      <c r="A104" s="5" t="s">
        <v>144</v>
      </c>
    </row>
    <row r="105">
      <c r="A105" s="5" t="s">
        <v>145</v>
      </c>
    </row>
    <row r="106">
      <c r="A106" s="5" t="s">
        <v>146</v>
      </c>
    </row>
    <row r="107">
      <c r="A107" s="5" t="s">
        <v>147</v>
      </c>
    </row>
    <row r="108">
      <c r="A108" s="5" t="s">
        <v>148</v>
      </c>
    </row>
    <row r="109">
      <c r="A109" s="5" t="s">
        <v>149</v>
      </c>
    </row>
    <row r="110">
      <c r="A110" s="5" t="s">
        <v>150</v>
      </c>
    </row>
    <row r="111">
      <c r="A111" s="5" t="s">
        <v>151</v>
      </c>
    </row>
    <row r="112">
      <c r="A112" s="5" t="s">
        <v>152</v>
      </c>
    </row>
    <row r="113">
      <c r="A113" s="5" t="s">
        <v>153</v>
      </c>
    </row>
    <row r="114">
      <c r="A114" s="5" t="s">
        <v>154</v>
      </c>
    </row>
    <row r="115">
      <c r="A115" s="5" t="s">
        <v>155</v>
      </c>
    </row>
    <row r="116">
      <c r="A116" s="5" t="s">
        <v>156</v>
      </c>
    </row>
    <row r="117">
      <c r="A117" s="5" t="s">
        <v>157</v>
      </c>
    </row>
    <row r="118">
      <c r="A118" s="5" t="s">
        <v>158</v>
      </c>
    </row>
    <row r="119">
      <c r="A119" s="5" t="s">
        <v>159</v>
      </c>
    </row>
    <row r="120">
      <c r="A120" s="5" t="s">
        <v>160</v>
      </c>
    </row>
    <row r="121">
      <c r="A121" s="5" t="s">
        <v>161</v>
      </c>
    </row>
    <row r="122">
      <c r="A122" s="5" t="s">
        <v>162</v>
      </c>
    </row>
    <row r="123">
      <c r="A123" s="5" t="s">
        <v>163</v>
      </c>
    </row>
    <row r="124">
      <c r="A124" s="5" t="s">
        <v>164</v>
      </c>
    </row>
    <row r="125">
      <c r="A125" s="5" t="s">
        <v>165</v>
      </c>
    </row>
    <row r="126">
      <c r="A126" s="5" t="s">
        <v>166</v>
      </c>
    </row>
    <row r="127">
      <c r="A127" s="5" t="s">
        <v>167</v>
      </c>
    </row>
    <row r="128">
      <c r="A128" s="5" t="s">
        <v>168</v>
      </c>
    </row>
    <row r="129">
      <c r="A129" s="5" t="s">
        <v>169</v>
      </c>
    </row>
    <row r="130">
      <c r="A130" s="5" t="s">
        <v>170</v>
      </c>
    </row>
    <row r="131">
      <c r="A131" s="5" t="s">
        <v>171</v>
      </c>
    </row>
    <row r="132">
      <c r="A132" s="5" t="s">
        <v>172</v>
      </c>
    </row>
    <row r="133">
      <c r="A133" s="5" t="s">
        <v>173</v>
      </c>
    </row>
    <row r="134">
      <c r="A134" s="5" t="s">
        <v>174</v>
      </c>
    </row>
    <row r="135">
      <c r="A135" s="5" t="s">
        <v>175</v>
      </c>
    </row>
    <row r="136">
      <c r="A136" s="6" t="s">
        <v>176</v>
      </c>
    </row>
    <row r="137">
      <c r="A137" s="5" t="s">
        <v>177</v>
      </c>
    </row>
    <row r="138">
      <c r="A138" s="5" t="s">
        <v>178</v>
      </c>
    </row>
    <row r="139">
      <c r="A139" s="5" t="s">
        <v>179</v>
      </c>
    </row>
    <row r="140">
      <c r="A140" s="5" t="s">
        <v>180</v>
      </c>
    </row>
    <row r="141">
      <c r="A141" s="5" t="s">
        <v>181</v>
      </c>
    </row>
    <row r="142">
      <c r="A142" s="5" t="s">
        <v>182</v>
      </c>
    </row>
    <row r="143">
      <c r="A143" s="5" t="s">
        <v>183</v>
      </c>
    </row>
    <row r="144">
      <c r="A144" s="5" t="s">
        <v>184</v>
      </c>
    </row>
    <row r="145">
      <c r="A145" s="5" t="s">
        <v>185</v>
      </c>
    </row>
    <row r="146">
      <c r="A146" s="5" t="s">
        <v>186</v>
      </c>
    </row>
    <row r="147">
      <c r="A147" s="5" t="s">
        <v>187</v>
      </c>
    </row>
    <row r="148">
      <c r="A148" s="5" t="s">
        <v>188</v>
      </c>
    </row>
    <row r="149">
      <c r="A149" s="5" t="s">
        <v>189</v>
      </c>
    </row>
    <row r="150">
      <c r="A150" s="5" t="s">
        <v>190</v>
      </c>
    </row>
    <row r="151">
      <c r="A151" s="5" t="s">
        <v>191</v>
      </c>
    </row>
    <row r="152">
      <c r="A152" s="5" t="s">
        <v>192</v>
      </c>
    </row>
    <row r="153">
      <c r="A153" s="5" t="s">
        <v>193</v>
      </c>
    </row>
    <row r="154">
      <c r="A154" s="5" t="s">
        <v>194</v>
      </c>
    </row>
    <row r="155">
      <c r="A155" s="5" t="s">
        <v>195</v>
      </c>
    </row>
    <row r="156">
      <c r="A156" s="5" t="s">
        <v>196</v>
      </c>
    </row>
    <row r="157">
      <c r="A157" s="5" t="s">
        <v>197</v>
      </c>
    </row>
    <row r="158">
      <c r="A158" s="5" t="s">
        <v>198</v>
      </c>
    </row>
    <row r="159">
      <c r="A159" s="5" t="s">
        <v>199</v>
      </c>
    </row>
    <row r="160">
      <c r="A160" s="5" t="s">
        <v>200</v>
      </c>
    </row>
    <row r="161">
      <c r="A161" s="5" t="s">
        <v>201</v>
      </c>
    </row>
    <row r="162">
      <c r="A162" s="5" t="s">
        <v>202</v>
      </c>
    </row>
    <row r="163">
      <c r="A163" s="5" t="s">
        <v>203</v>
      </c>
    </row>
    <row r="164">
      <c r="A164" s="5" t="s">
        <v>204</v>
      </c>
    </row>
    <row r="165">
      <c r="A165" s="5" t="s">
        <v>205</v>
      </c>
    </row>
    <row r="166">
      <c r="A166" s="5" t="s">
        <v>206</v>
      </c>
    </row>
    <row r="167">
      <c r="A167" s="5" t="s">
        <v>207</v>
      </c>
    </row>
    <row r="168">
      <c r="A168" s="5" t="s">
        <v>208</v>
      </c>
    </row>
    <row r="169">
      <c r="A169" s="5" t="s">
        <v>209</v>
      </c>
    </row>
    <row r="170">
      <c r="A170" s="5" t="s">
        <v>210</v>
      </c>
    </row>
    <row r="171">
      <c r="A171" s="5" t="s">
        <v>211</v>
      </c>
    </row>
    <row r="172">
      <c r="A172" s="5" t="s">
        <v>212</v>
      </c>
    </row>
    <row r="173">
      <c r="A173" s="5" t="s">
        <v>213</v>
      </c>
    </row>
    <row r="174">
      <c r="A174" s="5" t="s">
        <v>214</v>
      </c>
    </row>
    <row r="175">
      <c r="A175" s="5" t="s">
        <v>215</v>
      </c>
    </row>
    <row r="176">
      <c r="A176" s="5" t="s">
        <v>216</v>
      </c>
    </row>
    <row r="177">
      <c r="A177" s="5" t="s">
        <v>217</v>
      </c>
    </row>
    <row r="178">
      <c r="A178" s="5" t="s">
        <v>218</v>
      </c>
    </row>
    <row r="179">
      <c r="A179" s="5" t="s">
        <v>219</v>
      </c>
    </row>
    <row r="180">
      <c r="A180" s="5" t="s">
        <v>220</v>
      </c>
    </row>
    <row r="181">
      <c r="A181" s="5" t="s">
        <v>221</v>
      </c>
    </row>
    <row r="182">
      <c r="A182" s="5" t="s">
        <v>222</v>
      </c>
    </row>
    <row r="183">
      <c r="A183" s="5" t="s">
        <v>223</v>
      </c>
    </row>
    <row r="184">
      <c r="A184" s="5" t="s">
        <v>224</v>
      </c>
    </row>
    <row r="185">
      <c r="A185" s="5" t="s">
        <v>225</v>
      </c>
    </row>
    <row r="186">
      <c r="A186" s="5" t="s">
        <v>226</v>
      </c>
    </row>
    <row r="187">
      <c r="A187" s="5" t="s">
        <v>227</v>
      </c>
    </row>
    <row r="188">
      <c r="A188" s="5" t="s">
        <v>228</v>
      </c>
    </row>
    <row r="189">
      <c r="A189" s="5" t="s">
        <v>229</v>
      </c>
    </row>
    <row r="190">
      <c r="A190" s="5" t="s">
        <v>230</v>
      </c>
    </row>
    <row r="191">
      <c r="A191" s="5" t="s">
        <v>231</v>
      </c>
    </row>
    <row r="192">
      <c r="A192" s="5" t="s">
        <v>232</v>
      </c>
    </row>
    <row r="193">
      <c r="A193" s="5" t="s">
        <v>233</v>
      </c>
    </row>
    <row r="194">
      <c r="A194" s="5" t="s">
        <v>234</v>
      </c>
    </row>
    <row r="195">
      <c r="A195" s="5" t="s">
        <v>235</v>
      </c>
    </row>
    <row r="196">
      <c r="A196" s="5" t="s">
        <v>236</v>
      </c>
    </row>
    <row r="197">
      <c r="A197" s="5" t="s">
        <v>237</v>
      </c>
    </row>
    <row r="198">
      <c r="A198" s="5" t="s">
        <v>238</v>
      </c>
    </row>
    <row r="199">
      <c r="A199" s="5" t="s">
        <v>239</v>
      </c>
    </row>
    <row r="200">
      <c r="A200" s="5" t="s">
        <v>240</v>
      </c>
    </row>
    <row r="201">
      <c r="A201" s="5" t="s">
        <v>241</v>
      </c>
    </row>
    <row r="202">
      <c r="A202" s="5" t="s">
        <v>242</v>
      </c>
    </row>
    <row r="203">
      <c r="A203" s="5" t="s">
        <v>243</v>
      </c>
    </row>
    <row r="204">
      <c r="A204" s="5" t="s">
        <v>244</v>
      </c>
    </row>
    <row r="205">
      <c r="A205" s="5" t="s">
        <v>245</v>
      </c>
    </row>
    <row r="206">
      <c r="A206" s="5" t="s">
        <v>246</v>
      </c>
    </row>
    <row r="207">
      <c r="A207" s="5" t="s">
        <v>247</v>
      </c>
    </row>
    <row r="208">
      <c r="A208" s="6" t="s">
        <v>248</v>
      </c>
    </row>
    <row r="209">
      <c r="A209" s="5" t="s">
        <v>249</v>
      </c>
    </row>
    <row r="210">
      <c r="A210" s="5" t="s">
        <v>250</v>
      </c>
    </row>
    <row r="211">
      <c r="A211" s="5" t="s">
        <v>251</v>
      </c>
    </row>
    <row r="212">
      <c r="A212" s="5" t="s">
        <v>252</v>
      </c>
    </row>
    <row r="213">
      <c r="A213" s="5" t="s">
        <v>253</v>
      </c>
    </row>
    <row r="214">
      <c r="A214" s="5" t="s">
        <v>254</v>
      </c>
    </row>
    <row r="215">
      <c r="A215" s="5" t="s">
        <v>255</v>
      </c>
    </row>
    <row r="216">
      <c r="A216" s="5" t="s">
        <v>256</v>
      </c>
    </row>
    <row r="217">
      <c r="A217" s="5" t="s">
        <v>257</v>
      </c>
    </row>
    <row r="218">
      <c r="A218" s="5" t="s">
        <v>258</v>
      </c>
    </row>
    <row r="219">
      <c r="A219" s="5" t="s">
        <v>259</v>
      </c>
    </row>
    <row r="220">
      <c r="A220" s="5" t="s">
        <v>260</v>
      </c>
    </row>
    <row r="221">
      <c r="A221" s="5" t="s">
        <v>261</v>
      </c>
    </row>
    <row r="222">
      <c r="A222" s="5" t="s">
        <v>262</v>
      </c>
    </row>
    <row r="223">
      <c r="A223" s="5" t="s">
        <v>263</v>
      </c>
    </row>
    <row r="224">
      <c r="A224" s="5" t="s">
        <v>264</v>
      </c>
    </row>
    <row r="225">
      <c r="A225" s="5" t="s">
        <v>265</v>
      </c>
    </row>
    <row r="226">
      <c r="A226" s="5" t="s">
        <v>266</v>
      </c>
    </row>
    <row r="227">
      <c r="A227" s="5" t="s">
        <v>267</v>
      </c>
    </row>
    <row r="228">
      <c r="A228" s="5" t="s">
        <v>268</v>
      </c>
    </row>
    <row r="229">
      <c r="A229" s="5" t="s">
        <v>269</v>
      </c>
    </row>
    <row r="230">
      <c r="A230" s="5" t="s">
        <v>270</v>
      </c>
    </row>
    <row r="231">
      <c r="A231" s="5" t="s">
        <v>271</v>
      </c>
    </row>
    <row r="232">
      <c r="A232" s="5" t="s">
        <v>272</v>
      </c>
    </row>
    <row r="233">
      <c r="A233" s="5" t="s">
        <v>273</v>
      </c>
    </row>
    <row r="234">
      <c r="A234" s="5" t="s">
        <v>274</v>
      </c>
    </row>
    <row r="235">
      <c r="A235" s="5" t="s">
        <v>275</v>
      </c>
    </row>
    <row r="236">
      <c r="A236" s="5" t="s">
        <v>276</v>
      </c>
    </row>
    <row r="237">
      <c r="A237" s="5" t="s">
        <v>277</v>
      </c>
    </row>
    <row r="238">
      <c r="A238" s="5" t="s">
        <v>278</v>
      </c>
    </row>
    <row r="239">
      <c r="A239" s="5" t="s">
        <v>279</v>
      </c>
    </row>
    <row r="240">
      <c r="A240" s="5" t="s">
        <v>280</v>
      </c>
    </row>
    <row r="241">
      <c r="A241" s="5" t="s">
        <v>281</v>
      </c>
    </row>
    <row r="242">
      <c r="A242" s="5" t="s">
        <v>282</v>
      </c>
    </row>
    <row r="243">
      <c r="A243" s="5" t="s">
        <v>283</v>
      </c>
    </row>
    <row r="244">
      <c r="A244" s="5" t="s">
        <v>284</v>
      </c>
    </row>
    <row r="245">
      <c r="A245" s="5" t="s">
        <v>285</v>
      </c>
    </row>
    <row r="246">
      <c r="A246" s="5" t="s">
        <v>286</v>
      </c>
    </row>
    <row r="247">
      <c r="A247" s="5" t="s">
        <v>287</v>
      </c>
    </row>
    <row r="248">
      <c r="A248" s="5" t="s">
        <v>288</v>
      </c>
    </row>
    <row r="249">
      <c r="A249" s="5" t="s">
        <v>289</v>
      </c>
    </row>
    <row r="250">
      <c r="A250" s="5" t="s">
        <v>290</v>
      </c>
    </row>
    <row r="251">
      <c r="A251" s="5" t="s">
        <v>291</v>
      </c>
    </row>
    <row r="252">
      <c r="A252" s="5" t="s">
        <v>292</v>
      </c>
    </row>
    <row r="253">
      <c r="A253" s="5" t="s">
        <v>293</v>
      </c>
    </row>
    <row r="254">
      <c r="A254" s="5" t="s">
        <v>294</v>
      </c>
    </row>
    <row r="255">
      <c r="A255" s="5" t="s">
        <v>295</v>
      </c>
    </row>
    <row r="256">
      <c r="A256" s="5" t="s">
        <v>296</v>
      </c>
    </row>
    <row r="257">
      <c r="A257" s="5" t="s">
        <v>297</v>
      </c>
    </row>
    <row r="258">
      <c r="A258" s="5" t="s">
        <v>298</v>
      </c>
    </row>
    <row r="259">
      <c r="A259" s="5" t="s">
        <v>299</v>
      </c>
    </row>
    <row r="260">
      <c r="A260" s="5" t="s">
        <v>300</v>
      </c>
    </row>
    <row r="261">
      <c r="A261" s="5" t="s">
        <v>301</v>
      </c>
    </row>
    <row r="262">
      <c r="A262" s="5" t="s">
        <v>302</v>
      </c>
    </row>
    <row r="263">
      <c r="A263" s="5" t="s">
        <v>303</v>
      </c>
    </row>
    <row r="264">
      <c r="A264" s="5" t="s">
        <v>304</v>
      </c>
    </row>
    <row r="265">
      <c r="A265" s="5" t="s">
        <v>305</v>
      </c>
    </row>
    <row r="266">
      <c r="A266" s="5" t="s">
        <v>306</v>
      </c>
    </row>
    <row r="267">
      <c r="A267" s="5" t="s">
        <v>307</v>
      </c>
    </row>
    <row r="268">
      <c r="A268" s="5" t="s">
        <v>308</v>
      </c>
    </row>
    <row r="269">
      <c r="A269" s="5" t="s">
        <v>309</v>
      </c>
    </row>
    <row r="270">
      <c r="A270" s="5" t="s">
        <v>310</v>
      </c>
    </row>
    <row r="271">
      <c r="A271" s="5" t="s">
        <v>311</v>
      </c>
    </row>
    <row r="272">
      <c r="A272" s="5" t="s">
        <v>312</v>
      </c>
    </row>
    <row r="273">
      <c r="A273" s="5" t="s">
        <v>313</v>
      </c>
    </row>
    <row r="274">
      <c r="A274" s="5" t="s">
        <v>314</v>
      </c>
    </row>
    <row r="275">
      <c r="A275" s="5" t="s">
        <v>315</v>
      </c>
    </row>
    <row r="276">
      <c r="A276" s="5" t="s">
        <v>316</v>
      </c>
    </row>
    <row r="277">
      <c r="A277" s="5" t="s">
        <v>317</v>
      </c>
    </row>
    <row r="278">
      <c r="A278" s="5" t="s">
        <v>318</v>
      </c>
    </row>
    <row r="279">
      <c r="A279" s="5" t="s">
        <v>319</v>
      </c>
    </row>
    <row r="280">
      <c r="A280" s="5" t="s">
        <v>320</v>
      </c>
    </row>
    <row r="281">
      <c r="A281" s="5" t="s">
        <v>321</v>
      </c>
    </row>
    <row r="282">
      <c r="A282" s="5" t="s">
        <v>322</v>
      </c>
    </row>
    <row r="283">
      <c r="A283" s="5" t="s">
        <v>323</v>
      </c>
    </row>
    <row r="284">
      <c r="A284" s="5" t="s">
        <v>324</v>
      </c>
    </row>
    <row r="285">
      <c r="A285" s="5" t="s">
        <v>325</v>
      </c>
    </row>
    <row r="286">
      <c r="A286" s="5" t="s">
        <v>326</v>
      </c>
    </row>
    <row r="287">
      <c r="A287" s="5" t="s">
        <v>327</v>
      </c>
    </row>
    <row r="288">
      <c r="A288" s="5" t="s">
        <v>328</v>
      </c>
    </row>
    <row r="289">
      <c r="A289" s="5" t="s">
        <v>329</v>
      </c>
    </row>
    <row r="290">
      <c r="A290" s="5" t="s">
        <v>330</v>
      </c>
    </row>
    <row r="291">
      <c r="A291" s="5" t="s">
        <v>331</v>
      </c>
    </row>
    <row r="292">
      <c r="A292" s="5" t="s">
        <v>332</v>
      </c>
    </row>
    <row r="293">
      <c r="A293" s="5" t="s">
        <v>333</v>
      </c>
    </row>
    <row r="294">
      <c r="A294" s="5" t="s">
        <v>334</v>
      </c>
    </row>
    <row r="295">
      <c r="A295" s="5" t="s">
        <v>335</v>
      </c>
    </row>
    <row r="296">
      <c r="A296" s="5" t="s">
        <v>336</v>
      </c>
    </row>
    <row r="297">
      <c r="A297" s="5" t="s">
        <v>337</v>
      </c>
    </row>
    <row r="298">
      <c r="A298" s="5" t="s">
        <v>338</v>
      </c>
    </row>
    <row r="299">
      <c r="A299" s="5" t="s">
        <v>339</v>
      </c>
    </row>
    <row r="300">
      <c r="A300" s="5" t="s">
        <v>340</v>
      </c>
    </row>
    <row r="301">
      <c r="A301" s="5" t="s">
        <v>341</v>
      </c>
    </row>
    <row r="302">
      <c r="A302" s="5" t="s">
        <v>342</v>
      </c>
    </row>
    <row r="303">
      <c r="A303" s="5" t="s">
        <v>343</v>
      </c>
    </row>
    <row r="304">
      <c r="A304" s="5" t="s">
        <v>344</v>
      </c>
    </row>
    <row r="305">
      <c r="A305" s="5" t="s">
        <v>345</v>
      </c>
    </row>
    <row r="306">
      <c r="A306" s="5" t="s">
        <v>346</v>
      </c>
    </row>
    <row r="307">
      <c r="A307" s="5" t="s">
        <v>347</v>
      </c>
    </row>
    <row r="308">
      <c r="A308" s="5" t="s">
        <v>348</v>
      </c>
    </row>
    <row r="309">
      <c r="A309" s="5" t="s">
        <v>349</v>
      </c>
    </row>
    <row r="310">
      <c r="A310" s="5" t="s">
        <v>350</v>
      </c>
    </row>
    <row r="311">
      <c r="A311" s="5" t="s">
        <v>351</v>
      </c>
    </row>
    <row r="312">
      <c r="A312" s="5" t="s">
        <v>352</v>
      </c>
    </row>
    <row r="313">
      <c r="A313" s="5" t="s">
        <v>353</v>
      </c>
    </row>
    <row r="314">
      <c r="A314" s="5" t="s">
        <v>354</v>
      </c>
    </row>
    <row r="315">
      <c r="A315" s="5" t="s">
        <v>355</v>
      </c>
    </row>
    <row r="316">
      <c r="A316" s="5" t="s">
        <v>356</v>
      </c>
    </row>
    <row r="317">
      <c r="A317" s="5" t="s">
        <v>357</v>
      </c>
    </row>
    <row r="318">
      <c r="A318" s="5" t="s">
        <v>358</v>
      </c>
    </row>
    <row r="319">
      <c r="A319" s="5" t="s">
        <v>359</v>
      </c>
    </row>
    <row r="320">
      <c r="A320" s="5" t="s">
        <v>360</v>
      </c>
    </row>
    <row r="321">
      <c r="A321" s="5" t="s">
        <v>361</v>
      </c>
    </row>
    <row r="322">
      <c r="A322" s="5" t="s">
        <v>362</v>
      </c>
    </row>
    <row r="323">
      <c r="A323" s="5" t="s">
        <v>363</v>
      </c>
    </row>
    <row r="324">
      <c r="A324" s="5" t="s">
        <v>364</v>
      </c>
    </row>
    <row r="325">
      <c r="A325" s="5" t="s">
        <v>365</v>
      </c>
    </row>
    <row r="326">
      <c r="A326" s="5" t="s">
        <v>366</v>
      </c>
    </row>
    <row r="327">
      <c r="A327" s="5" t="s">
        <v>367</v>
      </c>
    </row>
    <row r="328">
      <c r="A328" s="5" t="s">
        <v>368</v>
      </c>
    </row>
    <row r="329">
      <c r="A329" s="5" t="s">
        <v>369</v>
      </c>
    </row>
    <row r="330">
      <c r="A330" s="5" t="s">
        <v>370</v>
      </c>
    </row>
    <row r="331">
      <c r="A331" s="5" t="s">
        <v>371</v>
      </c>
    </row>
    <row r="332">
      <c r="A332" s="5" t="s">
        <v>372</v>
      </c>
    </row>
    <row r="333">
      <c r="A333" s="5" t="s">
        <v>373</v>
      </c>
    </row>
    <row r="334">
      <c r="A334" s="5" t="s">
        <v>374</v>
      </c>
    </row>
    <row r="335">
      <c r="A335" s="5" t="s">
        <v>375</v>
      </c>
    </row>
    <row r="336">
      <c r="A336" s="5" t="s">
        <v>376</v>
      </c>
    </row>
    <row r="337">
      <c r="A337" s="5" t="s">
        <v>377</v>
      </c>
    </row>
    <row r="338">
      <c r="A338" s="5" t="s">
        <v>378</v>
      </c>
    </row>
    <row r="339">
      <c r="A339" s="5" t="s">
        <v>379</v>
      </c>
    </row>
    <row r="340">
      <c r="A340" s="5" t="s">
        <v>380</v>
      </c>
    </row>
    <row r="341">
      <c r="A341" s="5" t="s">
        <v>381</v>
      </c>
    </row>
    <row r="342">
      <c r="A342" s="5" t="s">
        <v>382</v>
      </c>
    </row>
    <row r="343">
      <c r="A343" s="5" t="s">
        <v>383</v>
      </c>
    </row>
    <row r="344">
      <c r="A344" s="5" t="s">
        <v>384</v>
      </c>
    </row>
    <row r="345">
      <c r="A345" s="5" t="s">
        <v>385</v>
      </c>
    </row>
    <row r="346">
      <c r="A346" s="5" t="s">
        <v>386</v>
      </c>
    </row>
    <row r="347">
      <c r="A347" s="5" t="s">
        <v>387</v>
      </c>
    </row>
    <row r="348">
      <c r="A348" s="5" t="s">
        <v>388</v>
      </c>
    </row>
    <row r="349">
      <c r="A349" s="5" t="s">
        <v>389</v>
      </c>
    </row>
    <row r="350">
      <c r="A350" s="5" t="s">
        <v>390</v>
      </c>
    </row>
    <row r="351">
      <c r="A351" s="5" t="s">
        <v>391</v>
      </c>
    </row>
    <row r="352">
      <c r="A352" s="5" t="s">
        <v>392</v>
      </c>
    </row>
    <row r="353">
      <c r="A353" s="5" t="s">
        <v>393</v>
      </c>
    </row>
    <row r="354">
      <c r="A354" s="5" t="s">
        <v>394</v>
      </c>
    </row>
    <row r="355">
      <c r="A355" s="5" t="s">
        <v>395</v>
      </c>
    </row>
    <row r="356">
      <c r="A356" s="5" t="s">
        <v>396</v>
      </c>
    </row>
    <row r="357">
      <c r="A357" s="5" t="s">
        <v>397</v>
      </c>
    </row>
    <row r="358">
      <c r="A358" s="5" t="s">
        <v>398</v>
      </c>
    </row>
    <row r="359">
      <c r="A359" s="5" t="s">
        <v>399</v>
      </c>
    </row>
    <row r="360">
      <c r="A360" s="5" t="s">
        <v>400</v>
      </c>
    </row>
    <row r="361">
      <c r="A361" s="5" t="s">
        <v>401</v>
      </c>
    </row>
    <row r="362">
      <c r="A362" s="5" t="s">
        <v>402</v>
      </c>
    </row>
    <row r="363">
      <c r="A363" s="5" t="s">
        <v>403</v>
      </c>
    </row>
    <row r="364">
      <c r="A364" s="5" t="s">
        <v>404</v>
      </c>
    </row>
    <row r="365">
      <c r="A365" s="5" t="s">
        <v>405</v>
      </c>
    </row>
    <row r="366">
      <c r="A366" s="5" t="s">
        <v>406</v>
      </c>
    </row>
    <row r="367">
      <c r="A367" s="5" t="s">
        <v>407</v>
      </c>
    </row>
    <row r="368">
      <c r="A368" s="5" t="s">
        <v>408</v>
      </c>
    </row>
    <row r="369">
      <c r="A369" s="5" t="s">
        <v>409</v>
      </c>
    </row>
    <row r="370">
      <c r="A370" s="5" t="s">
        <v>410</v>
      </c>
    </row>
    <row r="371">
      <c r="A371" s="5" t="s">
        <v>411</v>
      </c>
    </row>
    <row r="372">
      <c r="A372" s="5" t="s">
        <v>412</v>
      </c>
    </row>
    <row r="373">
      <c r="A373" s="5" t="s">
        <v>413</v>
      </c>
    </row>
    <row r="374">
      <c r="A374" s="5" t="s">
        <v>414</v>
      </c>
    </row>
    <row r="375">
      <c r="A375" s="5" t="s">
        <v>415</v>
      </c>
    </row>
    <row r="376">
      <c r="A376" s="5" t="s">
        <v>416</v>
      </c>
    </row>
    <row r="377">
      <c r="A377" s="5" t="s">
        <v>417</v>
      </c>
    </row>
    <row r="378">
      <c r="A378" s="5" t="s">
        <v>418</v>
      </c>
    </row>
    <row r="379">
      <c r="A379" s="5" t="s">
        <v>419</v>
      </c>
    </row>
    <row r="380">
      <c r="A380" s="5" t="s">
        <v>420</v>
      </c>
    </row>
    <row r="381">
      <c r="A381" s="5" t="s">
        <v>421</v>
      </c>
    </row>
    <row r="382">
      <c r="A382" s="5" t="s">
        <v>422</v>
      </c>
    </row>
    <row r="383">
      <c r="A383" s="5" t="s">
        <v>423</v>
      </c>
    </row>
    <row r="384">
      <c r="A384" s="5" t="s">
        <v>424</v>
      </c>
    </row>
    <row r="385">
      <c r="A385" s="5" t="s">
        <v>425</v>
      </c>
    </row>
    <row r="386">
      <c r="A386" s="5" t="s">
        <v>426</v>
      </c>
    </row>
    <row r="387">
      <c r="A387" s="5" t="s">
        <v>427</v>
      </c>
    </row>
    <row r="388">
      <c r="A388" s="5" t="s">
        <v>428</v>
      </c>
    </row>
    <row r="389">
      <c r="A389" s="5" t="s">
        <v>429</v>
      </c>
    </row>
    <row r="390">
      <c r="A390" s="5" t="s">
        <v>430</v>
      </c>
    </row>
    <row r="391">
      <c r="A391" s="5" t="s">
        <v>431</v>
      </c>
    </row>
    <row r="392">
      <c r="A392" s="5" t="s">
        <v>432</v>
      </c>
    </row>
    <row r="393">
      <c r="A393" s="5" t="s">
        <v>433</v>
      </c>
    </row>
    <row r="394">
      <c r="A394" s="5" t="s">
        <v>434</v>
      </c>
    </row>
    <row r="395">
      <c r="A395" s="5" t="s">
        <v>435</v>
      </c>
    </row>
    <row r="396">
      <c r="A396" s="5" t="s">
        <v>436</v>
      </c>
    </row>
    <row r="397">
      <c r="A397" s="5" t="s">
        <v>437</v>
      </c>
    </row>
    <row r="398">
      <c r="A398" s="5" t="s">
        <v>438</v>
      </c>
    </row>
    <row r="399">
      <c r="A399" s="5" t="s">
        <v>439</v>
      </c>
    </row>
    <row r="400">
      <c r="A400" s="5" t="s">
        <v>440</v>
      </c>
    </row>
    <row r="401">
      <c r="A401" s="5" t="s">
        <v>441</v>
      </c>
    </row>
    <row r="402">
      <c r="A402" s="5" t="s">
        <v>442</v>
      </c>
    </row>
    <row r="403">
      <c r="A403" s="5" t="s">
        <v>443</v>
      </c>
    </row>
    <row r="404">
      <c r="A404" s="5" t="s">
        <v>444</v>
      </c>
    </row>
    <row r="405">
      <c r="A405" s="5" t="s">
        <v>445</v>
      </c>
    </row>
    <row r="406">
      <c r="A406" s="5" t="s">
        <v>446</v>
      </c>
    </row>
    <row r="407">
      <c r="A407" s="5" t="s">
        <v>447</v>
      </c>
    </row>
    <row r="408">
      <c r="A408" s="5" t="s">
        <v>448</v>
      </c>
    </row>
    <row r="409">
      <c r="A409" s="5" t="s">
        <v>449</v>
      </c>
    </row>
    <row r="410">
      <c r="A410" s="5" t="s">
        <v>450</v>
      </c>
    </row>
    <row r="411">
      <c r="A411" s="5" t="s">
        <v>451</v>
      </c>
    </row>
    <row r="412">
      <c r="A412" s="5" t="s">
        <v>452</v>
      </c>
    </row>
    <row r="413">
      <c r="A413" s="5" t="s">
        <v>453</v>
      </c>
    </row>
    <row r="414">
      <c r="A414" s="5" t="s">
        <v>454</v>
      </c>
    </row>
    <row r="415">
      <c r="A415" s="5" t="s">
        <v>455</v>
      </c>
    </row>
    <row r="416">
      <c r="A416" s="5" t="s">
        <v>456</v>
      </c>
    </row>
    <row r="417">
      <c r="A417" s="5" t="s">
        <v>457</v>
      </c>
    </row>
    <row r="418">
      <c r="A418" s="5" t="s">
        <v>458</v>
      </c>
    </row>
    <row r="419">
      <c r="A419" s="5" t="s">
        <v>459</v>
      </c>
    </row>
    <row r="420">
      <c r="A420" s="5" t="s">
        <v>460</v>
      </c>
    </row>
    <row r="421">
      <c r="A421" s="5" t="s">
        <v>461</v>
      </c>
    </row>
    <row r="422">
      <c r="A422" s="5" t="s">
        <v>462</v>
      </c>
    </row>
    <row r="423">
      <c r="A423" s="5" t="s">
        <v>463</v>
      </c>
    </row>
    <row r="424">
      <c r="A424" s="5" t="s">
        <v>464</v>
      </c>
    </row>
    <row r="425">
      <c r="A425" s="5" t="s">
        <v>465</v>
      </c>
    </row>
    <row r="426">
      <c r="A426" s="5" t="s">
        <v>466</v>
      </c>
    </row>
    <row r="427">
      <c r="A427" s="5" t="s">
        <v>467</v>
      </c>
    </row>
    <row r="428">
      <c r="A428" s="5" t="s">
        <v>468</v>
      </c>
    </row>
    <row r="429">
      <c r="A429" s="5" t="s">
        <v>469</v>
      </c>
    </row>
    <row r="430">
      <c r="A430" s="5" t="s">
        <v>470</v>
      </c>
    </row>
    <row r="431">
      <c r="A431" s="5" t="s">
        <v>471</v>
      </c>
    </row>
    <row r="432">
      <c r="A432" s="5" t="s">
        <v>472</v>
      </c>
    </row>
    <row r="433">
      <c r="A433" s="5" t="s">
        <v>473</v>
      </c>
    </row>
    <row r="434">
      <c r="A434" s="5" t="s">
        <v>474</v>
      </c>
    </row>
    <row r="435">
      <c r="A435" s="5" t="s">
        <v>475</v>
      </c>
    </row>
    <row r="436">
      <c r="A436" s="5" t="s">
        <v>476</v>
      </c>
    </row>
    <row r="437">
      <c r="A437" s="5" t="s">
        <v>477</v>
      </c>
    </row>
    <row r="438">
      <c r="A438" s="5" t="s">
        <v>478</v>
      </c>
    </row>
    <row r="439">
      <c r="A439" s="5" t="s">
        <v>479</v>
      </c>
    </row>
    <row r="440">
      <c r="A440" s="5" t="s">
        <v>480</v>
      </c>
    </row>
    <row r="441">
      <c r="A441" s="5" t="s">
        <v>481</v>
      </c>
    </row>
    <row r="442">
      <c r="A442" s="5" t="s">
        <v>482</v>
      </c>
    </row>
    <row r="443">
      <c r="A443" s="5" t="s">
        <v>483</v>
      </c>
    </row>
    <row r="444">
      <c r="A444" s="5" t="s">
        <v>484</v>
      </c>
    </row>
    <row r="445">
      <c r="A445" s="5" t="s">
        <v>485</v>
      </c>
    </row>
    <row r="446">
      <c r="A446" s="5" t="s">
        <v>486</v>
      </c>
    </row>
    <row r="447">
      <c r="A447" s="5" t="s">
        <v>487</v>
      </c>
    </row>
    <row r="448">
      <c r="A448" s="5" t="s">
        <v>488</v>
      </c>
    </row>
    <row r="449">
      <c r="A449" s="5" t="s">
        <v>489</v>
      </c>
    </row>
    <row r="450">
      <c r="A450" s="5" t="s">
        <v>490</v>
      </c>
    </row>
    <row r="451">
      <c r="A451" s="5" t="s">
        <v>491</v>
      </c>
    </row>
    <row r="452">
      <c r="A452" s="5" t="s">
        <v>492</v>
      </c>
    </row>
    <row r="453">
      <c r="A453" s="5" t="s">
        <v>493</v>
      </c>
    </row>
    <row r="454">
      <c r="A454" s="5" t="s">
        <v>494</v>
      </c>
    </row>
    <row r="455">
      <c r="A455" s="5" t="s">
        <v>495</v>
      </c>
    </row>
    <row r="456">
      <c r="A456" s="5" t="s">
        <v>496</v>
      </c>
    </row>
    <row r="457">
      <c r="A457" s="5" t="s">
        <v>497</v>
      </c>
    </row>
    <row r="458">
      <c r="A458" s="5" t="s">
        <v>498</v>
      </c>
    </row>
    <row r="459">
      <c r="A459" s="5" t="s">
        <v>499</v>
      </c>
    </row>
    <row r="460">
      <c r="A460" s="5" t="s">
        <v>500</v>
      </c>
    </row>
    <row r="461">
      <c r="A461" s="5" t="s">
        <v>501</v>
      </c>
    </row>
    <row r="462">
      <c r="A462" s="5" t="s">
        <v>502</v>
      </c>
    </row>
    <row r="463">
      <c r="A463" s="5" t="s">
        <v>503</v>
      </c>
    </row>
    <row r="464">
      <c r="A464" s="5" t="s">
        <v>504</v>
      </c>
    </row>
    <row r="465">
      <c r="A465" s="5" t="s">
        <v>505</v>
      </c>
    </row>
    <row r="466">
      <c r="A466" s="5" t="s">
        <v>506</v>
      </c>
    </row>
    <row r="467">
      <c r="A467" s="5" t="s">
        <v>507</v>
      </c>
    </row>
    <row r="468">
      <c r="A468" s="5" t="s">
        <v>508</v>
      </c>
    </row>
    <row r="469">
      <c r="A469" s="5" t="s">
        <v>509</v>
      </c>
    </row>
    <row r="470">
      <c r="A470" s="5" t="s">
        <v>510</v>
      </c>
    </row>
    <row r="471">
      <c r="A471" s="5" t="s">
        <v>511</v>
      </c>
    </row>
    <row r="472">
      <c r="A472" s="5" t="s">
        <v>512</v>
      </c>
    </row>
    <row r="473">
      <c r="A473" s="5" t="s">
        <v>513</v>
      </c>
    </row>
    <row r="474">
      <c r="A474" s="5" t="s">
        <v>514</v>
      </c>
    </row>
    <row r="475">
      <c r="A475" s="5" t="s">
        <v>515</v>
      </c>
    </row>
    <row r="476">
      <c r="A476" s="5" t="s">
        <v>516</v>
      </c>
    </row>
    <row r="477">
      <c r="A477" s="5" t="s">
        <v>517</v>
      </c>
    </row>
    <row r="478">
      <c r="A478" s="5" t="s">
        <v>518</v>
      </c>
    </row>
    <row r="479">
      <c r="A479" s="5" t="s">
        <v>519</v>
      </c>
    </row>
    <row r="480">
      <c r="A480" s="5" t="s">
        <v>520</v>
      </c>
    </row>
    <row r="481">
      <c r="A481" s="5" t="s">
        <v>521</v>
      </c>
    </row>
    <row r="482">
      <c r="A482" s="5" t="s">
        <v>522</v>
      </c>
    </row>
    <row r="483">
      <c r="A483" s="5" t="s">
        <v>523</v>
      </c>
    </row>
    <row r="484">
      <c r="A484" s="5" t="s">
        <v>524</v>
      </c>
    </row>
    <row r="485">
      <c r="A485" s="5" t="s">
        <v>525</v>
      </c>
    </row>
    <row r="486">
      <c r="A486" s="5" t="s">
        <v>526</v>
      </c>
    </row>
    <row r="487">
      <c r="A487" s="5" t="s">
        <v>527</v>
      </c>
    </row>
    <row r="488">
      <c r="A488" s="5" t="s">
        <v>528</v>
      </c>
    </row>
    <row r="489">
      <c r="A489" s="5" t="s">
        <v>529</v>
      </c>
    </row>
    <row r="490">
      <c r="A490" s="5" t="s">
        <v>530</v>
      </c>
    </row>
    <row r="491">
      <c r="A491" s="5" t="s">
        <v>531</v>
      </c>
    </row>
    <row r="492">
      <c r="A492" s="5" t="s">
        <v>532</v>
      </c>
    </row>
    <row r="493">
      <c r="A493" s="5" t="s">
        <v>533</v>
      </c>
    </row>
    <row r="494">
      <c r="A494" s="5" t="s">
        <v>534</v>
      </c>
    </row>
    <row r="495">
      <c r="A495" s="5" t="s">
        <v>535</v>
      </c>
    </row>
    <row r="496">
      <c r="A496" s="5" t="s">
        <v>536</v>
      </c>
    </row>
    <row r="497">
      <c r="A497" s="5" t="s">
        <v>537</v>
      </c>
    </row>
    <row r="498">
      <c r="A498" s="5" t="s">
        <v>538</v>
      </c>
    </row>
    <row r="499">
      <c r="A499" s="5" t="s">
        <v>539</v>
      </c>
    </row>
    <row r="500">
      <c r="A500" s="5" t="s">
        <v>540</v>
      </c>
    </row>
    <row r="501">
      <c r="A501" s="5" t="s">
        <v>541</v>
      </c>
    </row>
    <row r="502">
      <c r="A502" s="5" t="s">
        <v>542</v>
      </c>
    </row>
    <row r="503">
      <c r="A503" s="5" t="s">
        <v>543</v>
      </c>
    </row>
    <row r="504">
      <c r="A504" s="5" t="s">
        <v>544</v>
      </c>
    </row>
    <row r="505">
      <c r="A505" s="5" t="s">
        <v>545</v>
      </c>
    </row>
    <row r="506">
      <c r="A506" s="5" t="s">
        <v>546</v>
      </c>
    </row>
    <row r="507">
      <c r="A507" s="5" t="s">
        <v>547</v>
      </c>
    </row>
    <row r="508">
      <c r="A508" s="5" t="s">
        <v>548</v>
      </c>
    </row>
    <row r="509">
      <c r="A509" s="5" t="s">
        <v>549</v>
      </c>
    </row>
    <row r="510">
      <c r="A510" s="5" t="s">
        <v>550</v>
      </c>
    </row>
    <row r="511">
      <c r="A511" s="5" t="s">
        <v>551</v>
      </c>
    </row>
    <row r="512">
      <c r="A512" s="5" t="s">
        <v>552</v>
      </c>
    </row>
    <row r="513">
      <c r="A513" s="5" t="s">
        <v>553</v>
      </c>
    </row>
    <row r="514">
      <c r="A514" s="5" t="s">
        <v>554</v>
      </c>
    </row>
    <row r="515">
      <c r="A515" s="5" t="s">
        <v>555</v>
      </c>
    </row>
    <row r="516">
      <c r="A516" s="5" t="s">
        <v>556</v>
      </c>
    </row>
    <row r="517">
      <c r="A517" s="5" t="s">
        <v>557</v>
      </c>
    </row>
    <row r="518">
      <c r="A518" s="5" t="s">
        <v>558</v>
      </c>
    </row>
    <row r="519">
      <c r="A519" s="5" t="s">
        <v>559</v>
      </c>
    </row>
    <row r="520">
      <c r="A520" s="5" t="s">
        <v>560</v>
      </c>
    </row>
    <row r="521">
      <c r="A521" s="5" t="s">
        <v>561</v>
      </c>
    </row>
    <row r="522">
      <c r="A522" s="5" t="s">
        <v>562</v>
      </c>
    </row>
    <row r="523">
      <c r="A523" s="5" t="s">
        <v>563</v>
      </c>
    </row>
    <row r="524">
      <c r="A524" s="5" t="s">
        <v>564</v>
      </c>
    </row>
    <row r="525">
      <c r="A525" s="5" t="s">
        <v>565</v>
      </c>
    </row>
    <row r="526">
      <c r="A526" s="5" t="s">
        <v>566</v>
      </c>
    </row>
    <row r="527">
      <c r="A527" s="5" t="s">
        <v>567</v>
      </c>
    </row>
    <row r="528">
      <c r="A528" s="5" t="s">
        <v>568</v>
      </c>
    </row>
    <row r="529">
      <c r="A529" s="5" t="s">
        <v>569</v>
      </c>
    </row>
    <row r="530">
      <c r="A530" s="5" t="s">
        <v>570</v>
      </c>
    </row>
    <row r="531">
      <c r="A531" s="5" t="s">
        <v>571</v>
      </c>
    </row>
    <row r="532">
      <c r="A532" s="5" t="s">
        <v>572</v>
      </c>
    </row>
    <row r="533">
      <c r="A533" s="5" t="s">
        <v>573</v>
      </c>
    </row>
    <row r="534">
      <c r="A534" s="5" t="s">
        <v>574</v>
      </c>
    </row>
    <row r="535">
      <c r="A535" s="5" t="s">
        <v>575</v>
      </c>
    </row>
    <row r="536">
      <c r="A536" s="5" t="s">
        <v>576</v>
      </c>
    </row>
    <row r="537">
      <c r="A537" s="5" t="s">
        <v>577</v>
      </c>
    </row>
    <row r="538">
      <c r="A538" s="5" t="s">
        <v>578</v>
      </c>
    </row>
    <row r="539">
      <c r="A539" s="5" t="s">
        <v>579</v>
      </c>
    </row>
    <row r="540">
      <c r="A540" s="5" t="s">
        <v>580</v>
      </c>
    </row>
    <row r="541">
      <c r="A541" s="5" t="s">
        <v>581</v>
      </c>
    </row>
    <row r="542">
      <c r="A542" s="5" t="s">
        <v>582</v>
      </c>
    </row>
    <row r="543">
      <c r="A543" s="5" t="s">
        <v>583</v>
      </c>
    </row>
    <row r="544">
      <c r="A544" s="5" t="s">
        <v>584</v>
      </c>
    </row>
    <row r="545">
      <c r="A545" s="5" t="s">
        <v>585</v>
      </c>
    </row>
    <row r="546">
      <c r="A546" s="5" t="s">
        <v>586</v>
      </c>
    </row>
    <row r="547">
      <c r="A547" s="5" t="s">
        <v>587</v>
      </c>
    </row>
    <row r="548">
      <c r="A548" s="5" t="s">
        <v>588</v>
      </c>
    </row>
    <row r="549">
      <c r="A549" s="5" t="s">
        <v>589</v>
      </c>
    </row>
    <row r="550">
      <c r="A550" s="5" t="s">
        <v>590</v>
      </c>
    </row>
    <row r="551">
      <c r="A551" s="5" t="s">
        <v>591</v>
      </c>
    </row>
    <row r="552">
      <c r="A552" s="5" t="s">
        <v>592</v>
      </c>
    </row>
    <row r="553">
      <c r="A553" s="5" t="s">
        <v>593</v>
      </c>
    </row>
    <row r="554">
      <c r="A554" s="5" t="s">
        <v>594</v>
      </c>
    </row>
    <row r="555">
      <c r="A555" s="5" t="s">
        <v>595</v>
      </c>
    </row>
    <row r="556">
      <c r="A556" s="5" t="s">
        <v>596</v>
      </c>
    </row>
    <row r="557">
      <c r="A557" s="5" t="s">
        <v>597</v>
      </c>
    </row>
    <row r="558">
      <c r="A558" s="5" t="s">
        <v>598</v>
      </c>
    </row>
    <row r="559">
      <c r="A559" s="5" t="s">
        <v>599</v>
      </c>
    </row>
    <row r="560">
      <c r="A560" s="5" t="s">
        <v>600</v>
      </c>
    </row>
    <row r="561">
      <c r="A561" s="5" t="s">
        <v>601</v>
      </c>
    </row>
    <row r="562">
      <c r="A562" s="5" t="s">
        <v>602</v>
      </c>
    </row>
    <row r="563">
      <c r="A563" s="5" t="s">
        <v>603</v>
      </c>
    </row>
    <row r="564">
      <c r="A564" s="5" t="s">
        <v>604</v>
      </c>
    </row>
    <row r="565">
      <c r="A565" s="5" t="s">
        <v>605</v>
      </c>
    </row>
    <row r="566">
      <c r="A566" s="5" t="s">
        <v>606</v>
      </c>
    </row>
    <row r="567">
      <c r="A567" s="5" t="s">
        <v>607</v>
      </c>
    </row>
    <row r="568">
      <c r="A568" s="5" t="s">
        <v>608</v>
      </c>
    </row>
    <row r="569">
      <c r="A569" s="5" t="s">
        <v>609</v>
      </c>
    </row>
    <row r="570">
      <c r="A570" s="5" t="s">
        <v>610</v>
      </c>
    </row>
    <row r="571">
      <c r="A571" s="5" t="s">
        <v>611</v>
      </c>
    </row>
    <row r="572">
      <c r="A572" s="5" t="s">
        <v>612</v>
      </c>
    </row>
    <row r="573">
      <c r="A573" s="5" t="s">
        <v>613</v>
      </c>
    </row>
    <row r="574">
      <c r="A574" s="5" t="s">
        <v>614</v>
      </c>
    </row>
    <row r="575">
      <c r="A575" s="5" t="s">
        <v>615</v>
      </c>
    </row>
    <row r="576">
      <c r="A576" s="5" t="s">
        <v>616</v>
      </c>
    </row>
    <row r="577">
      <c r="A577" s="5" t="s">
        <v>617</v>
      </c>
    </row>
    <row r="578">
      <c r="A578" s="5" t="s">
        <v>618</v>
      </c>
    </row>
    <row r="579">
      <c r="A579" s="5" t="s">
        <v>619</v>
      </c>
    </row>
    <row r="580">
      <c r="A580" s="5" t="s">
        <v>620</v>
      </c>
    </row>
    <row r="581">
      <c r="A581" s="5" t="s">
        <v>621</v>
      </c>
    </row>
    <row r="582">
      <c r="A582" s="5" t="s">
        <v>622</v>
      </c>
    </row>
    <row r="583">
      <c r="A583" s="5" t="s">
        <v>623</v>
      </c>
    </row>
    <row r="584">
      <c r="A584" s="5" t="s">
        <v>624</v>
      </c>
    </row>
    <row r="585">
      <c r="A585" s="5" t="s">
        <v>625</v>
      </c>
    </row>
    <row r="586">
      <c r="A586" s="5" t="s">
        <v>626</v>
      </c>
    </row>
    <row r="587">
      <c r="A587" s="5" t="s">
        <v>627</v>
      </c>
    </row>
    <row r="588">
      <c r="A588" s="5" t="s">
        <v>628</v>
      </c>
    </row>
    <row r="589">
      <c r="A589" s="5" t="s">
        <v>629</v>
      </c>
    </row>
    <row r="590">
      <c r="A590" s="5" t="s">
        <v>630</v>
      </c>
    </row>
    <row r="591">
      <c r="A591" s="5" t="s">
        <v>631</v>
      </c>
    </row>
    <row r="592">
      <c r="A592" s="5" t="s">
        <v>632</v>
      </c>
    </row>
    <row r="593">
      <c r="A593" s="5" t="s">
        <v>633</v>
      </c>
    </row>
    <row r="594">
      <c r="A594" s="5" t="s">
        <v>634</v>
      </c>
    </row>
    <row r="595">
      <c r="A595" s="5" t="s">
        <v>635</v>
      </c>
    </row>
    <row r="596">
      <c r="A596" s="5" t="s">
        <v>636</v>
      </c>
    </row>
    <row r="597">
      <c r="A597" s="5" t="s">
        <v>637</v>
      </c>
    </row>
    <row r="598">
      <c r="A598" s="5" t="s">
        <v>638</v>
      </c>
    </row>
    <row r="599">
      <c r="A599" s="5" t="s">
        <v>639</v>
      </c>
    </row>
    <row r="600">
      <c r="A600" s="5" t="s">
        <v>640</v>
      </c>
    </row>
    <row r="601">
      <c r="A601" s="5" t="s">
        <v>641</v>
      </c>
    </row>
    <row r="602">
      <c r="A602" s="5" t="s">
        <v>642</v>
      </c>
    </row>
    <row r="603">
      <c r="A603" s="5" t="s">
        <v>643</v>
      </c>
    </row>
    <row r="604">
      <c r="A604" s="5" t="s">
        <v>644</v>
      </c>
    </row>
    <row r="605">
      <c r="A605" s="5" t="s">
        <v>645</v>
      </c>
    </row>
    <row r="606">
      <c r="A606" s="5" t="s">
        <v>646</v>
      </c>
    </row>
    <row r="607">
      <c r="A607" s="5" t="s">
        <v>647</v>
      </c>
    </row>
    <row r="608">
      <c r="A608" s="5" t="s">
        <v>648</v>
      </c>
    </row>
    <row r="609">
      <c r="A609" s="5" t="s">
        <v>649</v>
      </c>
    </row>
    <row r="610">
      <c r="A610" s="5" t="s">
        <v>650</v>
      </c>
    </row>
    <row r="611">
      <c r="A611" s="5" t="s">
        <v>651</v>
      </c>
    </row>
    <row r="612">
      <c r="A612" s="5" t="s">
        <v>652</v>
      </c>
    </row>
    <row r="613">
      <c r="A613" s="5" t="s">
        <v>653</v>
      </c>
    </row>
    <row r="614">
      <c r="A614" s="5" t="s">
        <v>654</v>
      </c>
    </row>
    <row r="615">
      <c r="A615" s="5" t="s">
        <v>655</v>
      </c>
    </row>
    <row r="616">
      <c r="A616" s="5" t="s">
        <v>656</v>
      </c>
    </row>
    <row r="617">
      <c r="A617" s="5" t="s">
        <v>657</v>
      </c>
    </row>
    <row r="618">
      <c r="A618" s="5" t="s">
        <v>658</v>
      </c>
    </row>
    <row r="619">
      <c r="A619" s="5" t="s">
        <v>659</v>
      </c>
    </row>
    <row r="620">
      <c r="A620" s="5" t="s">
        <v>660</v>
      </c>
    </row>
    <row r="621">
      <c r="A621" s="5" t="s">
        <v>661</v>
      </c>
    </row>
    <row r="622">
      <c r="A622" s="5" t="s">
        <v>662</v>
      </c>
    </row>
    <row r="623">
      <c r="A623" s="5" t="s">
        <v>663</v>
      </c>
    </row>
    <row r="624">
      <c r="A624" s="5" t="s">
        <v>664</v>
      </c>
    </row>
    <row r="625">
      <c r="A625" s="5" t="s">
        <v>665</v>
      </c>
    </row>
    <row r="626">
      <c r="A626" s="5" t="s">
        <v>666</v>
      </c>
    </row>
    <row r="627">
      <c r="A627" s="5" t="s">
        <v>667</v>
      </c>
    </row>
    <row r="628">
      <c r="A628" s="5" t="s">
        <v>668</v>
      </c>
    </row>
    <row r="629">
      <c r="A629" s="5" t="s">
        <v>669</v>
      </c>
    </row>
    <row r="630">
      <c r="A630" s="5" t="s">
        <v>670</v>
      </c>
    </row>
    <row r="631">
      <c r="A631" s="5" t="s">
        <v>671</v>
      </c>
    </row>
    <row r="632">
      <c r="A632" s="5" t="s">
        <v>672</v>
      </c>
    </row>
    <row r="633">
      <c r="A633" s="5" t="s">
        <v>673</v>
      </c>
    </row>
    <row r="634">
      <c r="A634" s="5" t="s">
        <v>674</v>
      </c>
    </row>
    <row r="635">
      <c r="A635" s="5" t="s">
        <v>675</v>
      </c>
    </row>
    <row r="636">
      <c r="A636" s="5" t="s">
        <v>676</v>
      </c>
    </row>
    <row r="637">
      <c r="A637" s="5" t="s">
        <v>677</v>
      </c>
    </row>
    <row r="638">
      <c r="A638" s="5" t="s">
        <v>678</v>
      </c>
    </row>
    <row r="639">
      <c r="A639" s="5" t="s">
        <v>679</v>
      </c>
    </row>
    <row r="640">
      <c r="A640" s="5" t="s">
        <v>680</v>
      </c>
    </row>
    <row r="641">
      <c r="A641" s="5" t="s">
        <v>681</v>
      </c>
    </row>
    <row r="642">
      <c r="A642" s="5" t="s">
        <v>682</v>
      </c>
    </row>
    <row r="643">
      <c r="A643" s="5" t="s">
        <v>683</v>
      </c>
    </row>
    <row r="644">
      <c r="A644" s="5" t="s">
        <v>684</v>
      </c>
    </row>
    <row r="645">
      <c r="A645" s="5" t="s">
        <v>685</v>
      </c>
    </row>
    <row r="646">
      <c r="A646" s="5" t="s">
        <v>686</v>
      </c>
    </row>
    <row r="647">
      <c r="A647" s="5" t="s">
        <v>687</v>
      </c>
    </row>
    <row r="648">
      <c r="A648" s="5" t="s">
        <v>688</v>
      </c>
    </row>
    <row r="649">
      <c r="A649" s="5" t="s">
        <v>689</v>
      </c>
    </row>
    <row r="650">
      <c r="A650" s="5" t="s">
        <v>690</v>
      </c>
    </row>
    <row r="651">
      <c r="A651" s="5" t="s">
        <v>691</v>
      </c>
    </row>
    <row r="652">
      <c r="A652" s="5" t="s">
        <v>692</v>
      </c>
    </row>
    <row r="653">
      <c r="A653" s="5" t="s">
        <v>693</v>
      </c>
    </row>
    <row r="654">
      <c r="A654" s="5" t="s">
        <v>694</v>
      </c>
    </row>
    <row r="655">
      <c r="A655" s="5" t="s">
        <v>695</v>
      </c>
    </row>
    <row r="656">
      <c r="A656" s="5" t="s">
        <v>696</v>
      </c>
    </row>
    <row r="657">
      <c r="A657" s="5" t="s">
        <v>697</v>
      </c>
    </row>
    <row r="658">
      <c r="A658" s="5" t="s">
        <v>698</v>
      </c>
    </row>
    <row r="659">
      <c r="A659" s="5" t="s">
        <v>699</v>
      </c>
    </row>
    <row r="660">
      <c r="A660" s="5" t="s">
        <v>700</v>
      </c>
    </row>
    <row r="661">
      <c r="A661" s="5" t="s">
        <v>701</v>
      </c>
    </row>
    <row r="662">
      <c r="A662" s="5" t="s">
        <v>702</v>
      </c>
    </row>
    <row r="663">
      <c r="A663" s="5" t="s">
        <v>703</v>
      </c>
    </row>
    <row r="664">
      <c r="A664" s="5" t="s">
        <v>704</v>
      </c>
    </row>
    <row r="665">
      <c r="A665" s="5" t="s">
        <v>705</v>
      </c>
    </row>
    <row r="666">
      <c r="A666" s="5" t="s">
        <v>706</v>
      </c>
    </row>
    <row r="667">
      <c r="A667" s="5" t="s">
        <v>707</v>
      </c>
    </row>
    <row r="668">
      <c r="A668" s="5" t="s">
        <v>708</v>
      </c>
    </row>
    <row r="669">
      <c r="A669" s="5" t="s">
        <v>709</v>
      </c>
    </row>
    <row r="670">
      <c r="A670" s="5" t="s">
        <v>710</v>
      </c>
    </row>
    <row r="671">
      <c r="A671" s="5" t="s">
        <v>711</v>
      </c>
    </row>
    <row r="672">
      <c r="A672" s="5" t="s">
        <v>712</v>
      </c>
    </row>
    <row r="673">
      <c r="A673" s="5" t="s">
        <v>713</v>
      </c>
    </row>
    <row r="674">
      <c r="A674" s="5" t="s">
        <v>714</v>
      </c>
    </row>
    <row r="675">
      <c r="A675" s="5" t="s">
        <v>715</v>
      </c>
    </row>
    <row r="676">
      <c r="A676" s="5" t="s">
        <v>716</v>
      </c>
    </row>
    <row r="677">
      <c r="A677" s="5" t="s">
        <v>717</v>
      </c>
    </row>
    <row r="678">
      <c r="A678" s="5" t="s">
        <v>718</v>
      </c>
    </row>
    <row r="679">
      <c r="A679" s="5" t="s">
        <v>719</v>
      </c>
    </row>
    <row r="680">
      <c r="A680" s="5" t="s">
        <v>720</v>
      </c>
    </row>
    <row r="681">
      <c r="A681" s="5" t="s">
        <v>721</v>
      </c>
    </row>
    <row r="682">
      <c r="A682" s="5" t="s">
        <v>722</v>
      </c>
    </row>
    <row r="683">
      <c r="A683" s="5" t="s">
        <v>723</v>
      </c>
    </row>
    <row r="684">
      <c r="A684" s="5" t="s">
        <v>724</v>
      </c>
    </row>
    <row r="685">
      <c r="A685" s="5" t="s">
        <v>725</v>
      </c>
    </row>
    <row r="686">
      <c r="A686" s="5" t="s">
        <v>726</v>
      </c>
    </row>
    <row r="687">
      <c r="A687" s="5" t="s">
        <v>727</v>
      </c>
    </row>
    <row r="688">
      <c r="A688" s="5" t="s">
        <v>728</v>
      </c>
    </row>
    <row r="689">
      <c r="A689" s="5" t="s">
        <v>729</v>
      </c>
    </row>
    <row r="690">
      <c r="A690" s="5" t="s">
        <v>730</v>
      </c>
    </row>
    <row r="691">
      <c r="A691" s="5" t="s">
        <v>731</v>
      </c>
    </row>
    <row r="692">
      <c r="A692" s="5" t="s">
        <v>732</v>
      </c>
    </row>
    <row r="693">
      <c r="A693" s="5" t="s">
        <v>733</v>
      </c>
    </row>
    <row r="694">
      <c r="A694" s="5" t="s">
        <v>734</v>
      </c>
    </row>
    <row r="695">
      <c r="A695" s="5" t="s">
        <v>735</v>
      </c>
    </row>
    <row r="696">
      <c r="A696" s="5" t="s">
        <v>736</v>
      </c>
    </row>
    <row r="697">
      <c r="A697" s="5" t="s">
        <v>737</v>
      </c>
    </row>
    <row r="698">
      <c r="A698" s="5" t="s">
        <v>738</v>
      </c>
    </row>
    <row r="699">
      <c r="A699" s="5" t="s">
        <v>739</v>
      </c>
    </row>
    <row r="700">
      <c r="A700" s="5" t="s">
        <v>740</v>
      </c>
    </row>
    <row r="701">
      <c r="A701" s="5" t="s">
        <v>741</v>
      </c>
    </row>
    <row r="702">
      <c r="A702" s="5" t="s">
        <v>742</v>
      </c>
    </row>
    <row r="703">
      <c r="A703" s="5" t="s">
        <v>743</v>
      </c>
    </row>
    <row r="704">
      <c r="A704" s="5" t="s">
        <v>744</v>
      </c>
    </row>
    <row r="705">
      <c r="A705" s="5" t="s">
        <v>745</v>
      </c>
    </row>
    <row r="706">
      <c r="A706" s="5" t="s">
        <v>746</v>
      </c>
    </row>
    <row r="707">
      <c r="A707" s="5" t="s">
        <v>747</v>
      </c>
    </row>
    <row r="708">
      <c r="A708" s="5" t="s">
        <v>748</v>
      </c>
    </row>
    <row r="709">
      <c r="A709" s="5" t="s">
        <v>749</v>
      </c>
    </row>
    <row r="710">
      <c r="A710" s="5" t="s">
        <v>750</v>
      </c>
    </row>
    <row r="711">
      <c r="A711" s="5" t="s">
        <v>751</v>
      </c>
    </row>
    <row r="712">
      <c r="A712" s="5" t="s">
        <v>752</v>
      </c>
    </row>
    <row r="713">
      <c r="A713" s="5" t="s">
        <v>753</v>
      </c>
    </row>
    <row r="714">
      <c r="A714" s="5" t="s">
        <v>754</v>
      </c>
    </row>
    <row r="715">
      <c r="A715" s="5" t="s">
        <v>755</v>
      </c>
    </row>
    <row r="716">
      <c r="A716" s="5" t="s">
        <v>756</v>
      </c>
    </row>
    <row r="717">
      <c r="A717" s="5" t="s">
        <v>757</v>
      </c>
    </row>
    <row r="718">
      <c r="A718" s="5" t="s">
        <v>758</v>
      </c>
    </row>
    <row r="719">
      <c r="A719" s="5" t="s">
        <v>759</v>
      </c>
    </row>
    <row r="720">
      <c r="A720" s="5" t="s">
        <v>760</v>
      </c>
    </row>
    <row r="721">
      <c r="A721" s="5" t="s">
        <v>761</v>
      </c>
    </row>
    <row r="722">
      <c r="A722" s="5" t="s">
        <v>762</v>
      </c>
    </row>
    <row r="723">
      <c r="A723" s="5" t="s">
        <v>763</v>
      </c>
    </row>
    <row r="724">
      <c r="A724" s="5" t="s">
        <v>764</v>
      </c>
    </row>
    <row r="725">
      <c r="A725" s="5" t="s">
        <v>765</v>
      </c>
    </row>
    <row r="726">
      <c r="A726" s="5" t="s">
        <v>766</v>
      </c>
    </row>
    <row r="727">
      <c r="A727" s="5" t="s">
        <v>767</v>
      </c>
    </row>
    <row r="728">
      <c r="A728" s="5" t="s">
        <v>768</v>
      </c>
    </row>
    <row r="729">
      <c r="A729" s="5" t="s">
        <v>769</v>
      </c>
    </row>
    <row r="730">
      <c r="A730" s="5" t="s">
        <v>770</v>
      </c>
    </row>
    <row r="731">
      <c r="A731" s="5" t="s">
        <v>771</v>
      </c>
    </row>
    <row r="732">
      <c r="A732" s="5" t="s">
        <v>772</v>
      </c>
    </row>
    <row r="733">
      <c r="A733" s="5" t="s">
        <v>773</v>
      </c>
    </row>
    <row r="734">
      <c r="A734" s="5" t="s">
        <v>774</v>
      </c>
    </row>
    <row r="735">
      <c r="A735" s="5" t="s">
        <v>775</v>
      </c>
    </row>
    <row r="736">
      <c r="A736" s="5" t="s">
        <v>776</v>
      </c>
    </row>
    <row r="737">
      <c r="A737" s="5" t="s">
        <v>777</v>
      </c>
    </row>
    <row r="738">
      <c r="A738" s="5" t="s">
        <v>778</v>
      </c>
    </row>
    <row r="739">
      <c r="A739" s="5" t="s">
        <v>779</v>
      </c>
    </row>
    <row r="740">
      <c r="A740" s="5" t="s">
        <v>780</v>
      </c>
    </row>
    <row r="741">
      <c r="A741" s="5" t="s">
        <v>781</v>
      </c>
    </row>
    <row r="742">
      <c r="A742" s="5" t="s">
        <v>782</v>
      </c>
    </row>
    <row r="743">
      <c r="A743" s="5" t="s">
        <v>783</v>
      </c>
    </row>
    <row r="744">
      <c r="A744" s="5" t="s">
        <v>784</v>
      </c>
    </row>
    <row r="745">
      <c r="A745" s="5" t="s">
        <v>785</v>
      </c>
    </row>
    <row r="746">
      <c r="A746" s="5" t="s">
        <v>786</v>
      </c>
    </row>
    <row r="747">
      <c r="A747" s="5" t="s">
        <v>787</v>
      </c>
    </row>
    <row r="748">
      <c r="A748" s="5" t="s">
        <v>788</v>
      </c>
    </row>
    <row r="749">
      <c r="A749" s="5" t="s">
        <v>789</v>
      </c>
    </row>
    <row r="750">
      <c r="A750" s="5" t="s">
        <v>790</v>
      </c>
    </row>
    <row r="751">
      <c r="A751" s="5" t="s">
        <v>791</v>
      </c>
    </row>
    <row r="752">
      <c r="A752" s="5" t="s">
        <v>792</v>
      </c>
    </row>
    <row r="753">
      <c r="A753" s="5" t="s">
        <v>793</v>
      </c>
    </row>
    <row r="754">
      <c r="A754" s="5" t="s">
        <v>794</v>
      </c>
    </row>
    <row r="755">
      <c r="A755" s="5" t="s">
        <v>795</v>
      </c>
    </row>
    <row r="756">
      <c r="A756" s="5" t="s">
        <v>796</v>
      </c>
    </row>
    <row r="757">
      <c r="A757" s="5" t="s">
        <v>797</v>
      </c>
    </row>
    <row r="758">
      <c r="A758" s="5" t="s">
        <v>798</v>
      </c>
    </row>
    <row r="759">
      <c r="A759" s="5" t="s">
        <v>799</v>
      </c>
    </row>
    <row r="760">
      <c r="A760" s="5" t="s">
        <v>800</v>
      </c>
    </row>
    <row r="761">
      <c r="A761" s="5" t="s">
        <v>801</v>
      </c>
    </row>
    <row r="762">
      <c r="A762" s="5" t="s">
        <v>802</v>
      </c>
    </row>
    <row r="763">
      <c r="A763" s="5" t="s">
        <v>803</v>
      </c>
    </row>
    <row r="764">
      <c r="A764" s="5" t="s">
        <v>804</v>
      </c>
    </row>
    <row r="765">
      <c r="A765" s="5" t="s">
        <v>805</v>
      </c>
    </row>
    <row r="766">
      <c r="A766" s="5" t="s">
        <v>806</v>
      </c>
    </row>
    <row r="767">
      <c r="A767" s="5" t="s">
        <v>807</v>
      </c>
    </row>
    <row r="768">
      <c r="A768" s="5" t="s">
        <v>808</v>
      </c>
    </row>
    <row r="769">
      <c r="A769" s="5" t="s">
        <v>809</v>
      </c>
    </row>
    <row r="770">
      <c r="A770" s="5" t="s">
        <v>810</v>
      </c>
    </row>
    <row r="771">
      <c r="A771" s="5" t="s">
        <v>811</v>
      </c>
    </row>
    <row r="772">
      <c r="A772" s="5" t="s">
        <v>812</v>
      </c>
    </row>
    <row r="773">
      <c r="A773" s="5" t="s">
        <v>813</v>
      </c>
    </row>
    <row r="774">
      <c r="A774" s="5" t="s">
        <v>814</v>
      </c>
    </row>
    <row r="775">
      <c r="A775" s="5" t="s">
        <v>815</v>
      </c>
    </row>
    <row r="776">
      <c r="A776" s="5" t="s">
        <v>816</v>
      </c>
    </row>
    <row r="777">
      <c r="A777" s="5" t="s">
        <v>817</v>
      </c>
    </row>
    <row r="778">
      <c r="A778" s="5" t="s">
        <v>818</v>
      </c>
    </row>
    <row r="779">
      <c r="A779" s="5" t="s">
        <v>819</v>
      </c>
    </row>
    <row r="780">
      <c r="A780" s="5" t="s">
        <v>820</v>
      </c>
    </row>
    <row r="781">
      <c r="A781" s="5" t="s">
        <v>821</v>
      </c>
    </row>
    <row r="782">
      <c r="A782" s="5" t="s">
        <v>822</v>
      </c>
    </row>
    <row r="783">
      <c r="A783" s="5" t="s">
        <v>823</v>
      </c>
    </row>
    <row r="784">
      <c r="A784" s="5" t="s">
        <v>824</v>
      </c>
    </row>
    <row r="785">
      <c r="A785" s="5" t="s">
        <v>825</v>
      </c>
    </row>
    <row r="786">
      <c r="A786" s="5" t="s">
        <v>826</v>
      </c>
    </row>
    <row r="787">
      <c r="A787" s="5" t="s">
        <v>827</v>
      </c>
    </row>
    <row r="788">
      <c r="A788" s="5" t="s">
        <v>828</v>
      </c>
    </row>
    <row r="789">
      <c r="A789" s="5" t="s">
        <v>829</v>
      </c>
    </row>
    <row r="790">
      <c r="A790" s="5" t="s">
        <v>830</v>
      </c>
    </row>
    <row r="791">
      <c r="A791" s="5" t="s">
        <v>831</v>
      </c>
    </row>
    <row r="792">
      <c r="A792" s="5" t="s">
        <v>832</v>
      </c>
    </row>
    <row r="793">
      <c r="A793" s="5" t="s">
        <v>833</v>
      </c>
    </row>
    <row r="794">
      <c r="A794" s="5" t="s">
        <v>834</v>
      </c>
    </row>
    <row r="795">
      <c r="A795" s="5" t="s">
        <v>835</v>
      </c>
    </row>
    <row r="796">
      <c r="A796" s="5" t="s">
        <v>836</v>
      </c>
    </row>
    <row r="797">
      <c r="A797" s="5" t="s">
        <v>837</v>
      </c>
    </row>
    <row r="798">
      <c r="A798" s="5" t="s">
        <v>838</v>
      </c>
    </row>
    <row r="799">
      <c r="A799" s="5" t="s">
        <v>839</v>
      </c>
    </row>
    <row r="800">
      <c r="A800" s="5" t="s">
        <v>840</v>
      </c>
    </row>
    <row r="801">
      <c r="A801" s="5" t="s">
        <v>841</v>
      </c>
    </row>
    <row r="802">
      <c r="A802" s="5" t="s">
        <v>842</v>
      </c>
    </row>
    <row r="803">
      <c r="A803" s="5" t="s">
        <v>843</v>
      </c>
    </row>
    <row r="804">
      <c r="A804" s="5" t="s">
        <v>844</v>
      </c>
    </row>
    <row r="805">
      <c r="A805" s="5" t="s">
        <v>845</v>
      </c>
    </row>
    <row r="806">
      <c r="A806" s="5" t="s">
        <v>846</v>
      </c>
    </row>
    <row r="807">
      <c r="A807" s="5" t="s">
        <v>847</v>
      </c>
    </row>
    <row r="808">
      <c r="A808" s="5" t="s">
        <v>848</v>
      </c>
    </row>
    <row r="809">
      <c r="A809" s="5" t="s">
        <v>849</v>
      </c>
    </row>
    <row r="810">
      <c r="A810" s="5" t="s">
        <v>850</v>
      </c>
    </row>
    <row r="811">
      <c r="A811" s="5" t="s">
        <v>851</v>
      </c>
    </row>
    <row r="812">
      <c r="A812" s="5" t="s">
        <v>852</v>
      </c>
    </row>
    <row r="813">
      <c r="A813" s="5" t="s">
        <v>853</v>
      </c>
    </row>
    <row r="814">
      <c r="A814" s="5" t="s">
        <v>854</v>
      </c>
    </row>
    <row r="815">
      <c r="A815" s="5" t="s">
        <v>855</v>
      </c>
    </row>
    <row r="816">
      <c r="A816" s="5" t="s">
        <v>856</v>
      </c>
    </row>
    <row r="817">
      <c r="A817" s="5" t="s">
        <v>857</v>
      </c>
    </row>
    <row r="818">
      <c r="A818" s="5" t="s">
        <v>858</v>
      </c>
    </row>
    <row r="819">
      <c r="A819" s="5" t="s">
        <v>859</v>
      </c>
    </row>
    <row r="820">
      <c r="A820" s="5" t="s">
        <v>860</v>
      </c>
    </row>
    <row r="821">
      <c r="A821" s="5" t="s">
        <v>861</v>
      </c>
    </row>
    <row r="822">
      <c r="A822" s="5" t="s">
        <v>862</v>
      </c>
    </row>
    <row r="823">
      <c r="A823" s="5" t="s">
        <v>863</v>
      </c>
    </row>
    <row r="824">
      <c r="A824" s="5" t="s">
        <v>864</v>
      </c>
    </row>
    <row r="825">
      <c r="A825" s="5" t="s">
        <v>865</v>
      </c>
    </row>
    <row r="826">
      <c r="A826" s="5" t="s">
        <v>866</v>
      </c>
    </row>
    <row r="827">
      <c r="A827" s="5" t="s">
        <v>867</v>
      </c>
    </row>
    <row r="828">
      <c r="A828" s="5" t="s">
        <v>868</v>
      </c>
    </row>
    <row r="829">
      <c r="A829" s="5" t="s">
        <v>869</v>
      </c>
    </row>
    <row r="830">
      <c r="A830" s="5" t="s">
        <v>870</v>
      </c>
    </row>
    <row r="831">
      <c r="A831" s="5" t="s">
        <v>871</v>
      </c>
    </row>
    <row r="832">
      <c r="A832" s="5" t="s">
        <v>872</v>
      </c>
    </row>
    <row r="833">
      <c r="A833" s="5" t="s">
        <v>873</v>
      </c>
    </row>
    <row r="834">
      <c r="A834" s="5" t="s">
        <v>874</v>
      </c>
    </row>
    <row r="835">
      <c r="A835" s="5" t="s">
        <v>875</v>
      </c>
    </row>
    <row r="836">
      <c r="A836" s="5" t="s">
        <v>876</v>
      </c>
    </row>
    <row r="837">
      <c r="A837" s="5" t="s">
        <v>877</v>
      </c>
    </row>
    <row r="838">
      <c r="A838" s="5" t="s">
        <v>878</v>
      </c>
    </row>
    <row r="839">
      <c r="A839" s="5" t="s">
        <v>879</v>
      </c>
    </row>
    <row r="840">
      <c r="A840" s="5" t="s">
        <v>880</v>
      </c>
    </row>
    <row r="841">
      <c r="A841" s="5" t="s">
        <v>881</v>
      </c>
    </row>
    <row r="842">
      <c r="A842" s="5" t="s">
        <v>882</v>
      </c>
    </row>
    <row r="843">
      <c r="A843" s="5" t="s">
        <v>883</v>
      </c>
    </row>
    <row r="844">
      <c r="A844" s="5" t="s">
        <v>884</v>
      </c>
    </row>
    <row r="845">
      <c r="A845" s="5" t="s">
        <v>885</v>
      </c>
    </row>
    <row r="846">
      <c r="A846" s="5" t="s">
        <v>886</v>
      </c>
    </row>
    <row r="847">
      <c r="A847" s="5" t="s">
        <v>887</v>
      </c>
    </row>
    <row r="848">
      <c r="A848" s="5" t="s">
        <v>888</v>
      </c>
    </row>
    <row r="849">
      <c r="A849" s="5" t="s">
        <v>889</v>
      </c>
    </row>
    <row r="850">
      <c r="A850" s="5" t="s">
        <v>890</v>
      </c>
    </row>
    <row r="851">
      <c r="A851" s="5" t="s">
        <v>891</v>
      </c>
    </row>
    <row r="852">
      <c r="A852" s="5" t="s">
        <v>892</v>
      </c>
    </row>
    <row r="853">
      <c r="A853" s="5" t="s">
        <v>893</v>
      </c>
    </row>
    <row r="854">
      <c r="A854" s="5" t="s">
        <v>894</v>
      </c>
    </row>
    <row r="855">
      <c r="A855" s="5" t="s">
        <v>895</v>
      </c>
    </row>
    <row r="856">
      <c r="A856" s="5" t="s">
        <v>896</v>
      </c>
    </row>
    <row r="857">
      <c r="A857" s="5" t="s">
        <v>897</v>
      </c>
    </row>
    <row r="858">
      <c r="A858" s="5" t="s">
        <v>898</v>
      </c>
    </row>
    <row r="859">
      <c r="A859" s="5" t="s">
        <v>899</v>
      </c>
    </row>
    <row r="860">
      <c r="A860" s="5" t="s">
        <v>900</v>
      </c>
    </row>
    <row r="861">
      <c r="A861" s="5" t="s">
        <v>901</v>
      </c>
    </row>
    <row r="862">
      <c r="A862" s="5" t="s">
        <v>902</v>
      </c>
    </row>
    <row r="863">
      <c r="A863" s="5" t="s">
        <v>903</v>
      </c>
    </row>
    <row r="864">
      <c r="A864" s="5" t="s">
        <v>904</v>
      </c>
    </row>
    <row r="865">
      <c r="A865" s="5" t="s">
        <v>905</v>
      </c>
    </row>
    <row r="866">
      <c r="A866" s="5" t="s">
        <v>906</v>
      </c>
    </row>
    <row r="867">
      <c r="A867" s="5" t="s">
        <v>907</v>
      </c>
    </row>
    <row r="868">
      <c r="A868" s="5" t="s">
        <v>908</v>
      </c>
    </row>
    <row r="869">
      <c r="A869" s="5" t="s">
        <v>909</v>
      </c>
    </row>
    <row r="870">
      <c r="A870" s="5" t="s">
        <v>910</v>
      </c>
    </row>
    <row r="871">
      <c r="A871" s="5" t="s">
        <v>911</v>
      </c>
    </row>
    <row r="872">
      <c r="A872" s="5" t="s">
        <v>912</v>
      </c>
    </row>
    <row r="873">
      <c r="A873" s="5" t="s">
        <v>913</v>
      </c>
    </row>
    <row r="874">
      <c r="A874" s="5" t="s">
        <v>914</v>
      </c>
    </row>
    <row r="875">
      <c r="A875" s="5" t="s">
        <v>915</v>
      </c>
    </row>
    <row r="876">
      <c r="A876" s="5" t="s">
        <v>916</v>
      </c>
    </row>
    <row r="877">
      <c r="A877" s="5" t="s">
        <v>917</v>
      </c>
    </row>
    <row r="878">
      <c r="A878" s="5" t="s">
        <v>918</v>
      </c>
    </row>
    <row r="879">
      <c r="A879" s="5" t="s">
        <v>919</v>
      </c>
    </row>
    <row r="880">
      <c r="A880" s="5" t="s">
        <v>920</v>
      </c>
    </row>
    <row r="881">
      <c r="A881" s="5" t="s">
        <v>921</v>
      </c>
    </row>
    <row r="882">
      <c r="A882" s="5" t="s">
        <v>922</v>
      </c>
    </row>
    <row r="883">
      <c r="A883" s="5" t="s">
        <v>923</v>
      </c>
    </row>
    <row r="884">
      <c r="A884" s="5" t="s">
        <v>924</v>
      </c>
    </row>
    <row r="885">
      <c r="A885" s="5" t="s">
        <v>925</v>
      </c>
    </row>
    <row r="886">
      <c r="A886" s="5" t="s">
        <v>926</v>
      </c>
    </row>
    <row r="887">
      <c r="A887" s="5" t="s">
        <v>927</v>
      </c>
    </row>
    <row r="888">
      <c r="A888" s="5" t="s">
        <v>928</v>
      </c>
    </row>
    <row r="889">
      <c r="A889" s="5" t="s">
        <v>929</v>
      </c>
    </row>
    <row r="890">
      <c r="A890" s="5" t="s">
        <v>930</v>
      </c>
    </row>
    <row r="891">
      <c r="A891" s="5" t="s">
        <v>931</v>
      </c>
    </row>
    <row r="892">
      <c r="A892" s="5" t="s">
        <v>932</v>
      </c>
    </row>
    <row r="893">
      <c r="A893" s="5" t="s">
        <v>933</v>
      </c>
    </row>
    <row r="894">
      <c r="A894" s="5" t="s">
        <v>934</v>
      </c>
    </row>
    <row r="895">
      <c r="A895" s="5" t="s">
        <v>935</v>
      </c>
    </row>
    <row r="896">
      <c r="A896" s="5" t="s">
        <v>936</v>
      </c>
    </row>
    <row r="897">
      <c r="A897" s="5" t="s">
        <v>937</v>
      </c>
    </row>
    <row r="898">
      <c r="A898" s="5" t="s">
        <v>938</v>
      </c>
    </row>
    <row r="899">
      <c r="A899" s="5" t="s">
        <v>939</v>
      </c>
    </row>
    <row r="900">
      <c r="A900" s="5" t="s">
        <v>940</v>
      </c>
    </row>
    <row r="901">
      <c r="A901" s="5" t="s">
        <v>941</v>
      </c>
    </row>
    <row r="902">
      <c r="A902" s="5" t="s">
        <v>942</v>
      </c>
    </row>
    <row r="903">
      <c r="A903" s="5" t="s">
        <v>943</v>
      </c>
    </row>
    <row r="904">
      <c r="A904" s="5" t="s">
        <v>944</v>
      </c>
    </row>
    <row r="905">
      <c r="A905" s="5" t="s">
        <v>945</v>
      </c>
    </row>
    <row r="906">
      <c r="A906" s="5" t="s">
        <v>946</v>
      </c>
    </row>
    <row r="907">
      <c r="A907" s="5" t="s">
        <v>947</v>
      </c>
    </row>
    <row r="908">
      <c r="A908" s="5" t="s">
        <v>948</v>
      </c>
    </row>
    <row r="909">
      <c r="A909" s="5" t="s">
        <v>949</v>
      </c>
    </row>
    <row r="910">
      <c r="A910" s="5" t="s">
        <v>950</v>
      </c>
    </row>
    <row r="911">
      <c r="A911" s="5" t="s">
        <v>951</v>
      </c>
    </row>
    <row r="912">
      <c r="A912" s="5" t="s">
        <v>952</v>
      </c>
    </row>
    <row r="913">
      <c r="A913" s="5" t="s">
        <v>953</v>
      </c>
    </row>
    <row r="914">
      <c r="A914" s="5" t="s">
        <v>954</v>
      </c>
    </row>
    <row r="915">
      <c r="A915" s="5" t="s">
        <v>955</v>
      </c>
    </row>
    <row r="916">
      <c r="A916" s="5" t="s">
        <v>956</v>
      </c>
    </row>
    <row r="917">
      <c r="A917" s="5" t="s">
        <v>957</v>
      </c>
    </row>
    <row r="918">
      <c r="A918" s="5" t="s">
        <v>958</v>
      </c>
    </row>
    <row r="919">
      <c r="A919" s="5" t="s">
        <v>959</v>
      </c>
    </row>
    <row r="920">
      <c r="A920" s="5" t="s">
        <v>960</v>
      </c>
    </row>
    <row r="921">
      <c r="A921" s="5" t="s">
        <v>961</v>
      </c>
    </row>
    <row r="922">
      <c r="A922" s="5" t="s">
        <v>962</v>
      </c>
    </row>
    <row r="923">
      <c r="A923" s="5" t="s">
        <v>963</v>
      </c>
    </row>
    <row r="924">
      <c r="A924" s="5" t="s">
        <v>964</v>
      </c>
    </row>
    <row r="925">
      <c r="A925" s="5" t="s">
        <v>965</v>
      </c>
    </row>
    <row r="926">
      <c r="A926" s="5" t="s">
        <v>966</v>
      </c>
    </row>
    <row r="927">
      <c r="A927" s="5" t="s">
        <v>967</v>
      </c>
    </row>
    <row r="928">
      <c r="A928" s="5" t="s">
        <v>968</v>
      </c>
    </row>
    <row r="929">
      <c r="A929" s="5" t="s">
        <v>969</v>
      </c>
    </row>
    <row r="930">
      <c r="A930" s="5" t="s">
        <v>970</v>
      </c>
    </row>
    <row r="931">
      <c r="A931" s="5" t="s">
        <v>971</v>
      </c>
    </row>
    <row r="932">
      <c r="A932" s="5" t="s">
        <v>972</v>
      </c>
    </row>
    <row r="933">
      <c r="A933" s="5" t="s">
        <v>973</v>
      </c>
    </row>
    <row r="934">
      <c r="A934" s="5" t="s">
        <v>974</v>
      </c>
    </row>
    <row r="935">
      <c r="A935" s="5" t="s">
        <v>975</v>
      </c>
    </row>
    <row r="936">
      <c r="A936" s="5" t="s">
        <v>976</v>
      </c>
    </row>
    <row r="937">
      <c r="A937" s="5" t="s">
        <v>977</v>
      </c>
    </row>
    <row r="938">
      <c r="A938" s="5" t="s">
        <v>978</v>
      </c>
    </row>
    <row r="939">
      <c r="A939" s="5" t="s">
        <v>979</v>
      </c>
    </row>
    <row r="940">
      <c r="A940" s="5" t="s">
        <v>980</v>
      </c>
    </row>
    <row r="941">
      <c r="A941" s="5" t="s">
        <v>981</v>
      </c>
    </row>
    <row r="942">
      <c r="A942" s="5" t="s">
        <v>982</v>
      </c>
    </row>
    <row r="943">
      <c r="A943" s="5" t="s">
        <v>983</v>
      </c>
    </row>
    <row r="944">
      <c r="A944" s="5" t="s">
        <v>984</v>
      </c>
    </row>
    <row r="945">
      <c r="A945" s="5" t="s">
        <v>985</v>
      </c>
    </row>
    <row r="946">
      <c r="A946" s="5" t="s">
        <v>986</v>
      </c>
    </row>
    <row r="947">
      <c r="A947" s="5" t="s">
        <v>987</v>
      </c>
    </row>
    <row r="948">
      <c r="A948" s="5" t="s">
        <v>988</v>
      </c>
    </row>
    <row r="949">
      <c r="A949" s="5" t="s">
        <v>989</v>
      </c>
    </row>
    <row r="950">
      <c r="A950" s="5" t="s">
        <v>990</v>
      </c>
    </row>
    <row r="951">
      <c r="A951" s="5" t="s">
        <v>991</v>
      </c>
    </row>
    <row r="952">
      <c r="A952" s="5" t="s">
        <v>992</v>
      </c>
    </row>
    <row r="953">
      <c r="A953" s="5" t="s">
        <v>993</v>
      </c>
    </row>
    <row r="954">
      <c r="A954" s="5" t="s">
        <v>994</v>
      </c>
    </row>
    <row r="955">
      <c r="A955" s="5" t="s">
        <v>995</v>
      </c>
    </row>
    <row r="956">
      <c r="A956" s="5" t="s">
        <v>996</v>
      </c>
    </row>
    <row r="957">
      <c r="A957" s="5" t="s">
        <v>997</v>
      </c>
    </row>
    <row r="958">
      <c r="A958" s="5" t="s">
        <v>998</v>
      </c>
    </row>
    <row r="959">
      <c r="A959" s="5" t="s">
        <v>999</v>
      </c>
    </row>
    <row r="960">
      <c r="A960" s="5" t="s">
        <v>1000</v>
      </c>
    </row>
    <row r="961">
      <c r="A961" s="5" t="s">
        <v>1001</v>
      </c>
    </row>
    <row r="962">
      <c r="A962" s="5" t="s">
        <v>1002</v>
      </c>
    </row>
    <row r="963">
      <c r="A963" s="5" t="s">
        <v>1003</v>
      </c>
    </row>
    <row r="964">
      <c r="A964" s="5" t="s">
        <v>1004</v>
      </c>
    </row>
    <row r="965">
      <c r="A965" s="5" t="s">
        <v>1005</v>
      </c>
    </row>
    <row r="966">
      <c r="A966" s="5" t="s">
        <v>1006</v>
      </c>
    </row>
    <row r="967">
      <c r="A967" s="5" t="s">
        <v>1007</v>
      </c>
    </row>
    <row r="968">
      <c r="A968" s="5" t="s">
        <v>1008</v>
      </c>
    </row>
    <row r="969">
      <c r="A969" s="5" t="s">
        <v>1009</v>
      </c>
    </row>
    <row r="970">
      <c r="A970" s="5" t="s">
        <v>1010</v>
      </c>
    </row>
    <row r="971">
      <c r="A971" s="5" t="s">
        <v>1011</v>
      </c>
    </row>
    <row r="972">
      <c r="A972" s="5" t="s">
        <v>1012</v>
      </c>
    </row>
    <row r="973">
      <c r="A973" s="5" t="s">
        <v>1013</v>
      </c>
    </row>
    <row r="974">
      <c r="A974" s="5" t="s">
        <v>1014</v>
      </c>
    </row>
    <row r="975">
      <c r="A975" s="5" t="s">
        <v>1015</v>
      </c>
    </row>
    <row r="976">
      <c r="A976" s="5" t="s">
        <v>1016</v>
      </c>
    </row>
    <row r="977">
      <c r="A977" s="5" t="s">
        <v>1017</v>
      </c>
    </row>
    <row r="978">
      <c r="A978" s="5" t="s">
        <v>1018</v>
      </c>
    </row>
    <row r="979">
      <c r="A979" s="5" t="s">
        <v>1019</v>
      </c>
    </row>
    <row r="980">
      <c r="A980" s="5" t="s">
        <v>1020</v>
      </c>
    </row>
    <row r="981">
      <c r="A981" s="5" t="s">
        <v>1021</v>
      </c>
    </row>
    <row r="982">
      <c r="A982" s="5" t="s">
        <v>1022</v>
      </c>
    </row>
    <row r="983">
      <c r="A983" s="5" t="s">
        <v>1023</v>
      </c>
    </row>
    <row r="984">
      <c r="A984" s="5" t="s">
        <v>1024</v>
      </c>
    </row>
    <row r="985">
      <c r="A985" s="5" t="s">
        <v>1025</v>
      </c>
    </row>
    <row r="986">
      <c r="A986" s="5" t="s">
        <v>1026</v>
      </c>
    </row>
    <row r="987">
      <c r="A987" s="5" t="s">
        <v>1027</v>
      </c>
    </row>
    <row r="988">
      <c r="A988" s="5" t="s">
        <v>1028</v>
      </c>
    </row>
    <row r="989">
      <c r="A989" s="5" t="s">
        <v>1029</v>
      </c>
    </row>
    <row r="990">
      <c r="A990" s="5" t="s">
        <v>1030</v>
      </c>
    </row>
    <row r="991">
      <c r="A991" s="5" t="s">
        <v>1031</v>
      </c>
    </row>
    <row r="992">
      <c r="A992" s="5" t="s">
        <v>1032</v>
      </c>
    </row>
    <row r="993">
      <c r="A993" s="5" t="s">
        <v>1033</v>
      </c>
    </row>
    <row r="994">
      <c r="A994" s="5" t="s">
        <v>1034</v>
      </c>
    </row>
    <row r="995">
      <c r="A995" s="5" t="s">
        <v>1035</v>
      </c>
    </row>
    <row r="996">
      <c r="A996" s="5" t="s">
        <v>1036</v>
      </c>
    </row>
    <row r="997">
      <c r="A997" s="5" t="s">
        <v>1037</v>
      </c>
    </row>
    <row r="998">
      <c r="A998" s="5" t="s">
        <v>1038</v>
      </c>
    </row>
    <row r="999">
      <c r="A999" s="5" t="s">
        <v>1039</v>
      </c>
    </row>
    <row r="1000">
      <c r="A1000" s="5" t="s">
        <v>1040</v>
      </c>
    </row>
    <row r="1001">
      <c r="A1001" s="5" t="s">
        <v>1041</v>
      </c>
    </row>
    <row r="1002">
      <c r="A1002" s="5" t="s">
        <v>1042</v>
      </c>
    </row>
    <row r="1003">
      <c r="A1003" s="5" t="s">
        <v>1043</v>
      </c>
    </row>
    <row r="1004">
      <c r="A1004" s="5" t="s">
        <v>1044</v>
      </c>
    </row>
    <row r="1005">
      <c r="A1005" s="5" t="s">
        <v>1045</v>
      </c>
    </row>
    <row r="1006">
      <c r="A1006" s="5" t="s">
        <v>1046</v>
      </c>
    </row>
    <row r="1007">
      <c r="A1007" s="5" t="s">
        <v>1047</v>
      </c>
    </row>
    <row r="1008">
      <c r="A1008" s="5" t="s">
        <v>1048</v>
      </c>
    </row>
    <row r="1009">
      <c r="A1009" s="5" t="s">
        <v>1049</v>
      </c>
    </row>
    <row r="1010">
      <c r="A1010" s="5" t="s">
        <v>1050</v>
      </c>
    </row>
    <row r="1011">
      <c r="A1011" s="5" t="s">
        <v>1051</v>
      </c>
    </row>
    <row r="1012">
      <c r="A1012" s="5" t="s">
        <v>1052</v>
      </c>
    </row>
    <row r="1013">
      <c r="A1013" s="5" t="s">
        <v>1053</v>
      </c>
    </row>
    <row r="1014">
      <c r="A1014" s="5" t="s">
        <v>1054</v>
      </c>
    </row>
    <row r="1015">
      <c r="A1015" s="5" t="s">
        <v>1055</v>
      </c>
    </row>
    <row r="1016">
      <c r="A1016" s="5" t="s">
        <v>1056</v>
      </c>
    </row>
    <row r="1017">
      <c r="A1017" s="5" t="s">
        <v>1057</v>
      </c>
    </row>
    <row r="1018">
      <c r="A1018" s="5" t="s">
        <v>1058</v>
      </c>
    </row>
    <row r="1019">
      <c r="A1019" s="5" t="s">
        <v>1059</v>
      </c>
    </row>
    <row r="1020">
      <c r="A1020" s="5" t="s">
        <v>1060</v>
      </c>
    </row>
    <row r="1021">
      <c r="A1021" s="5" t="s">
        <v>1061</v>
      </c>
    </row>
    <row r="1022">
      <c r="A1022" s="5" t="s">
        <v>1062</v>
      </c>
    </row>
    <row r="1023">
      <c r="A1023" s="5" t="s">
        <v>1063</v>
      </c>
    </row>
    <row r="1024">
      <c r="A1024" s="5" t="s">
        <v>1064</v>
      </c>
    </row>
    <row r="1025">
      <c r="A1025" s="5" t="s">
        <v>1065</v>
      </c>
    </row>
    <row r="1026">
      <c r="A1026" s="5" t="s">
        <v>1066</v>
      </c>
    </row>
    <row r="1027">
      <c r="A1027" s="5" t="s">
        <v>1067</v>
      </c>
    </row>
    <row r="1028">
      <c r="A1028" s="5" t="s">
        <v>1068</v>
      </c>
    </row>
    <row r="1029">
      <c r="A1029" s="5" t="s">
        <v>1069</v>
      </c>
    </row>
    <row r="1030">
      <c r="A1030" s="5" t="s">
        <v>1070</v>
      </c>
    </row>
    <row r="1031">
      <c r="A1031" s="5" t="s">
        <v>1071</v>
      </c>
    </row>
    <row r="1032">
      <c r="A1032" s="5" t="s">
        <v>1072</v>
      </c>
    </row>
    <row r="1033">
      <c r="A1033" s="5" t="s">
        <v>1073</v>
      </c>
    </row>
    <row r="1034">
      <c r="A1034" s="5" t="s">
        <v>1074</v>
      </c>
    </row>
    <row r="1035">
      <c r="A1035" s="5" t="s">
        <v>1075</v>
      </c>
    </row>
    <row r="1036">
      <c r="A1036" s="5" t="s">
        <v>1076</v>
      </c>
    </row>
    <row r="1037">
      <c r="A1037" s="5" t="s">
        <v>1077</v>
      </c>
    </row>
    <row r="1038">
      <c r="A1038" s="5" t="s">
        <v>1078</v>
      </c>
    </row>
    <row r="1039">
      <c r="A1039" s="5" t="s">
        <v>1079</v>
      </c>
    </row>
    <row r="1040">
      <c r="A1040" s="5" t="s">
        <v>1080</v>
      </c>
    </row>
    <row r="1041">
      <c r="A1041" s="5" t="s">
        <v>1081</v>
      </c>
    </row>
    <row r="1042">
      <c r="A1042" s="5" t="s">
        <v>1082</v>
      </c>
    </row>
    <row r="1043">
      <c r="A1043" s="5" t="s">
        <v>1083</v>
      </c>
    </row>
    <row r="1044">
      <c r="A1044" s="5" t="s">
        <v>1084</v>
      </c>
    </row>
    <row r="1045">
      <c r="A1045" s="5" t="s">
        <v>1085</v>
      </c>
    </row>
    <row r="1046">
      <c r="A1046" s="5" t="s">
        <v>1086</v>
      </c>
    </row>
    <row r="1047">
      <c r="A1047" s="5" t="s">
        <v>1087</v>
      </c>
    </row>
    <row r="1048">
      <c r="A1048" s="5" t="s">
        <v>1088</v>
      </c>
    </row>
    <row r="1049">
      <c r="A1049" s="5" t="s">
        <v>1089</v>
      </c>
    </row>
    <row r="1050">
      <c r="A1050" s="5" t="s">
        <v>1090</v>
      </c>
    </row>
    <row r="1051">
      <c r="A1051" s="5" t="s">
        <v>1091</v>
      </c>
    </row>
    <row r="1052">
      <c r="A1052" s="5" t="s">
        <v>1092</v>
      </c>
    </row>
    <row r="1053">
      <c r="A1053" s="5" t="s">
        <v>1093</v>
      </c>
    </row>
    <row r="1054">
      <c r="A1054" s="5" t="s">
        <v>1094</v>
      </c>
    </row>
    <row r="1055">
      <c r="A1055" s="5" t="s">
        <v>1095</v>
      </c>
    </row>
    <row r="1056">
      <c r="A1056" s="5" t="s">
        <v>1096</v>
      </c>
    </row>
    <row r="1057">
      <c r="A1057" s="5" t="s">
        <v>1097</v>
      </c>
    </row>
    <row r="1058">
      <c r="A1058" s="5" t="s">
        <v>1098</v>
      </c>
    </row>
    <row r="1059">
      <c r="A1059" s="5" t="s">
        <v>1099</v>
      </c>
    </row>
    <row r="1060">
      <c r="A1060" s="5" t="s">
        <v>1100</v>
      </c>
    </row>
    <row r="1061">
      <c r="A1061" s="5" t="s">
        <v>1101</v>
      </c>
    </row>
    <row r="1062">
      <c r="A1062" s="5" t="s">
        <v>1102</v>
      </c>
    </row>
    <row r="1063">
      <c r="A1063" s="5" t="s">
        <v>1103</v>
      </c>
    </row>
    <row r="1064">
      <c r="A1064" s="5" t="s">
        <v>1104</v>
      </c>
    </row>
    <row r="1065">
      <c r="A1065" s="5" t="s">
        <v>1105</v>
      </c>
    </row>
    <row r="1066">
      <c r="A1066" s="5" t="s">
        <v>1106</v>
      </c>
    </row>
    <row r="1067">
      <c r="A1067" s="5" t="s">
        <v>1107</v>
      </c>
    </row>
    <row r="1068">
      <c r="A1068" s="5" t="s">
        <v>1108</v>
      </c>
    </row>
    <row r="1069">
      <c r="A1069" s="5" t="s">
        <v>1109</v>
      </c>
    </row>
    <row r="1070">
      <c r="A1070" s="5" t="s">
        <v>1110</v>
      </c>
    </row>
    <row r="1071">
      <c r="A1071" s="5" t="s">
        <v>1111</v>
      </c>
    </row>
    <row r="1072">
      <c r="A1072" s="5" t="s">
        <v>1112</v>
      </c>
    </row>
    <row r="1073">
      <c r="A1073" s="5" t="s">
        <v>1113</v>
      </c>
    </row>
    <row r="1074">
      <c r="A1074" s="5" t="s">
        <v>1114</v>
      </c>
    </row>
    <row r="1075">
      <c r="A1075" s="5" t="s">
        <v>1115</v>
      </c>
    </row>
    <row r="1076">
      <c r="A1076" s="5" t="s">
        <v>1116</v>
      </c>
    </row>
    <row r="1077">
      <c r="A1077" s="5" t="s">
        <v>1117</v>
      </c>
    </row>
    <row r="1078">
      <c r="A1078" s="5" t="s">
        <v>1118</v>
      </c>
    </row>
    <row r="1079">
      <c r="A1079" s="5" t="s">
        <v>1119</v>
      </c>
    </row>
    <row r="1080">
      <c r="A1080" s="5" t="s">
        <v>1120</v>
      </c>
    </row>
    <row r="1081">
      <c r="A1081" s="5" t="s">
        <v>1121</v>
      </c>
    </row>
    <row r="1082">
      <c r="A1082" s="5" t="s">
        <v>1122</v>
      </c>
    </row>
    <row r="1083">
      <c r="A1083" s="5" t="s">
        <v>1123</v>
      </c>
    </row>
    <row r="1084">
      <c r="A1084" s="5" t="s">
        <v>1124</v>
      </c>
    </row>
    <row r="1085">
      <c r="A1085" s="5" t="s">
        <v>1125</v>
      </c>
    </row>
    <row r="1086">
      <c r="A1086" s="5" t="s">
        <v>1126</v>
      </c>
    </row>
    <row r="1087">
      <c r="A1087" s="5" t="s">
        <v>1127</v>
      </c>
    </row>
    <row r="1088">
      <c r="A1088" s="5" t="s">
        <v>1128</v>
      </c>
    </row>
    <row r="1089">
      <c r="A1089" s="5" t="s">
        <v>1129</v>
      </c>
    </row>
    <row r="1090">
      <c r="A1090" s="5" t="s">
        <v>1130</v>
      </c>
    </row>
    <row r="1091">
      <c r="A1091" s="5" t="s">
        <v>1131</v>
      </c>
    </row>
    <row r="1092">
      <c r="A1092" s="5" t="s">
        <v>1132</v>
      </c>
    </row>
    <row r="1093">
      <c r="A1093" s="5" t="s">
        <v>1133</v>
      </c>
    </row>
    <row r="1094">
      <c r="A1094" s="5" t="s">
        <v>1134</v>
      </c>
    </row>
    <row r="1095">
      <c r="A1095" s="5" t="s">
        <v>1135</v>
      </c>
    </row>
    <row r="1096">
      <c r="A1096" s="5" t="s">
        <v>1136</v>
      </c>
    </row>
    <row r="1097">
      <c r="A1097" s="5" t="s">
        <v>1137</v>
      </c>
    </row>
    <row r="1098">
      <c r="A1098" s="5" t="s">
        <v>1138</v>
      </c>
    </row>
    <row r="1099">
      <c r="A1099" s="5" t="s">
        <v>1139</v>
      </c>
    </row>
    <row r="1100">
      <c r="A1100" s="5" t="s">
        <v>1140</v>
      </c>
    </row>
    <row r="1101">
      <c r="A1101" s="5" t="s">
        <v>1141</v>
      </c>
    </row>
    <row r="1102">
      <c r="A1102" s="5" t="s">
        <v>1142</v>
      </c>
    </row>
    <row r="1103">
      <c r="A1103" s="5" t="s">
        <v>1143</v>
      </c>
    </row>
    <row r="1104">
      <c r="A1104" s="5" t="s">
        <v>1144</v>
      </c>
    </row>
    <row r="1105">
      <c r="A1105" s="7" t="s">
        <v>1145</v>
      </c>
    </row>
    <row r="1106">
      <c r="A1106" s="5" t="s">
        <v>1146</v>
      </c>
    </row>
    <row r="1107">
      <c r="A1107" s="5" t="s">
        <v>1147</v>
      </c>
    </row>
    <row r="1108">
      <c r="A1108" s="5" t="s">
        <v>1148</v>
      </c>
    </row>
    <row r="1109">
      <c r="A1109" s="5" t="s">
        <v>1149</v>
      </c>
    </row>
    <row r="1110">
      <c r="A1110" s="5" t="s">
        <v>1150</v>
      </c>
    </row>
    <row r="1111">
      <c r="A1111" s="5" t="s">
        <v>1151</v>
      </c>
    </row>
    <row r="1112">
      <c r="A1112" s="5" t="s">
        <v>1152</v>
      </c>
    </row>
    <row r="1113">
      <c r="A1113" s="5" t="s">
        <v>1153</v>
      </c>
    </row>
    <row r="1114">
      <c r="A1114" s="5" t="s">
        <v>1154</v>
      </c>
    </row>
    <row r="1115">
      <c r="A1115" s="5" t="s">
        <v>1155</v>
      </c>
    </row>
    <row r="1116">
      <c r="A1116" s="5" t="s">
        <v>1156</v>
      </c>
    </row>
    <row r="1117">
      <c r="A1117" s="5" t="s">
        <v>1157</v>
      </c>
    </row>
    <row r="1118">
      <c r="A1118" s="5" t="s">
        <v>1158</v>
      </c>
    </row>
    <row r="1119">
      <c r="A1119" s="5" t="s">
        <v>1159</v>
      </c>
    </row>
    <row r="1120">
      <c r="A1120" s="7" t="s">
        <v>1160</v>
      </c>
    </row>
    <row r="1121">
      <c r="A1121" s="5" t="s">
        <v>1161</v>
      </c>
    </row>
    <row r="1122">
      <c r="A1122" s="5" t="s">
        <v>1162</v>
      </c>
    </row>
    <row r="1123">
      <c r="A1123" s="5" t="s">
        <v>1163</v>
      </c>
    </row>
    <row r="1124">
      <c r="A1124" s="5" t="s">
        <v>1164</v>
      </c>
    </row>
    <row r="1125">
      <c r="A1125" s="5" t="s">
        <v>1165</v>
      </c>
    </row>
    <row r="1126">
      <c r="A1126" s="5" t="s">
        <v>1166</v>
      </c>
    </row>
    <row r="1127">
      <c r="A1127" s="5" t="s">
        <v>1167</v>
      </c>
    </row>
    <row r="1128">
      <c r="A1128" s="5" t="s">
        <v>1168</v>
      </c>
    </row>
    <row r="1129">
      <c r="A1129" s="5" t="s">
        <v>1169</v>
      </c>
    </row>
    <row r="1130">
      <c r="A1130" s="5" t="s">
        <v>1170</v>
      </c>
    </row>
    <row r="1131">
      <c r="A1131" s="5" t="s">
        <v>1171</v>
      </c>
    </row>
    <row r="1132">
      <c r="A1132" s="5" t="s">
        <v>1172</v>
      </c>
    </row>
    <row r="1133">
      <c r="A1133" s="5" t="s">
        <v>1173</v>
      </c>
    </row>
    <row r="1134">
      <c r="A1134" s="5" t="s">
        <v>1174</v>
      </c>
    </row>
    <row r="1135">
      <c r="A1135" s="7" t="s">
        <v>1175</v>
      </c>
    </row>
    <row r="1136">
      <c r="A1136" s="5" t="s">
        <v>1176</v>
      </c>
    </row>
    <row r="1137">
      <c r="A1137" s="5" t="s">
        <v>1177</v>
      </c>
    </row>
    <row r="1138">
      <c r="A1138" s="5" t="s">
        <v>1178</v>
      </c>
    </row>
    <row r="1139">
      <c r="A1139" s="5" t="s">
        <v>1179</v>
      </c>
    </row>
    <row r="1140">
      <c r="A1140" s="5" t="s">
        <v>1180</v>
      </c>
    </row>
    <row r="1141">
      <c r="A1141" s="5" t="s">
        <v>1181</v>
      </c>
    </row>
    <row r="1142">
      <c r="A1142" s="5" t="s">
        <v>1182</v>
      </c>
    </row>
    <row r="1143">
      <c r="A1143" s="5" t="s">
        <v>1183</v>
      </c>
    </row>
    <row r="1144">
      <c r="A1144" s="5" t="s">
        <v>1184</v>
      </c>
    </row>
    <row r="1145">
      <c r="A1145" s="5" t="s">
        <v>1185</v>
      </c>
    </row>
    <row r="1146">
      <c r="A1146" s="5" t="s">
        <v>1186</v>
      </c>
    </row>
    <row r="1147">
      <c r="A1147" s="5" t="s">
        <v>1187</v>
      </c>
    </row>
    <row r="1148">
      <c r="A1148" s="5" t="s">
        <v>1188</v>
      </c>
    </row>
    <row r="1149">
      <c r="A1149" s="5" t="s">
        <v>1189</v>
      </c>
    </row>
    <row r="1150">
      <c r="A1150" s="5" t="s">
        <v>1190</v>
      </c>
    </row>
    <row r="1151">
      <c r="A1151" s="5" t="s">
        <v>1191</v>
      </c>
    </row>
    <row r="1152">
      <c r="A1152" s="5" t="s">
        <v>1192</v>
      </c>
    </row>
    <row r="1153">
      <c r="A1153" s="5" t="s">
        <v>1193</v>
      </c>
    </row>
    <row r="1154">
      <c r="A1154" s="5" t="s">
        <v>1194</v>
      </c>
    </row>
    <row r="1155">
      <c r="A1155" s="5" t="s">
        <v>1195</v>
      </c>
    </row>
    <row r="1156">
      <c r="A1156" s="5" t="s">
        <v>1196</v>
      </c>
    </row>
    <row r="1157">
      <c r="A1157" s="5" t="s">
        <v>1197</v>
      </c>
    </row>
    <row r="1158">
      <c r="A1158" s="5" t="s">
        <v>1198</v>
      </c>
    </row>
    <row r="1159">
      <c r="A1159" s="5" t="s">
        <v>1199</v>
      </c>
    </row>
    <row r="1160">
      <c r="A1160" s="5" t="s">
        <v>1200</v>
      </c>
    </row>
    <row r="1161">
      <c r="A1161" s="5" t="s">
        <v>1201</v>
      </c>
    </row>
    <row r="1162">
      <c r="A1162" s="5" t="s">
        <v>1202</v>
      </c>
    </row>
    <row r="1163">
      <c r="A1163" s="5" t="s">
        <v>1203</v>
      </c>
    </row>
    <row r="1164">
      <c r="A1164" s="5" t="s">
        <v>1204</v>
      </c>
    </row>
    <row r="1165">
      <c r="A1165" s="5" t="s">
        <v>1205</v>
      </c>
    </row>
    <row r="1166">
      <c r="A1166" s="5" t="s">
        <v>1206</v>
      </c>
    </row>
    <row r="1167">
      <c r="A1167" s="5" t="s">
        <v>1207</v>
      </c>
    </row>
    <row r="1168">
      <c r="A1168" s="5" t="s">
        <v>1208</v>
      </c>
    </row>
    <row r="1169">
      <c r="A1169" s="5" t="s">
        <v>1209</v>
      </c>
    </row>
    <row r="1170">
      <c r="A1170" s="8"/>
    </row>
    <row r="1171">
      <c r="A1171" s="8"/>
    </row>
    <row r="1172">
      <c r="A1172" s="8"/>
    </row>
    <row r="1173">
      <c r="A1173" s="8"/>
    </row>
    <row r="1174">
      <c r="A1174" s="8"/>
    </row>
    <row r="1175">
      <c r="A1175" s="8"/>
    </row>
    <row r="1176">
      <c r="A1176" s="8"/>
    </row>
    <row r="1177">
      <c r="A1177" s="8"/>
    </row>
    <row r="1178">
      <c r="A1178" s="8"/>
    </row>
    <row r="1179">
      <c r="A1179" s="8"/>
    </row>
    <row r="1180">
      <c r="A1180" s="8"/>
    </row>
    <row r="1181">
      <c r="A1181" s="8"/>
    </row>
    <row r="1182">
      <c r="A1182" s="8"/>
    </row>
    <row r="1183">
      <c r="A1183" s="8"/>
    </row>
    <row r="1184">
      <c r="A1184" s="8"/>
    </row>
    <row r="1185">
      <c r="A1185" s="8"/>
    </row>
    <row r="1186">
      <c r="A1186" s="8"/>
    </row>
    <row r="1187">
      <c r="A1187" s="8"/>
    </row>
    <row r="1188">
      <c r="A1188" s="8"/>
    </row>
    <row r="1189">
      <c r="A1189" s="8"/>
    </row>
    <row r="1190">
      <c r="A1190" s="8"/>
    </row>
    <row r="1191">
      <c r="A1191" s="8"/>
    </row>
    <row r="1192">
      <c r="A1192" s="8"/>
    </row>
    <row r="1193">
      <c r="A1193" s="8"/>
    </row>
    <row r="1194">
      <c r="A1194" s="8"/>
    </row>
    <row r="1195">
      <c r="A1195" s="8"/>
    </row>
    <row r="1196">
      <c r="A1196" s="8"/>
    </row>
    <row r="1197">
      <c r="A1197" s="8"/>
    </row>
    <row r="1198">
      <c r="A1198" s="8"/>
    </row>
    <row r="1199">
      <c r="A1199" s="8"/>
    </row>
    <row r="1200">
      <c r="A1200" s="8"/>
    </row>
    <row r="1201">
      <c r="A1201" s="8"/>
    </row>
    <row r="1202">
      <c r="A1202" s="8"/>
    </row>
    <row r="1203">
      <c r="A1203" s="8"/>
    </row>
    <row r="1204">
      <c r="A1204" s="8"/>
    </row>
    <row r="1205">
      <c r="A1205" s="8"/>
    </row>
    <row r="1206">
      <c r="A1206" s="8"/>
    </row>
    <row r="1207">
      <c r="A1207" s="8"/>
    </row>
    <row r="1208">
      <c r="A1208" s="8"/>
    </row>
    <row r="1209">
      <c r="A1209" s="8"/>
    </row>
    <row r="1210">
      <c r="A1210" s="8"/>
    </row>
    <row r="1211">
      <c r="A1211" s="8"/>
    </row>
    <row r="1212">
      <c r="A1212" s="8"/>
    </row>
    <row r="1213">
      <c r="A1213" s="8"/>
    </row>
    <row r="1214">
      <c r="A1214" s="8"/>
    </row>
    <row r="1215">
      <c r="A1215" s="8"/>
    </row>
    <row r="1216">
      <c r="A1216" s="8"/>
    </row>
    <row r="1217">
      <c r="A1217" s="8"/>
    </row>
    <row r="1218">
      <c r="A1218" s="8"/>
    </row>
    <row r="1219">
      <c r="A1219" s="8"/>
    </row>
    <row r="1220">
      <c r="A1220" s="8"/>
    </row>
    <row r="1221">
      <c r="A1221" s="8"/>
    </row>
    <row r="1222">
      <c r="A1222" s="8"/>
    </row>
    <row r="1223">
      <c r="A1223" s="8"/>
    </row>
    <row r="1224">
      <c r="A1224" s="8"/>
    </row>
    <row r="1225">
      <c r="A1225" s="8"/>
    </row>
    <row r="1226">
      <c r="A1226" s="8"/>
    </row>
    <row r="1227">
      <c r="A1227" s="8"/>
    </row>
    <row r="1228">
      <c r="A1228" s="8"/>
    </row>
    <row r="1229">
      <c r="A1229" s="8"/>
    </row>
    <row r="1230">
      <c r="A1230" s="8"/>
    </row>
    <row r="1231">
      <c r="A1231" s="8"/>
    </row>
    <row r="1232">
      <c r="A1232" s="8"/>
    </row>
    <row r="1233">
      <c r="A1233" s="8"/>
    </row>
    <row r="1234">
      <c r="A1234" s="8"/>
    </row>
    <row r="1235">
      <c r="A1235" s="8"/>
    </row>
    <row r="1236">
      <c r="A1236" s="8"/>
    </row>
    <row r="1237">
      <c r="A1237" s="8"/>
    </row>
    <row r="1238">
      <c r="A1238" s="8"/>
    </row>
    <row r="1239">
      <c r="A1239" s="8"/>
    </row>
    <row r="1240">
      <c r="A1240" s="8"/>
    </row>
    <row r="1241">
      <c r="A1241" s="8"/>
    </row>
    <row r="1242">
      <c r="A1242" s="8"/>
    </row>
    <row r="1243">
      <c r="A1243" s="8"/>
    </row>
    <row r="1244">
      <c r="A1244" s="8"/>
    </row>
    <row r="1245">
      <c r="A1245" s="8"/>
    </row>
    <row r="1246">
      <c r="A1246" s="8"/>
    </row>
    <row r="1247">
      <c r="A1247" s="8"/>
    </row>
    <row r="1248">
      <c r="A1248" s="8"/>
    </row>
    <row r="1249">
      <c r="A1249" s="8"/>
    </row>
    <row r="1250">
      <c r="A1250" s="8"/>
    </row>
    <row r="1251">
      <c r="A1251" s="8"/>
    </row>
    <row r="1252">
      <c r="A1252" s="8"/>
    </row>
    <row r="1253">
      <c r="A1253" s="8"/>
    </row>
    <row r="1254">
      <c r="A1254" s="8"/>
    </row>
    <row r="1255">
      <c r="A1255" s="8"/>
    </row>
    <row r="1256">
      <c r="A1256" s="8"/>
    </row>
    <row r="1257">
      <c r="A1257" s="8"/>
    </row>
    <row r="1258">
      <c r="A1258" s="8"/>
    </row>
    <row r="1259">
      <c r="A1259" s="8"/>
    </row>
    <row r="1260">
      <c r="A1260" s="8"/>
    </row>
    <row r="1261">
      <c r="A1261" s="8"/>
    </row>
    <row r="1262">
      <c r="A1262" s="8"/>
    </row>
    <row r="1263">
      <c r="A1263" s="8"/>
    </row>
    <row r="1264">
      <c r="A1264" s="8"/>
    </row>
    <row r="1265">
      <c r="A1265" s="8"/>
    </row>
    <row r="1266">
      <c r="A1266" s="8"/>
    </row>
    <row r="1267">
      <c r="A1267" s="8"/>
    </row>
    <row r="1268">
      <c r="A1268" s="8"/>
    </row>
    <row r="1269">
      <c r="A1269" s="8"/>
    </row>
    <row r="1270">
      <c r="A1270" s="8"/>
    </row>
    <row r="1271">
      <c r="A1271" s="8"/>
    </row>
    <row r="1272">
      <c r="A1272" s="8"/>
    </row>
    <row r="1273">
      <c r="A1273" s="8"/>
    </row>
    <row r="1274">
      <c r="A1274" s="8"/>
    </row>
    <row r="1275">
      <c r="A1275" s="8"/>
    </row>
    <row r="1276">
      <c r="A1276" s="8"/>
    </row>
    <row r="1277">
      <c r="A1277" s="8"/>
    </row>
    <row r="1278">
      <c r="A1278" s="8"/>
    </row>
    <row r="1279">
      <c r="A1279" s="8"/>
    </row>
    <row r="1280">
      <c r="A1280" s="8"/>
    </row>
    <row r="1281">
      <c r="A1281" s="8"/>
    </row>
    <row r="1282">
      <c r="A1282" s="8"/>
    </row>
    <row r="1283">
      <c r="A1283" s="8"/>
    </row>
    <row r="1284">
      <c r="A1284" s="8"/>
    </row>
    <row r="1285">
      <c r="A1285" s="8"/>
    </row>
    <row r="1286">
      <c r="A1286" s="8"/>
    </row>
    <row r="1287">
      <c r="A1287" s="8"/>
    </row>
    <row r="1288">
      <c r="A1288" s="8"/>
    </row>
    <row r="1289">
      <c r="A1289" s="8"/>
    </row>
    <row r="1290">
      <c r="A1290" s="8"/>
    </row>
    <row r="1291">
      <c r="A1291" s="8"/>
    </row>
    <row r="1292">
      <c r="A1292" s="8"/>
    </row>
    <row r="1293">
      <c r="A1293" s="8"/>
    </row>
    <row r="1294">
      <c r="A1294" s="8"/>
    </row>
    <row r="1295">
      <c r="A1295" s="8"/>
    </row>
    <row r="1296">
      <c r="A1296" s="8"/>
    </row>
    <row r="1297">
      <c r="A1297" s="8"/>
    </row>
    <row r="1298">
      <c r="A1298" s="8"/>
    </row>
    <row r="1299">
      <c r="A1299" s="8"/>
    </row>
    <row r="1300">
      <c r="A1300" s="8"/>
    </row>
    <row r="1301">
      <c r="A1301" s="8"/>
    </row>
    <row r="1302">
      <c r="A1302" s="8"/>
    </row>
    <row r="1303">
      <c r="A1303" s="8"/>
    </row>
    <row r="1304">
      <c r="A1304" s="8"/>
    </row>
    <row r="1305">
      <c r="A1305" s="8"/>
    </row>
    <row r="1306">
      <c r="A1306" s="8"/>
    </row>
    <row r="1307">
      <c r="A1307" s="8"/>
    </row>
    <row r="1308">
      <c r="A1308" s="8"/>
    </row>
    <row r="1309">
      <c r="A1309" s="8"/>
    </row>
    <row r="1310">
      <c r="A1310" s="8"/>
    </row>
    <row r="1311">
      <c r="A1311" s="8"/>
    </row>
    <row r="1312">
      <c r="A1312" s="8"/>
    </row>
    <row r="1313">
      <c r="A1313" s="8"/>
    </row>
    <row r="1314">
      <c r="A1314" s="8"/>
    </row>
    <row r="1315">
      <c r="A1315" s="8"/>
    </row>
    <row r="1316">
      <c r="A1316" s="8"/>
    </row>
    <row r="1317">
      <c r="A1317" s="8"/>
    </row>
    <row r="1318">
      <c r="A1318" s="8"/>
    </row>
    <row r="1319">
      <c r="A1319" s="8"/>
    </row>
    <row r="1320">
      <c r="A1320" s="8"/>
    </row>
    <row r="1321">
      <c r="A1321" s="8"/>
    </row>
    <row r="1322">
      <c r="A1322" s="8"/>
    </row>
    <row r="1323">
      <c r="A1323" s="8"/>
    </row>
    <row r="1324">
      <c r="A1324" s="8"/>
    </row>
    <row r="1325">
      <c r="A1325" s="8"/>
    </row>
    <row r="1326">
      <c r="A1326" s="8"/>
    </row>
    <row r="1327">
      <c r="A1327" s="8"/>
    </row>
    <row r="1328">
      <c r="A1328" s="8"/>
    </row>
    <row r="1329">
      <c r="A1329" s="8"/>
    </row>
    <row r="1330">
      <c r="A1330" s="8"/>
    </row>
    <row r="1331">
      <c r="A1331" s="8"/>
    </row>
    <row r="1332">
      <c r="A1332" s="8"/>
    </row>
    <row r="1333">
      <c r="A1333" s="8"/>
    </row>
    <row r="1334">
      <c r="A1334" s="8"/>
    </row>
    <row r="1335">
      <c r="A1335" s="8"/>
    </row>
    <row r="1336">
      <c r="A1336" s="8"/>
    </row>
    <row r="1337">
      <c r="A1337" s="8"/>
    </row>
    <row r="1338">
      <c r="A1338" s="8"/>
    </row>
    <row r="1339">
      <c r="A1339" s="8"/>
    </row>
    <row r="1340">
      <c r="A1340" s="8"/>
    </row>
    <row r="1341">
      <c r="A1341" s="8"/>
    </row>
    <row r="1342">
      <c r="A1342" s="8"/>
    </row>
    <row r="1343">
      <c r="A1343" s="8"/>
    </row>
    <row r="1344">
      <c r="A1344" s="8"/>
    </row>
    <row r="1345">
      <c r="A1345" s="8"/>
    </row>
    <row r="1346">
      <c r="A1346" s="8"/>
    </row>
    <row r="1347">
      <c r="A1347" s="8"/>
    </row>
    <row r="1348">
      <c r="A1348" s="8"/>
    </row>
    <row r="1349">
      <c r="A1349" s="8"/>
    </row>
    <row r="1350">
      <c r="A1350" s="8"/>
    </row>
    <row r="1351">
      <c r="A1351" s="8"/>
    </row>
    <row r="1352">
      <c r="A1352" s="8"/>
    </row>
    <row r="1353">
      <c r="A1353" s="8"/>
    </row>
    <row r="1354">
      <c r="A1354" s="8"/>
    </row>
    <row r="1355">
      <c r="A1355" s="8"/>
    </row>
    <row r="1356">
      <c r="A1356" s="8"/>
    </row>
    <row r="1357">
      <c r="A1357" s="8"/>
    </row>
    <row r="1358">
      <c r="A1358" s="8"/>
    </row>
    <row r="1359">
      <c r="A1359" s="8"/>
    </row>
    <row r="1360">
      <c r="A1360" s="8"/>
    </row>
    <row r="1361">
      <c r="A1361" s="8"/>
    </row>
    <row r="1362">
      <c r="A1362" s="8"/>
    </row>
    <row r="1363">
      <c r="A1363" s="8"/>
    </row>
    <row r="1364">
      <c r="A1364" s="8"/>
    </row>
    <row r="1365">
      <c r="A1365" s="8"/>
    </row>
    <row r="1366">
      <c r="A1366" s="8"/>
    </row>
    <row r="1367">
      <c r="A1367" s="8"/>
    </row>
    <row r="1368">
      <c r="A1368" s="8"/>
    </row>
    <row r="1369">
      <c r="A1369" s="8"/>
    </row>
    <row r="1370">
      <c r="A1370" s="8"/>
    </row>
    <row r="1371">
      <c r="A1371" s="8"/>
    </row>
    <row r="1372">
      <c r="A1372" s="8"/>
    </row>
    <row r="1373">
      <c r="A1373" s="8"/>
    </row>
    <row r="1374">
      <c r="A1374" s="8"/>
    </row>
    <row r="1375">
      <c r="A1375" s="8"/>
    </row>
    <row r="1376">
      <c r="A1376" s="8"/>
    </row>
    <row r="1377">
      <c r="A1377" s="8"/>
    </row>
    <row r="1378">
      <c r="A1378" s="8"/>
    </row>
    <row r="1379">
      <c r="A1379" s="8"/>
    </row>
    <row r="1380">
      <c r="A1380" s="8"/>
    </row>
    <row r="1381">
      <c r="A1381" s="8"/>
    </row>
    <row r="1382">
      <c r="A1382" s="8"/>
    </row>
    <row r="1383">
      <c r="A1383" s="8"/>
    </row>
    <row r="1384">
      <c r="A1384" s="8"/>
    </row>
    <row r="1385">
      <c r="A1385" s="8"/>
    </row>
    <row r="1386">
      <c r="A1386" s="8"/>
    </row>
    <row r="1387">
      <c r="A1387" s="8"/>
    </row>
    <row r="1388">
      <c r="A1388" s="8"/>
    </row>
    <row r="1389">
      <c r="A1389" s="8"/>
    </row>
    <row r="1390">
      <c r="A1390" s="8"/>
    </row>
    <row r="1391">
      <c r="A1391" s="8"/>
    </row>
    <row r="1392">
      <c r="A1392" s="8"/>
    </row>
    <row r="1393">
      <c r="A1393" s="8"/>
    </row>
    <row r="1394">
      <c r="A1394" s="8"/>
    </row>
    <row r="1395">
      <c r="A1395" s="8"/>
    </row>
    <row r="1396">
      <c r="A1396" s="8"/>
    </row>
    <row r="1397">
      <c r="A1397" s="8"/>
    </row>
    <row r="1398">
      <c r="A1398" s="8"/>
    </row>
    <row r="1399">
      <c r="A1399" s="8"/>
    </row>
    <row r="1400">
      <c r="A1400" s="8"/>
    </row>
    <row r="1401">
      <c r="A1401" s="8"/>
    </row>
    <row r="1402">
      <c r="A1402" s="8"/>
    </row>
    <row r="1403">
      <c r="A1403" s="8"/>
    </row>
    <row r="1404">
      <c r="A1404" s="8"/>
    </row>
    <row r="1405">
      <c r="A1405" s="8"/>
    </row>
    <row r="1406">
      <c r="A1406" s="8"/>
    </row>
    <row r="1407">
      <c r="A1407" s="8"/>
    </row>
    <row r="1408">
      <c r="A1408" s="8"/>
    </row>
    <row r="1409">
      <c r="A1409" s="8"/>
    </row>
    <row r="1410">
      <c r="A1410" s="8"/>
    </row>
    <row r="1411">
      <c r="A1411" s="8"/>
    </row>
    <row r="1412">
      <c r="A1412" s="8"/>
    </row>
    <row r="1413">
      <c r="A1413" s="8"/>
    </row>
    <row r="1414">
      <c r="A1414" s="8"/>
    </row>
    <row r="1415">
      <c r="A1415" s="8"/>
    </row>
    <row r="1416">
      <c r="A1416" s="8"/>
    </row>
    <row r="1417">
      <c r="A1417" s="8"/>
    </row>
    <row r="1418">
      <c r="A1418" s="8"/>
    </row>
    <row r="1419">
      <c r="A1419" s="8"/>
    </row>
    <row r="1420">
      <c r="A1420" s="8"/>
    </row>
    <row r="1421">
      <c r="A1421" s="8"/>
    </row>
    <row r="1422">
      <c r="A1422" s="8"/>
    </row>
    <row r="1423">
      <c r="A1423" s="8"/>
    </row>
    <row r="1424">
      <c r="A1424" s="8"/>
    </row>
    <row r="1425">
      <c r="A1425" s="8"/>
    </row>
    <row r="1426">
      <c r="A1426" s="8"/>
    </row>
    <row r="1427">
      <c r="A1427" s="8"/>
    </row>
    <row r="1428">
      <c r="A1428" s="8"/>
    </row>
    <row r="1429">
      <c r="A1429" s="8"/>
    </row>
    <row r="1430">
      <c r="A1430" s="8"/>
    </row>
    <row r="1431">
      <c r="A1431" s="8"/>
    </row>
    <row r="1432">
      <c r="A1432" s="8"/>
    </row>
    <row r="1433">
      <c r="A1433" s="8"/>
    </row>
    <row r="1434">
      <c r="A1434" s="8"/>
    </row>
    <row r="1435">
      <c r="A1435" s="8"/>
    </row>
    <row r="1436">
      <c r="A1436" s="8"/>
    </row>
    <row r="1437">
      <c r="A1437" s="8"/>
    </row>
    <row r="1438">
      <c r="A1438" s="8"/>
    </row>
    <row r="1439">
      <c r="A1439" s="8"/>
    </row>
    <row r="1440">
      <c r="A1440" s="8"/>
    </row>
    <row r="1441">
      <c r="A1441" s="8"/>
    </row>
    <row r="1442">
      <c r="A1442" s="8"/>
    </row>
    <row r="1443">
      <c r="A1443" s="8"/>
    </row>
    <row r="1444">
      <c r="A1444" s="8"/>
    </row>
    <row r="1445">
      <c r="A1445" s="8"/>
    </row>
    <row r="1446">
      <c r="A1446" s="8"/>
    </row>
    <row r="1447">
      <c r="A1447" s="8"/>
    </row>
    <row r="1448">
      <c r="A1448" s="8"/>
    </row>
    <row r="1449">
      <c r="A1449" s="8"/>
    </row>
    <row r="1450">
      <c r="A1450" s="8"/>
    </row>
    <row r="1451">
      <c r="A1451" s="8"/>
    </row>
    <row r="1452">
      <c r="A1452" s="8"/>
    </row>
    <row r="1453">
      <c r="A1453" s="8"/>
    </row>
    <row r="1454">
      <c r="A1454" s="8"/>
    </row>
    <row r="1455">
      <c r="A1455" s="8"/>
    </row>
    <row r="1456">
      <c r="A1456" s="8"/>
    </row>
    <row r="1457">
      <c r="A1457" s="8"/>
    </row>
    <row r="1458">
      <c r="A1458" s="8"/>
    </row>
    <row r="1459">
      <c r="A1459" s="8"/>
    </row>
    <row r="1460">
      <c r="A1460" s="8"/>
    </row>
    <row r="1461">
      <c r="A1461" s="8"/>
    </row>
    <row r="1462">
      <c r="A1462" s="8"/>
    </row>
    <row r="1463">
      <c r="A1463" s="8"/>
    </row>
    <row r="1464">
      <c r="A1464" s="8"/>
    </row>
    <row r="1465">
      <c r="A1465" s="8"/>
    </row>
    <row r="1466">
      <c r="A1466" s="8"/>
    </row>
    <row r="1467">
      <c r="A1467" s="8"/>
    </row>
    <row r="1468">
      <c r="A1468" s="8"/>
    </row>
    <row r="1469">
      <c r="A1469" s="8"/>
    </row>
    <row r="1470">
      <c r="A1470" s="8"/>
    </row>
    <row r="1471">
      <c r="A1471" s="8"/>
    </row>
    <row r="1472">
      <c r="A1472" s="8"/>
    </row>
    <row r="1473">
      <c r="A1473" s="8"/>
    </row>
    <row r="1474">
      <c r="A1474" s="8"/>
    </row>
    <row r="1475">
      <c r="A1475" s="8"/>
    </row>
    <row r="1476">
      <c r="A1476" s="8"/>
    </row>
    <row r="1477">
      <c r="A1477" s="8"/>
    </row>
    <row r="1478">
      <c r="A1478" s="8"/>
    </row>
    <row r="1479">
      <c r="A1479" s="8"/>
    </row>
    <row r="1480">
      <c r="A1480" s="8"/>
    </row>
    <row r="1481">
      <c r="A1481" s="8"/>
    </row>
    <row r="1482">
      <c r="A1482" s="8"/>
    </row>
    <row r="1483">
      <c r="A1483" s="8"/>
    </row>
    <row r="1484">
      <c r="A1484" s="8"/>
    </row>
    <row r="1485">
      <c r="A1485" s="8"/>
    </row>
    <row r="1486">
      <c r="A1486" s="8"/>
    </row>
    <row r="1487">
      <c r="A1487" s="8"/>
    </row>
    <row r="1488">
      <c r="A1488" s="8"/>
    </row>
    <row r="1489">
      <c r="A1489" s="8"/>
    </row>
    <row r="1490">
      <c r="A1490" s="8"/>
    </row>
    <row r="1491">
      <c r="A1491" s="8"/>
    </row>
    <row r="1492">
      <c r="A1492" s="8"/>
    </row>
    <row r="1493">
      <c r="A1493" s="8"/>
    </row>
    <row r="1494">
      <c r="A1494" s="8"/>
    </row>
    <row r="1495">
      <c r="A1495" s="8"/>
    </row>
    <row r="1496">
      <c r="A1496" s="8"/>
    </row>
    <row r="1497">
      <c r="A1497" s="8"/>
    </row>
    <row r="1498">
      <c r="A1498" s="8"/>
    </row>
    <row r="1499">
      <c r="A1499" s="8"/>
    </row>
    <row r="1500">
      <c r="A1500" s="8"/>
    </row>
    <row r="1501">
      <c r="A1501" s="8"/>
    </row>
    <row r="1502">
      <c r="A1502" s="8"/>
    </row>
    <row r="1503">
      <c r="A1503" s="8"/>
    </row>
    <row r="1504">
      <c r="A1504" s="8"/>
    </row>
    <row r="1505">
      <c r="A1505" s="8"/>
    </row>
    <row r="1506">
      <c r="A1506" s="8"/>
    </row>
    <row r="1507">
      <c r="A1507" s="8"/>
    </row>
    <row r="1508">
      <c r="A1508" s="8"/>
    </row>
    <row r="1509">
      <c r="A1509" s="8"/>
    </row>
    <row r="1510">
      <c r="A1510" s="8"/>
    </row>
    <row r="1511">
      <c r="A1511" s="8"/>
    </row>
    <row r="1512">
      <c r="A1512" s="8"/>
    </row>
    <row r="1513">
      <c r="A1513" s="8"/>
    </row>
    <row r="1514">
      <c r="A1514" s="8"/>
    </row>
    <row r="1515">
      <c r="A1515" s="8"/>
    </row>
    <row r="1516">
      <c r="A1516" s="8"/>
    </row>
    <row r="1517">
      <c r="A1517" s="8"/>
    </row>
    <row r="1518">
      <c r="A1518" s="8"/>
    </row>
    <row r="1519">
      <c r="A1519" s="8"/>
    </row>
    <row r="1520">
      <c r="A1520" s="8"/>
    </row>
    <row r="1521">
      <c r="A1521" s="8"/>
    </row>
    <row r="1522">
      <c r="A1522" s="8"/>
    </row>
    <row r="1523">
      <c r="A1523" s="8"/>
    </row>
    <row r="1524">
      <c r="A1524" s="8"/>
    </row>
    <row r="1525">
      <c r="A1525" s="8"/>
    </row>
    <row r="1526">
      <c r="A1526" s="8"/>
    </row>
    <row r="1527">
      <c r="A1527" s="8"/>
    </row>
    <row r="1528">
      <c r="A1528" s="8"/>
    </row>
    <row r="1529">
      <c r="A1529" s="8"/>
    </row>
    <row r="1530">
      <c r="A1530" s="8"/>
    </row>
    <row r="1531">
      <c r="A1531" s="8"/>
    </row>
    <row r="1532">
      <c r="A1532" s="8"/>
    </row>
    <row r="1533">
      <c r="A1533" s="8"/>
    </row>
    <row r="1534">
      <c r="A1534" s="8"/>
    </row>
    <row r="1535">
      <c r="A1535" s="8"/>
    </row>
    <row r="1536">
      <c r="A1536" s="8"/>
    </row>
    <row r="1537">
      <c r="A1537" s="8"/>
    </row>
    <row r="1538">
      <c r="A1538" s="8"/>
    </row>
    <row r="1539">
      <c r="A1539" s="8"/>
    </row>
    <row r="1540">
      <c r="A1540" s="8"/>
    </row>
    <row r="1541">
      <c r="A1541" s="8"/>
    </row>
    <row r="1542">
      <c r="A1542" s="8"/>
    </row>
    <row r="1543">
      <c r="A1543" s="8"/>
    </row>
    <row r="1544">
      <c r="A1544" s="8"/>
    </row>
    <row r="1545">
      <c r="A1545" s="8"/>
    </row>
    <row r="1546">
      <c r="A1546" s="8"/>
    </row>
    <row r="1547">
      <c r="A1547" s="8"/>
    </row>
    <row r="1548">
      <c r="A1548" s="8"/>
    </row>
    <row r="1549">
      <c r="A1549" s="8"/>
    </row>
    <row r="1550">
      <c r="A1550" s="8"/>
    </row>
    <row r="1551">
      <c r="A1551" s="8"/>
    </row>
    <row r="1552">
      <c r="A1552" s="8"/>
    </row>
    <row r="1553">
      <c r="A1553" s="8"/>
    </row>
    <row r="1554">
      <c r="A1554" s="8"/>
    </row>
    <row r="1555">
      <c r="A1555" s="8"/>
    </row>
    <row r="1556">
      <c r="A1556" s="8"/>
    </row>
    <row r="1557">
      <c r="A1557" s="8"/>
    </row>
    <row r="1558">
      <c r="A1558" s="8"/>
    </row>
    <row r="1559">
      <c r="A1559" s="8"/>
    </row>
    <row r="1560">
      <c r="A1560" s="8"/>
    </row>
    <row r="1561">
      <c r="A1561" s="8"/>
    </row>
    <row r="1562">
      <c r="A1562" s="8"/>
    </row>
    <row r="1563">
      <c r="A1563" s="8"/>
    </row>
    <row r="1564">
      <c r="A1564" s="8"/>
    </row>
    <row r="1565">
      <c r="A1565" s="8"/>
    </row>
    <row r="1566">
      <c r="A1566" s="8"/>
    </row>
    <row r="1567">
      <c r="A1567" s="8"/>
    </row>
    <row r="1568">
      <c r="A1568" s="8"/>
    </row>
    <row r="1569">
      <c r="A1569" s="8"/>
    </row>
    <row r="1570">
      <c r="A1570" s="8"/>
    </row>
    <row r="1571">
      <c r="A1571" s="8"/>
    </row>
    <row r="1572">
      <c r="A1572" s="8"/>
    </row>
    <row r="1573">
      <c r="A1573" s="8"/>
    </row>
    <row r="1574">
      <c r="A1574" s="8"/>
    </row>
    <row r="1575">
      <c r="A1575" s="8"/>
    </row>
    <row r="1576">
      <c r="A1576" s="8"/>
    </row>
    <row r="1577">
      <c r="A1577" s="8"/>
    </row>
    <row r="1578">
      <c r="A1578" s="8"/>
    </row>
    <row r="1579">
      <c r="A1579" s="8"/>
    </row>
    <row r="1580">
      <c r="A1580" s="8"/>
    </row>
    <row r="1581">
      <c r="A1581" s="8"/>
    </row>
    <row r="1582">
      <c r="A1582" s="8"/>
    </row>
    <row r="1583">
      <c r="A1583" s="8"/>
    </row>
    <row r="1584">
      <c r="A1584" s="8"/>
    </row>
    <row r="1585">
      <c r="A1585" s="8"/>
    </row>
    <row r="1586">
      <c r="A1586" s="8"/>
    </row>
    <row r="1587">
      <c r="A1587" s="8"/>
    </row>
    <row r="1588">
      <c r="A1588" s="8"/>
    </row>
    <row r="1589">
      <c r="A1589" s="8"/>
    </row>
    <row r="1590">
      <c r="A1590" s="8"/>
    </row>
    <row r="1591">
      <c r="A1591" s="8"/>
    </row>
    <row r="1592">
      <c r="A1592" s="8"/>
    </row>
    <row r="1593">
      <c r="A1593" s="8"/>
    </row>
    <row r="1594">
      <c r="A1594" s="8"/>
    </row>
    <row r="1595">
      <c r="A1595" s="8"/>
    </row>
    <row r="1596">
      <c r="A1596" s="8"/>
    </row>
    <row r="1597">
      <c r="A1597" s="8"/>
    </row>
    <row r="1598">
      <c r="A1598" s="8"/>
    </row>
    <row r="1599">
      <c r="A1599" s="8"/>
    </row>
    <row r="1600">
      <c r="A1600" s="8"/>
    </row>
    <row r="1601">
      <c r="A1601" s="8"/>
    </row>
    <row r="1602">
      <c r="A1602" s="8"/>
    </row>
    <row r="1603">
      <c r="A1603" s="8"/>
    </row>
    <row r="1604">
      <c r="A1604" s="8"/>
    </row>
    <row r="1605">
      <c r="A1605" s="8"/>
    </row>
    <row r="1606">
      <c r="A1606" s="8"/>
    </row>
    <row r="1607">
      <c r="A1607" s="8"/>
    </row>
    <row r="1608">
      <c r="A1608" s="8"/>
    </row>
    <row r="1609">
      <c r="A1609" s="8"/>
    </row>
    <row r="1610">
      <c r="A1610" s="8"/>
    </row>
    <row r="1611">
      <c r="A1611" s="8"/>
    </row>
    <row r="1612">
      <c r="A1612" s="8"/>
    </row>
    <row r="1613">
      <c r="A1613" s="8"/>
    </row>
    <row r="1614">
      <c r="A1614" s="8"/>
    </row>
    <row r="1615">
      <c r="A1615" s="8"/>
    </row>
    <row r="1616">
      <c r="A1616" s="8"/>
    </row>
    <row r="1617">
      <c r="A1617" s="8"/>
    </row>
    <row r="1618">
      <c r="A1618" s="8"/>
    </row>
    <row r="1619">
      <c r="A1619" s="8"/>
    </row>
    <row r="1620">
      <c r="A1620" s="8"/>
    </row>
    <row r="1621">
      <c r="A1621" s="8"/>
    </row>
    <row r="1622">
      <c r="A1622" s="8"/>
    </row>
    <row r="1623">
      <c r="A1623" s="8"/>
    </row>
    <row r="1624">
      <c r="A1624" s="8"/>
    </row>
    <row r="1625">
      <c r="A1625" s="8"/>
    </row>
    <row r="1626">
      <c r="A1626" s="8"/>
    </row>
    <row r="1627">
      <c r="A1627" s="8"/>
    </row>
    <row r="1628">
      <c r="A1628" s="8"/>
    </row>
    <row r="1629">
      <c r="A1629" s="8"/>
    </row>
    <row r="1630">
      <c r="A1630" s="8"/>
    </row>
    <row r="1631">
      <c r="A1631" s="8"/>
    </row>
    <row r="1632">
      <c r="A1632" s="8"/>
    </row>
    <row r="1633">
      <c r="A1633" s="8"/>
    </row>
    <row r="1634">
      <c r="A1634" s="8"/>
    </row>
    <row r="1635">
      <c r="A1635" s="8"/>
    </row>
    <row r="1636">
      <c r="A1636" s="8"/>
    </row>
    <row r="1637">
      <c r="A1637" s="8"/>
    </row>
    <row r="1638">
      <c r="A1638" s="8"/>
    </row>
    <row r="1639">
      <c r="A1639" s="8"/>
    </row>
    <row r="1640">
      <c r="A1640" s="8"/>
    </row>
    <row r="1641">
      <c r="A1641" s="8"/>
    </row>
    <row r="1642">
      <c r="A1642" s="8"/>
    </row>
    <row r="1643">
      <c r="A1643" s="8"/>
    </row>
    <row r="1644">
      <c r="A1644" s="8"/>
    </row>
    <row r="1645">
      <c r="A1645" s="8"/>
    </row>
    <row r="1646">
      <c r="A1646" s="8"/>
    </row>
    <row r="1647">
      <c r="A1647" s="8"/>
    </row>
    <row r="1648">
      <c r="A1648" s="8"/>
    </row>
    <row r="1649">
      <c r="A1649" s="8"/>
    </row>
    <row r="1650">
      <c r="A1650" s="8"/>
    </row>
    <row r="1651">
      <c r="A1651" s="8"/>
    </row>
    <row r="1652">
      <c r="A1652" s="8"/>
    </row>
    <row r="1653">
      <c r="A1653" s="8"/>
    </row>
    <row r="1654">
      <c r="A1654" s="8"/>
    </row>
    <row r="1655">
      <c r="A1655" s="8"/>
    </row>
    <row r="1656">
      <c r="A1656" s="8"/>
    </row>
    <row r="1657">
      <c r="A1657" s="8"/>
    </row>
    <row r="1658">
      <c r="A1658" s="8"/>
    </row>
    <row r="1659">
      <c r="A1659" s="8"/>
    </row>
    <row r="1660">
      <c r="A1660" s="8"/>
    </row>
    <row r="1661">
      <c r="A1661" s="8"/>
    </row>
    <row r="1662">
      <c r="A1662" s="8"/>
    </row>
    <row r="1663">
      <c r="A1663" s="8"/>
    </row>
    <row r="1664">
      <c r="A1664" s="8"/>
    </row>
    <row r="1665">
      <c r="A1665" s="8"/>
    </row>
    <row r="1666">
      <c r="A1666" s="8"/>
    </row>
    <row r="1667">
      <c r="A1667" s="8"/>
    </row>
    <row r="1668">
      <c r="A1668" s="8"/>
    </row>
    <row r="1669">
      <c r="A1669" s="8"/>
    </row>
    <row r="1670">
      <c r="A1670" s="8"/>
    </row>
    <row r="1671">
      <c r="A1671" s="8"/>
    </row>
    <row r="1672">
      <c r="A1672" s="8"/>
    </row>
    <row r="1673">
      <c r="A1673" s="8"/>
    </row>
    <row r="1674">
      <c r="A1674" s="8"/>
    </row>
    <row r="1675">
      <c r="A1675" s="8"/>
    </row>
    <row r="1676">
      <c r="A1676" s="8"/>
    </row>
    <row r="1677">
      <c r="A1677" s="8"/>
    </row>
    <row r="1678">
      <c r="A1678" s="8"/>
    </row>
    <row r="1679">
      <c r="A1679" s="8"/>
    </row>
    <row r="1680">
      <c r="A1680" s="8"/>
    </row>
    <row r="1681">
      <c r="A1681" s="8"/>
    </row>
    <row r="1682">
      <c r="A1682" s="8"/>
    </row>
    <row r="1683">
      <c r="A1683" s="8"/>
    </row>
    <row r="1684">
      <c r="A1684" s="8"/>
    </row>
    <row r="1685">
      <c r="A1685" s="8"/>
    </row>
    <row r="1686">
      <c r="A1686" s="8"/>
    </row>
    <row r="1687">
      <c r="A1687" s="8"/>
    </row>
    <row r="1688">
      <c r="A1688" s="8"/>
    </row>
    <row r="1689">
      <c r="A1689" s="8"/>
    </row>
    <row r="1690">
      <c r="A1690" s="8"/>
    </row>
    <row r="1691">
      <c r="A1691" s="8"/>
    </row>
    <row r="1692">
      <c r="A1692" s="8"/>
    </row>
    <row r="1693">
      <c r="A1693" s="8"/>
    </row>
    <row r="1694">
      <c r="A1694" s="8"/>
    </row>
    <row r="1695">
      <c r="A1695" s="8"/>
    </row>
    <row r="1696">
      <c r="A1696" s="8"/>
    </row>
    <row r="1697">
      <c r="A1697" s="8"/>
    </row>
    <row r="1698">
      <c r="A1698" s="8"/>
    </row>
    <row r="1699">
      <c r="A1699" s="8"/>
    </row>
    <row r="1700">
      <c r="A1700" s="8"/>
    </row>
    <row r="1701">
      <c r="A1701" s="8"/>
    </row>
    <row r="1702">
      <c r="A1702" s="8"/>
    </row>
    <row r="1703">
      <c r="A1703" s="8"/>
    </row>
    <row r="1704">
      <c r="A1704" s="8"/>
    </row>
    <row r="1705">
      <c r="A1705" s="8"/>
    </row>
    <row r="1706">
      <c r="A1706" s="8"/>
    </row>
    <row r="1707">
      <c r="A1707" s="8"/>
    </row>
    <row r="1708">
      <c r="A1708" s="8"/>
    </row>
    <row r="1709">
      <c r="A1709" s="8"/>
    </row>
    <row r="1710">
      <c r="A1710" s="8"/>
    </row>
    <row r="1711">
      <c r="A1711" s="8"/>
    </row>
    <row r="1712">
      <c r="A1712" s="8"/>
    </row>
    <row r="1713">
      <c r="A1713" s="8"/>
    </row>
    <row r="1714">
      <c r="A1714" s="8"/>
    </row>
    <row r="1715">
      <c r="A1715" s="8"/>
    </row>
    <row r="1716">
      <c r="A1716" s="8"/>
    </row>
    <row r="1717">
      <c r="A1717" s="8"/>
    </row>
    <row r="1718">
      <c r="A1718" s="8"/>
    </row>
    <row r="1719">
      <c r="A1719" s="8"/>
    </row>
    <row r="1720">
      <c r="A1720" s="8"/>
    </row>
    <row r="1721">
      <c r="A1721" s="8"/>
    </row>
    <row r="1722">
      <c r="A1722" s="8"/>
    </row>
    <row r="1723">
      <c r="A1723" s="8"/>
    </row>
    <row r="1724">
      <c r="A1724" s="8"/>
    </row>
    <row r="1725">
      <c r="A1725" s="8"/>
    </row>
    <row r="1726">
      <c r="A1726" s="8"/>
    </row>
    <row r="1727">
      <c r="A1727" s="8"/>
    </row>
    <row r="1728">
      <c r="A1728" s="8"/>
    </row>
    <row r="1729">
      <c r="A1729" s="8"/>
    </row>
    <row r="1730">
      <c r="A1730" s="8"/>
    </row>
    <row r="1731">
      <c r="A1731" s="8"/>
    </row>
    <row r="1732">
      <c r="A1732" s="8"/>
    </row>
    <row r="1733">
      <c r="A1733" s="8"/>
    </row>
    <row r="1734">
      <c r="A1734" s="8"/>
    </row>
    <row r="1735">
      <c r="A1735" s="8"/>
    </row>
    <row r="1736">
      <c r="A1736" s="8"/>
    </row>
    <row r="1737">
      <c r="A1737" s="8"/>
    </row>
    <row r="1738">
      <c r="A1738" s="8"/>
    </row>
    <row r="1739">
      <c r="A1739" s="8"/>
    </row>
    <row r="1740">
      <c r="A1740" s="8"/>
    </row>
    <row r="1741">
      <c r="A1741" s="8"/>
    </row>
    <row r="1742">
      <c r="A1742" s="8"/>
    </row>
    <row r="1743">
      <c r="A1743" s="8"/>
    </row>
    <row r="1744">
      <c r="A1744" s="8"/>
    </row>
    <row r="1745">
      <c r="A1745" s="8"/>
    </row>
    <row r="1746">
      <c r="A1746" s="8"/>
    </row>
    <row r="1747">
      <c r="A1747" s="8"/>
    </row>
    <row r="1748">
      <c r="A1748" s="8"/>
    </row>
    <row r="1749">
      <c r="A1749" s="8"/>
    </row>
    <row r="1750">
      <c r="A1750" s="8"/>
    </row>
    <row r="1751">
      <c r="A1751" s="8"/>
    </row>
    <row r="1752">
      <c r="A1752" s="8"/>
    </row>
    <row r="1753">
      <c r="A1753" s="8"/>
    </row>
    <row r="1754">
      <c r="A1754" s="8"/>
    </row>
    <row r="1755">
      <c r="A1755" s="8"/>
    </row>
    <row r="1756">
      <c r="A1756" s="8"/>
    </row>
    <row r="1757">
      <c r="A1757" s="8"/>
    </row>
    <row r="1758">
      <c r="A1758" s="8"/>
    </row>
    <row r="1759">
      <c r="A1759" s="8"/>
    </row>
    <row r="1760">
      <c r="A1760" s="8"/>
    </row>
    <row r="1761">
      <c r="A1761" s="8"/>
    </row>
    <row r="1762">
      <c r="A1762" s="8"/>
    </row>
    <row r="1763">
      <c r="A1763" s="8"/>
    </row>
    <row r="1764">
      <c r="A1764" s="8"/>
    </row>
    <row r="1765">
      <c r="A1765" s="8"/>
    </row>
    <row r="1766">
      <c r="A1766" s="8"/>
    </row>
    <row r="1767">
      <c r="A1767" s="8"/>
    </row>
    <row r="1768">
      <c r="A1768" s="8"/>
    </row>
    <row r="1769">
      <c r="A1769" s="8"/>
    </row>
    <row r="1770">
      <c r="A1770" s="8"/>
    </row>
    <row r="1771">
      <c r="A1771" s="8"/>
    </row>
    <row r="1772">
      <c r="A1772" s="8"/>
    </row>
    <row r="1773">
      <c r="A1773" s="8"/>
    </row>
    <row r="1774">
      <c r="A1774" s="8"/>
    </row>
    <row r="1775">
      <c r="A1775" s="8"/>
    </row>
    <row r="1776">
      <c r="A1776" s="8"/>
    </row>
    <row r="1777">
      <c r="A1777" s="8"/>
    </row>
    <row r="1778">
      <c r="A1778" s="8"/>
    </row>
    <row r="1779">
      <c r="A1779" s="8"/>
    </row>
    <row r="1780">
      <c r="A1780" s="8"/>
    </row>
    <row r="1781">
      <c r="A1781" s="8"/>
    </row>
    <row r="1782">
      <c r="A1782" s="8"/>
    </row>
    <row r="1783">
      <c r="A1783" s="8"/>
    </row>
    <row r="1784">
      <c r="A1784" s="8"/>
    </row>
    <row r="1785">
      <c r="A1785" s="8"/>
    </row>
    <row r="1786">
      <c r="A1786" s="8"/>
    </row>
    <row r="1787">
      <c r="A1787" s="8"/>
    </row>
    <row r="1788">
      <c r="A1788" s="8"/>
    </row>
    <row r="1789">
      <c r="A1789" s="8"/>
    </row>
    <row r="1790">
      <c r="A1790" s="8"/>
    </row>
    <row r="1791">
      <c r="A1791" s="8"/>
    </row>
    <row r="1792">
      <c r="A1792" s="8"/>
    </row>
    <row r="1793">
      <c r="A1793" s="8"/>
    </row>
    <row r="1794">
      <c r="A1794" s="8"/>
    </row>
    <row r="1795">
      <c r="A1795" s="8"/>
    </row>
    <row r="1796">
      <c r="A1796" s="8"/>
    </row>
    <row r="1797">
      <c r="A1797" s="8"/>
    </row>
    <row r="1798">
      <c r="A1798" s="8"/>
    </row>
    <row r="1799">
      <c r="A1799" s="8"/>
    </row>
    <row r="1800">
      <c r="A1800" s="8"/>
    </row>
    <row r="1801">
      <c r="A1801" s="8"/>
    </row>
    <row r="1802">
      <c r="A1802" s="8"/>
    </row>
    <row r="1803">
      <c r="A1803" s="8"/>
    </row>
    <row r="1804">
      <c r="A1804" s="8"/>
    </row>
    <row r="1805">
      <c r="A1805" s="8"/>
    </row>
    <row r="1806">
      <c r="A1806" s="8"/>
    </row>
    <row r="1807">
      <c r="A1807" s="8"/>
    </row>
    <row r="1808">
      <c r="A1808" s="8"/>
    </row>
    <row r="1809">
      <c r="A1809" s="8"/>
    </row>
    <row r="1810">
      <c r="A1810" s="8"/>
    </row>
    <row r="1811">
      <c r="A1811" s="8"/>
    </row>
    <row r="1812">
      <c r="A1812" s="8"/>
    </row>
    <row r="1813">
      <c r="A1813" s="8"/>
    </row>
    <row r="1814">
      <c r="A1814" s="8"/>
    </row>
    <row r="1815">
      <c r="A1815" s="8"/>
    </row>
    <row r="1816">
      <c r="A1816" s="8"/>
    </row>
    <row r="1817">
      <c r="A1817" s="8"/>
    </row>
    <row r="1818">
      <c r="A1818" s="8"/>
    </row>
    <row r="1819">
      <c r="A1819" s="8"/>
    </row>
    <row r="1820">
      <c r="A1820" s="8"/>
    </row>
    <row r="1821">
      <c r="A1821" s="8"/>
    </row>
    <row r="1822">
      <c r="A1822" s="8"/>
    </row>
    <row r="1823">
      <c r="A1823" s="8"/>
    </row>
    <row r="1824">
      <c r="A1824" s="8"/>
    </row>
    <row r="1825">
      <c r="A1825" s="8"/>
    </row>
    <row r="1826">
      <c r="A1826" s="8"/>
    </row>
    <row r="1827">
      <c r="A1827" s="8"/>
    </row>
    <row r="1828">
      <c r="A1828" s="8"/>
    </row>
    <row r="1829">
      <c r="A1829" s="8"/>
    </row>
    <row r="1830">
      <c r="A1830" s="8"/>
    </row>
    <row r="1831">
      <c r="A1831" s="8"/>
    </row>
    <row r="1832">
      <c r="A1832" s="8"/>
    </row>
    <row r="1833">
      <c r="A1833" s="8"/>
    </row>
    <row r="1834">
      <c r="A1834" s="8"/>
    </row>
    <row r="1835">
      <c r="A1835" s="8"/>
    </row>
    <row r="1836">
      <c r="A1836" s="8"/>
    </row>
    <row r="1837">
      <c r="A1837" s="8"/>
    </row>
    <row r="1838">
      <c r="A1838" s="8"/>
    </row>
    <row r="1839">
      <c r="A1839" s="8"/>
    </row>
    <row r="1840">
      <c r="A1840" s="8"/>
    </row>
    <row r="1841">
      <c r="A1841" s="8"/>
    </row>
    <row r="1842">
      <c r="A1842" s="8"/>
    </row>
    <row r="1843">
      <c r="A1843" s="8"/>
    </row>
    <row r="1844">
      <c r="A1844" s="8"/>
    </row>
    <row r="1845">
      <c r="A1845" s="8"/>
    </row>
    <row r="1846">
      <c r="A1846" s="8"/>
    </row>
    <row r="1847">
      <c r="A1847" s="8"/>
    </row>
    <row r="1848">
      <c r="A1848" s="8"/>
    </row>
    <row r="1849">
      <c r="A1849" s="8"/>
    </row>
    <row r="1850">
      <c r="A1850" s="8"/>
    </row>
    <row r="1851">
      <c r="A1851" s="8"/>
    </row>
    <row r="1852">
      <c r="A1852" s="8"/>
    </row>
    <row r="1853">
      <c r="A1853" s="8"/>
    </row>
    <row r="1854">
      <c r="A1854" s="8"/>
    </row>
    <row r="1855">
      <c r="A1855" s="8"/>
    </row>
    <row r="1856">
      <c r="A1856" s="8"/>
    </row>
    <row r="1857">
      <c r="A1857" s="8"/>
    </row>
    <row r="1858">
      <c r="A1858" s="8"/>
    </row>
    <row r="1859">
      <c r="A1859" s="8"/>
    </row>
    <row r="1860">
      <c r="A1860" s="8"/>
    </row>
    <row r="1861">
      <c r="A1861" s="8"/>
    </row>
    <row r="1862">
      <c r="A1862" s="8"/>
    </row>
    <row r="1863">
      <c r="A1863" s="8"/>
    </row>
    <row r="1864">
      <c r="A1864" s="8"/>
    </row>
    <row r="1865">
      <c r="A1865" s="8"/>
    </row>
    <row r="1866">
      <c r="A1866" s="8"/>
    </row>
    <row r="1867">
      <c r="A1867" s="8"/>
    </row>
    <row r="1868">
      <c r="A1868" s="8"/>
    </row>
    <row r="1869">
      <c r="A1869" s="8"/>
    </row>
    <row r="1870">
      <c r="A1870" s="8"/>
    </row>
    <row r="1871">
      <c r="A1871" s="8"/>
    </row>
    <row r="1872">
      <c r="A1872" s="8"/>
    </row>
    <row r="1873">
      <c r="A1873" s="8"/>
    </row>
    <row r="1874">
      <c r="A1874" s="8"/>
    </row>
    <row r="1875">
      <c r="A1875" s="8"/>
    </row>
    <row r="1876">
      <c r="A1876" s="8"/>
    </row>
    <row r="1877">
      <c r="A1877" s="8"/>
    </row>
    <row r="1878">
      <c r="A1878" s="8"/>
    </row>
    <row r="1879">
      <c r="A1879" s="8"/>
    </row>
    <row r="1880">
      <c r="A1880" s="8"/>
    </row>
    <row r="1881">
      <c r="A1881" s="8"/>
    </row>
    <row r="1882">
      <c r="A1882" s="8"/>
    </row>
    <row r="1883">
      <c r="A1883" s="8"/>
    </row>
    <row r="1884">
      <c r="A1884" s="8"/>
    </row>
    <row r="1885">
      <c r="A1885" s="8"/>
    </row>
    <row r="1886">
      <c r="A1886" s="8"/>
    </row>
    <row r="1887">
      <c r="A1887" s="8"/>
    </row>
    <row r="1888">
      <c r="A1888" s="8"/>
    </row>
    <row r="1889">
      <c r="A1889" s="8"/>
    </row>
    <row r="1890">
      <c r="A1890" s="8"/>
    </row>
    <row r="1891">
      <c r="A1891" s="8"/>
    </row>
    <row r="1892">
      <c r="A1892" s="8"/>
    </row>
    <row r="1893">
      <c r="A1893" s="8"/>
    </row>
    <row r="1894">
      <c r="A1894" s="8"/>
    </row>
    <row r="1895">
      <c r="A1895" s="8"/>
    </row>
    <row r="1896">
      <c r="A1896" s="8"/>
    </row>
    <row r="1897">
      <c r="A1897" s="8"/>
    </row>
    <row r="1898">
      <c r="A1898" s="8"/>
    </row>
    <row r="1899">
      <c r="A1899" s="8"/>
    </row>
    <row r="1900">
      <c r="A1900" s="8"/>
    </row>
    <row r="1901">
      <c r="A1901" s="8"/>
    </row>
    <row r="1902">
      <c r="A1902" s="8"/>
    </row>
    <row r="1903">
      <c r="A1903" s="8"/>
    </row>
    <row r="1904">
      <c r="A1904" s="8"/>
    </row>
    <row r="1905">
      <c r="A1905" s="8"/>
    </row>
    <row r="1906">
      <c r="A1906" s="8"/>
    </row>
    <row r="1907">
      <c r="A1907" s="8"/>
    </row>
    <row r="1908">
      <c r="A1908" s="8"/>
    </row>
    <row r="1909">
      <c r="A1909" s="8"/>
    </row>
    <row r="1910">
      <c r="A1910" s="8"/>
    </row>
    <row r="1911">
      <c r="A1911" s="8"/>
    </row>
    <row r="1912">
      <c r="A1912" s="8"/>
    </row>
    <row r="1913">
      <c r="A1913" s="8"/>
    </row>
    <row r="1914">
      <c r="A1914" s="8"/>
    </row>
    <row r="1915">
      <c r="A1915" s="8"/>
    </row>
    <row r="1916">
      <c r="A1916" s="8"/>
    </row>
    <row r="1917">
      <c r="A1917" s="8"/>
    </row>
    <row r="1918">
      <c r="A1918" s="8"/>
    </row>
    <row r="1919">
      <c r="A1919" s="8"/>
    </row>
    <row r="1920">
      <c r="A1920" s="8"/>
    </row>
    <row r="1921">
      <c r="A1921" s="8"/>
    </row>
    <row r="1922">
      <c r="A1922" s="8"/>
    </row>
    <row r="1923">
      <c r="A1923" s="8"/>
    </row>
    <row r="1924">
      <c r="A1924" s="8"/>
    </row>
    <row r="1925">
      <c r="A1925" s="8"/>
    </row>
    <row r="1926">
      <c r="A1926" s="8"/>
    </row>
    <row r="1927">
      <c r="A1927" s="8"/>
    </row>
    <row r="1928">
      <c r="A1928" s="8"/>
    </row>
    <row r="1929">
      <c r="A1929" s="8"/>
    </row>
    <row r="1930">
      <c r="A1930" s="8"/>
    </row>
    <row r="1931">
      <c r="A1931" s="8"/>
    </row>
    <row r="1932">
      <c r="A1932" s="8"/>
    </row>
    <row r="1933">
      <c r="A1933" s="8"/>
    </row>
    <row r="1934">
      <c r="A1934" s="8"/>
    </row>
    <row r="1935">
      <c r="A1935" s="8"/>
    </row>
    <row r="1936">
      <c r="A1936" s="8"/>
    </row>
    <row r="1937">
      <c r="A1937" s="8"/>
    </row>
    <row r="1938">
      <c r="A1938" s="8"/>
    </row>
    <row r="1939">
      <c r="A1939" s="8"/>
    </row>
    <row r="1940">
      <c r="A1940" s="8"/>
    </row>
    <row r="1941">
      <c r="A1941" s="8"/>
    </row>
    <row r="1942">
      <c r="A1942" s="8"/>
    </row>
    <row r="1943">
      <c r="A1943" s="8"/>
    </row>
    <row r="1944">
      <c r="A1944" s="8"/>
    </row>
    <row r="1945">
      <c r="A1945" s="8"/>
    </row>
    <row r="1946">
      <c r="A1946" s="8"/>
    </row>
    <row r="1947">
      <c r="A1947" s="8"/>
    </row>
    <row r="1948">
      <c r="A1948" s="8"/>
    </row>
    <row r="1949">
      <c r="A1949" s="8"/>
    </row>
    <row r="1950">
      <c r="A1950" s="8"/>
    </row>
    <row r="1951">
      <c r="A1951" s="8"/>
    </row>
    <row r="1952">
      <c r="A1952" s="8"/>
    </row>
    <row r="1953">
      <c r="A1953" s="8"/>
    </row>
    <row r="1954">
      <c r="A1954" s="8"/>
    </row>
    <row r="1955">
      <c r="A1955" s="8"/>
    </row>
    <row r="1956">
      <c r="A1956" s="8"/>
    </row>
    <row r="1957">
      <c r="A1957" s="8"/>
    </row>
    <row r="1958">
      <c r="A1958" s="8"/>
    </row>
    <row r="1959">
      <c r="A1959" s="8"/>
    </row>
    <row r="1960">
      <c r="A1960" s="8"/>
    </row>
    <row r="1961">
      <c r="A1961" s="8"/>
    </row>
    <row r="1962">
      <c r="A1962" s="8"/>
    </row>
    <row r="1963">
      <c r="A1963" s="8"/>
    </row>
    <row r="1964">
      <c r="A1964" s="8"/>
    </row>
    <row r="1965">
      <c r="A1965" s="8"/>
    </row>
    <row r="1966">
      <c r="A1966" s="8"/>
    </row>
    <row r="1967">
      <c r="A1967" s="8"/>
    </row>
    <row r="1968">
      <c r="A1968" s="8"/>
    </row>
    <row r="1969">
      <c r="A1969" s="8"/>
    </row>
    <row r="1970">
      <c r="A1970" s="8"/>
    </row>
    <row r="1971">
      <c r="A1971" s="8"/>
    </row>
    <row r="1972">
      <c r="A1972" s="8"/>
    </row>
    <row r="1973">
      <c r="A1973" s="8"/>
    </row>
    <row r="1974">
      <c r="A1974" s="8"/>
    </row>
    <row r="1975">
      <c r="A1975" s="8"/>
    </row>
    <row r="1976">
      <c r="A1976" s="8"/>
    </row>
    <row r="1977">
      <c r="A1977" s="8"/>
    </row>
    <row r="1978">
      <c r="A1978" s="8"/>
    </row>
    <row r="1979">
      <c r="A1979" s="8"/>
    </row>
    <row r="1980">
      <c r="A1980" s="8"/>
    </row>
    <row r="1981">
      <c r="A1981" s="8"/>
    </row>
    <row r="1982">
      <c r="A1982" s="8"/>
    </row>
    <row r="1983">
      <c r="A1983" s="8"/>
    </row>
    <row r="1984">
      <c r="A1984" s="8"/>
    </row>
    <row r="1985">
      <c r="A1985" s="8"/>
    </row>
    <row r="1986">
      <c r="A1986" s="8"/>
    </row>
    <row r="1987">
      <c r="A1987" s="8"/>
    </row>
  </sheetData>
  <drawing r:id="rId1"/>
</worksheet>
</file>