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21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23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19.xml"/>
  <Override ContentType="application/vnd.openxmlformats-officedocument.spreadsheetml.comments+xml" PartName="/xl/comments2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20.xml"/>
  <Override ContentType="application/vnd.openxmlformats-officedocument.spreadsheetml.comments+xml" PartName="/xl/comments22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3.xml"/>
  <Override ContentType="application/vnd.openxmlformats-officedocument.spreadsheetml.comments+xml" PartName="/xl/comments18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0" sheetId="1" r:id="rId3"/>
    <sheet state="visible" name="36" sheetId="2" r:id="rId4"/>
    <sheet state="visible" name="35" sheetId="3" r:id="rId5"/>
    <sheet state="visible" name="34" sheetId="4" r:id="rId6"/>
    <sheet state="visible" name="33" sheetId="5" r:id="rId7"/>
    <sheet state="visible" name="32" sheetId="6" r:id="rId8"/>
    <sheet state="visible" name="31" sheetId="7" r:id="rId9"/>
    <sheet state="visible" name="30" sheetId="8" r:id="rId10"/>
    <sheet state="visible" name="29" sheetId="9" r:id="rId11"/>
    <sheet state="visible" name="28" sheetId="10" r:id="rId12"/>
    <sheet state="visible" name="27" sheetId="11" r:id="rId13"/>
    <sheet state="visible" name="26" sheetId="12" r:id="rId14"/>
    <sheet state="visible" name="25" sheetId="13" r:id="rId15"/>
    <sheet state="visible" name="24" sheetId="14" r:id="rId16"/>
    <sheet state="visible" name="23" sheetId="15" r:id="rId17"/>
    <sheet state="visible" name="22" sheetId="16" r:id="rId18"/>
    <sheet state="visible" name="21" sheetId="17" r:id="rId19"/>
    <sheet state="visible" name="12" sheetId="18" r:id="rId20"/>
    <sheet state="visible" name="11" sheetId="19" r:id="rId21"/>
    <sheet state="visible" name="10" sheetId="20" r:id="rId22"/>
    <sheet state="visible" name="9" sheetId="21" r:id="rId23"/>
    <sheet state="visible" name="8" sheetId="22" r:id="rId24"/>
    <sheet state="visible" name="7" sheetId="23" r:id="rId25"/>
    <sheet state="visible" name="6" sheetId="24" r:id="rId26"/>
    <sheet state="visible" name="5" sheetId="25" r:id="rId27"/>
    <sheet state="visible" name="4" sheetId="26" r:id="rId28"/>
    <sheet state="visible" name="3" sheetId="27" r:id="rId29"/>
    <sheet state="visible" name="2" sheetId="28" r:id="rId30"/>
    <sheet state="visible" name="1" sheetId="29" r:id="rId3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Greatest of the Greats (Ben)</t>
      </text>
    </comment>
    <comment authorId="0" ref="D2">
      <text>
        <t xml:space="preserve">Episode 2: It's Like a Survivor Economy (Natalie)</t>
      </text>
    </comment>
    <comment authorId="0" ref="E2">
      <text>
        <t xml:space="preserve">Episode 3: Out for Blood (Michele)</t>
      </text>
    </comment>
    <comment authorId="0" ref="F2">
      <text>
        <t xml:space="preserve">Episode 4: I Like Revenge (Sandra)</t>
      </text>
    </comment>
    <comment authorId="0" ref="G2">
      <text>
        <t xml:space="preserve">Episode 5: The Buddy System on Steroids (Sarah)</t>
      </text>
    </comment>
    <comment authorId="0" ref="H2">
      <text>
        <t xml:space="preserve">Episode 6: Quick on the Draw (Jeremy)</t>
      </text>
    </comment>
    <comment authorId="0" ref="I2">
      <text>
        <t xml:space="preserve">Episode 7: We're in the Majors (Rob)</t>
      </text>
    </comment>
    <comment authorId="0" ref="J2">
      <text>
        <t xml:space="preserve">Episode 8: This Is Where the Battle Begins (Ben)</t>
      </text>
    </comment>
    <comment authorId="0" ref="K2">
      <text>
        <t xml:space="preserve">Episode 9: War Is Not Pretty (Probst)</t>
      </text>
    </comment>
    <comment authorId="0" ref="L2">
      <text>
        <t xml:space="preserve">Episode 10: The Full Circle (Ben)</t>
      </text>
    </comment>
    <comment authorId="0" ref="M2">
      <text>
        <t xml:space="preserve">Episode 11: This Is Extortion (Tony)</t>
      </text>
    </comment>
    <comment authorId="0" ref="N2">
      <text>
        <t xml:space="preserve">Episode 12: Friendly Fire (Nick)</t>
      </text>
    </comment>
    <comment authorId="0" ref="O2">
      <text>
        <t xml:space="preserve">Episode 13: The Penultimate Step of the War Pt. 1 (Jeremy)</t>
      </text>
    </comment>
    <comment authorId="0" ref="P2">
      <text>
        <t xml:space="preserve">Episode 14: The Penultimate Step of the War Pt. 2 (Jeremy)</t>
      </text>
    </comment>
    <comment authorId="0" ref="Q2">
      <text>
        <t xml:space="preserve">Episode 15: It All Boils Down to This (Tony)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Hot Girl with a Grudge Pt. 1 (LJ)</t>
      </text>
    </comment>
    <comment authorId="0" ref="D2">
      <text>
        <t xml:space="preserve">Episode 2: Hot Girl with a Grudge Pt. 2 (LJ)</t>
      </text>
    </comment>
    <comment authorId="0" ref="E2">
      <text>
        <t xml:space="preserve">Episode 3: Cops-R-Us (Tony)</t>
      </text>
    </comment>
    <comment authorId="0" ref="F2">
      <text>
        <t xml:space="preserve">Episode 4: Our Time to Shine (Woo)</t>
      </text>
    </comment>
    <comment authorId="0" ref="G2">
      <text>
        <t xml:space="preserve">Episode 5: Odd One Out (Sarah)</t>
      </text>
    </comment>
    <comment authorId="0" ref="H2">
      <text>
        <t xml:space="preserve">Episode 6: We Found Our Zombies (Kass)</t>
      </text>
    </comment>
    <comment authorId="0" ref="I2">
      <text>
        <t xml:space="preserve">Episode 7: Head of the Snake (Tony)</t>
      </text>
    </comment>
    <comment authorId="0" ref="J2">
      <text>
        <t xml:space="preserve">Episode 8: Mad Treasure Hunt (Tony)</t>
      </text>
    </comment>
    <comment authorId="0" ref="K2">
      <text>
        <t xml:space="preserve">Episode 9: Bag of Tricks (Tony)</t>
      </text>
    </comment>
    <comment authorId="0" ref="L2">
      <text>
        <t xml:space="preserve">Episode 10: Sitting in My Spy Shack (Tony)</t>
      </text>
    </comment>
    <comment authorId="0" ref="M2">
      <text>
        <t xml:space="preserve">Episode 11: Chaos Is My Friend (Tony)</t>
      </text>
    </comment>
    <comment authorId="0" ref="N2">
      <text>
        <t xml:space="preserve">Episode 12: Havoc to Wreak (Tasha)</t>
      </text>
    </comment>
    <comment authorId="0" ref="O2">
      <text>
        <t xml:space="preserve">Episode 13: Straw That Broke the Camel's Back (Tony)</t>
      </text>
    </comment>
    <comment authorId="0" ref="P2">
      <text>
        <t xml:space="preserve">Episode 14: It's Do or Die (Spencer)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Blood Is Thicker Than Anything (Rupert)</t>
      </text>
    </comment>
    <comment authorId="0" ref="D2">
      <text>
        <t xml:space="preserve">Episode 2: Rule in Chaos (Colton)</t>
      </text>
    </comment>
    <comment authorId="0" ref="E2">
      <text>
        <t xml:space="preserve">Episode 3: Opening Pandora's Box (Hayden)</t>
      </text>
    </comment>
    <comment authorId="0" ref="F2">
      <text>
        <t xml:space="preserve">Episode 4: One Armed Dude and Three Moms (Hayden)</t>
      </text>
    </comment>
    <comment authorId="0" ref="G2">
      <text>
        <t xml:space="preserve">Episode 5: The Dead Can Still Talk (none)</t>
      </text>
    </comment>
    <comment authorId="0" ref="H2">
      <text>
        <t xml:space="preserve">Episode 6: One-Man Wrecking Ball (Tyson)</t>
      </text>
    </comment>
    <comment authorId="0" ref="I2">
      <text>
        <t xml:space="preserve">Episode 7: Swoop In For the Kill (Kat)</t>
      </text>
    </comment>
    <comment authorId="0" ref="J2">
      <text>
        <t xml:space="preserve">Episode 8: Skin of My Teeth (Vytas)</t>
      </text>
    </comment>
    <comment authorId="0" ref="K2">
      <text>
        <t xml:space="preserve">Episode 9: My Brother's Keeper (Vytas)</t>
      </text>
    </comment>
    <comment authorId="0" ref="L2">
      <text>
        <t xml:space="preserve">Episode 10: Big Bad Wolf (Tyson)</t>
      </text>
    </comment>
    <comment authorId="0" ref="M2">
      <text>
        <t xml:space="preserve">Episode 11: Gloves Come Off (Gervase)</t>
      </text>
    </comment>
    <comment authorId="0" ref="N2">
      <text>
        <t xml:space="preserve">Episode 12: Rustle Feathers (Katie)</t>
      </text>
    </comment>
    <comment authorId="0" ref="O2">
      <text>
        <t xml:space="preserve">Episode 13: Out On a Limb (Ciera)</t>
      </text>
    </comment>
    <comment authorId="0" ref="P2">
      <text>
        <t xml:space="preserve">Episode 14: It's My Night (Monica)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She Annoys Me Greatly (Phillip)</t>
      </text>
    </comment>
    <comment authorId="0" ref="D2">
      <text>
        <t xml:space="preserve">Episode 2: Honey Badger (Brandon)</t>
      </text>
    </comment>
    <comment authorId="0" ref="E2">
      <text>
        <t xml:space="preserve">Episode 3: There's Gonna Be Hell to Pay (Brandon)</t>
      </text>
    </comment>
    <comment authorId="0" ref="F2">
      <text>
        <t xml:space="preserve">Episode 4: Kill or Be Killed (Eddie)</t>
      </text>
    </comment>
    <comment authorId="0" ref="G2">
      <text>
        <t xml:space="preserve">Episode 5: Persona Non Grata (Phillip)</t>
      </text>
    </comment>
    <comment authorId="0" ref="H2">
      <text>
        <t xml:space="preserve">Episode 6: Operation Thunder Dome (Phillip)</t>
      </text>
    </comment>
    <comment authorId="0" ref="I2">
      <text>
        <t xml:space="preserve">Episode 7: Tubby Lunchbox (Corinne)</t>
      </text>
    </comment>
    <comment authorId="0" ref="J2">
      <text>
        <t xml:space="preserve">Episode 8: Blindside Time (Corinne)</t>
      </text>
    </comment>
    <comment authorId="0" ref="K2">
      <text>
        <t xml:space="preserve">Episode 9: Cut Off the Head of the Snake (Malcolm)</t>
      </text>
    </comment>
    <comment authorId="0" ref="L2">
      <text>
        <t xml:space="preserve">Episode 10: Zipping Over the Cuckoo's Nest (Cochran)</t>
      </text>
    </comment>
    <comment authorId="0" ref="M2">
      <text>
        <t xml:space="preserve">Episode 11: Come Over to the Dark Side (Malcolm)</t>
      </text>
    </comment>
    <comment authorId="0" ref="N2">
      <text>
        <t xml:space="preserve">Episode 12: The Beginning of the End (Cochran)</t>
      </text>
    </comment>
    <comment authorId="0" ref="O2">
      <text>
        <t xml:space="preserve">Episode 13: Don't Say Anything About My Mom (Cochran)</t>
      </text>
    </comment>
    <comment authorId="0" ref="P2">
      <text>
        <t xml:space="preserve">Episode 14: Last Push (none)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Survivor Smacked Me in the Chops (Russell)</t>
      </text>
    </comment>
    <comment authorId="0" ref="D2">
      <text>
        <t xml:space="preserve">Episode 2: Don't Be Blinded By the Headlights (Denise)</t>
      </text>
    </comment>
    <comment authorId="0" ref="E2">
      <text>
        <t xml:space="preserve">Episode 3: This Isn't a 'We' Game (Jeff)</t>
      </text>
    </comment>
    <comment authorId="0" ref="F2">
      <text>
        <t xml:space="preserve">Episode 4: Create a Little Chaos (Pete)</t>
      </text>
    </comment>
    <comment authorId="0" ref="G2">
      <text>
        <t xml:space="preserve">Episode 5: Got My Swag Back (Malcolm)</t>
      </text>
    </comment>
    <comment authorId="0" ref="H2">
      <text>
        <t xml:space="preserve">Episode 6: Down and Dirty (Jeff Probst)</t>
      </text>
    </comment>
    <comment authorId="0" ref="I2">
      <text>
        <t xml:space="preserve">Episode 7: Not the Only Actor on This Island (Lisa)</t>
      </text>
    </comment>
    <comment authorId="0" ref="J2">
      <text>
        <t xml:space="preserve">Episode 8: Dead Man Walking (Jeff)</t>
      </text>
    </comment>
    <comment authorId="0" ref="K2">
      <text>
        <t xml:space="preserve">Episode 9: Little Miss Perfect (Lisa)</t>
      </text>
    </comment>
    <comment authorId="0" ref="L2">
      <text>
        <t xml:space="preserve">Episode 10: Whiners Are Wieners (Denise)</t>
      </text>
    </comment>
    <comment authorId="0" ref="M2">
      <text>
        <t xml:space="preserve">Episode 11: Hell Hath Frozen Over (Malcolm)</t>
      </text>
    </comment>
    <comment authorId="0" ref="N2">
      <text>
        <t xml:space="preserve">Episode 12: Shot Into Smithereens (Lisa)</t>
      </text>
    </comment>
    <comment authorId="0" ref="O2">
      <text>
        <t xml:space="preserve">Episode 13: Gouge My Eyes Out (Denise)</t>
      </text>
    </comment>
    <comment authorId="0" ref="P2">
      <text>
        <t xml:space="preserve">Episode 14: Million Dollar Question (Michael)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Two Tribes, One Camp, No Rules (Jeff Probst)</t>
      </text>
    </comment>
    <comment authorId="0" ref="D2">
      <text>
        <t xml:space="preserve">Episode 2: Total Dysfunction (Jeff Probst)</t>
      </text>
    </comment>
    <comment authorId="0" ref="E2">
      <text>
        <t xml:space="preserve">Episode 3: One World Is Out the Window (Bill)</t>
      </text>
    </comment>
    <comment authorId="0" ref="F2">
      <text>
        <t xml:space="preserve">Episode 4: Bum-Puzzled (Jay)</t>
      </text>
    </comment>
    <comment authorId="0" ref="G2">
      <text>
        <t xml:space="preserve">Episode 5: A Bunch of Idiots (Colton)</t>
      </text>
    </comment>
    <comment authorId="0" ref="H2">
      <text>
        <t xml:space="preserve">Episode 6: Thanks For the Souvenir (Colton)</t>
      </text>
    </comment>
    <comment authorId="0" ref="I2">
      <text>
        <t xml:space="preserve">Episode 7: The Beauty in a Merge (Kim)</t>
      </text>
    </comment>
    <comment authorId="0" ref="J2">
      <text>
        <t xml:space="preserve">Episode 8: Just Annihilate Them (Kim)</t>
      </text>
    </comment>
    <comment authorId="0" ref="K2">
      <text>
        <t xml:space="preserve">Episode 9: Go Out With a Bang (Sabrina)</t>
      </text>
    </comment>
    <comment authorId="0" ref="L2">
      <text>
        <t xml:space="preserve">Episode 10: I'm No Dummy (Alicia)</t>
      </text>
    </comment>
    <comment authorId="0" ref="M2">
      <text>
        <t xml:space="preserve">Episode 11: Never Say Die (Troyzan)</t>
      </text>
    </comment>
    <comment authorId="0" ref="N2">
      <text>
        <t xml:space="preserve">Episode 12: It's Gonna Be Chaos (Kim)</t>
      </text>
    </comment>
    <comment authorId="0" ref="O2">
      <text>
        <t xml:space="preserve">Episode 13: It's Human Nature (Tarzan)</t>
      </text>
    </comment>
    <comment authorId="0" ref="P2">
      <text>
        <t xml:space="preserve">Episode 14: Perception Is Not Always Reality (Sabrina)</t>
      </text>
    </comment>
  </commentLi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I Need Redemption (Ozzy)</t>
      </text>
    </comment>
    <comment authorId="0" ref="D2">
      <text>
        <t xml:space="preserve">Episode 2: He Has Demons (Coach)</t>
      </text>
    </comment>
    <comment authorId="0" ref="E2">
      <text>
        <t xml:space="preserve">Episode 3: Reap What You Sow (Brandon)</t>
      </text>
    </comment>
    <comment authorId="0" ref="F2">
      <text>
        <t xml:space="preserve">Episode 4: Survivalism (Ozzy)</t>
      </text>
    </comment>
    <comment authorId="0" ref="G2">
      <text>
        <t xml:space="preserve">Episode 5: Taste the Victory (Coach)</t>
      </text>
    </comment>
    <comment authorId="0" ref="H2">
      <text>
        <t xml:space="preserve">Episode 6: Free Agent (Ozzy)</t>
      </text>
    </comment>
    <comment authorId="0" ref="I2">
      <text>
        <t xml:space="preserve">Episode 7: Trojan Horse (Cochran)</t>
      </text>
    </comment>
    <comment authorId="0" ref="J2">
      <text>
        <t xml:space="preserve">Episode 8: Double Agent (Cochran)</t>
      </text>
    </comment>
    <comment authorId="0" ref="K2">
      <text>
        <t xml:space="preserve">Episode 9: Cut Throat (Ozzy)</t>
      </text>
    </comment>
    <comment authorId="0" ref="L2">
      <text>
        <t xml:space="preserve">Episode 10: Running the Show (Whitney)</t>
      </text>
    </comment>
    <comment authorId="0" ref="M2">
      <text>
        <t xml:space="preserve">Episode 12: Cult Like (Cochran)</t>
      </text>
    </comment>
    <comment authorId="0" ref="N2">
      <text>
        <t xml:space="preserve">Episode 13: Ticking Time Bomb (Coach)</t>
      </text>
    </comment>
    <comment authorId="0" ref="O2">
      <text>
        <t xml:space="preserve">Episode 14: Then There Were Five (Coach)</t>
      </text>
    </comment>
    <comment authorId="0" ref="P2">
      <text>
        <t xml:space="preserve">Episode 15: Loyalties Will Be Broken (Coach)</t>
      </text>
    </comment>
  </commentLi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You're Looking at the New Leader of Our Tribe (Phillip)</t>
      </text>
    </comment>
    <comment authorId="0" ref="D2">
      <text>
        <t xml:space="preserve">Episode 2: You Own My Vote (Phillip)</t>
      </text>
    </comment>
    <comment authorId="0" ref="E2">
      <text>
        <t xml:space="preserve">Episode 3: Keep Hope Alive (Russell)</t>
      </text>
    </comment>
    <comment authorId="0" ref="F2">
      <text>
        <t xml:space="preserve">Episode 4: Don't You Work For Me? (Rob)</t>
      </text>
    </comment>
    <comment authorId="0" ref="G2">
      <text>
        <t xml:space="preserve">Episode 5: We Hate Our Tribe (Stephanie)</t>
      </text>
    </comment>
    <comment authorId="0" ref="H2">
      <text>
        <t xml:space="preserve">Episode 6: Their Red-Headed Stepchild (Phillip)</t>
      </text>
    </comment>
    <comment authorId="0" ref="I2">
      <text>
        <t xml:space="preserve">Episode 7: It Don't Take a Smart One (Ralph)</t>
      </text>
    </comment>
    <comment authorId="0" ref="J2">
      <text>
        <t xml:space="preserve">Episode 8: This Game Respects Big Moves (Matt)</t>
      </text>
    </comment>
    <comment authorId="0" ref="K2">
      <text>
        <t xml:space="preserve">Episode 9: The Buddy System (Rob)</t>
      </text>
    </comment>
    <comment authorId="0" ref="L2">
      <text>
        <t xml:space="preserve">Episode 10: Rice Wars (Grant and Rob)</t>
      </text>
    </comment>
    <comment authorId="0" ref="M2">
      <text>
        <t xml:space="preserve">Episode 11: A Mystery Package (Andrea)</t>
      </text>
    </comment>
    <comment authorId="0" ref="N2">
      <text>
        <t xml:space="preserve">Episode 12: You Mangled My Nets (Phillip)</t>
      </text>
    </comment>
    <comment authorId="0" ref="O2">
      <text>
        <t xml:space="preserve">Episode 13: Too Close For Comfort (Rob)</t>
      </text>
    </comment>
    <comment authorId="0" ref="P2">
      <text>
        <t xml:space="preserve">Episode 14: Seems Like a No Brainer (Rob)</t>
      </text>
    </comment>
  </commentList>
</comments>
</file>

<file path=xl/comments1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Young at Heart (Jimmy J.)</t>
      </text>
    </comment>
    <comment authorId="0" ref="D2">
      <text>
        <t xml:space="preserve">Episode 2: Fatigue Makes Cowards of Us All (Jimmy J.)</t>
      </text>
    </comment>
    <comment authorId="0" ref="E2">
      <text>
        <t xml:space="preserve">Episode 3: Glitter in Their Eyes (Marty)</t>
      </text>
    </comment>
    <comment authorId="0" ref="F2">
      <text>
        <t xml:space="preserve">Episode 4: Pulling the Trigger (Marty)</t>
      </text>
    </comment>
    <comment authorId="0" ref="G2">
      <text>
        <t xml:space="preserve">Episode 5: Turf Wars (Alina)</t>
      </text>
    </comment>
    <comment authorId="0" ref="H2">
      <text>
        <t xml:space="preserve">Episode 6: Worst Case Scenario (Brenda)</t>
      </text>
    </comment>
    <comment authorId="0" ref="I2">
      <text>
        <t xml:space="preserve">Episode 7: What Goes Around, Comes Around (Jane)</t>
      </text>
    </comment>
    <comment authorId="0" ref="J2">
      <text>
        <t xml:space="preserve">Episode 8: Company Will Be Arriving Soon (Alina)</t>
      </text>
    </comment>
    <comment authorId="0" ref="K2">
      <text>
        <t xml:space="preserve">Episode 9: Running the Camp (Brenda)</t>
      </text>
    </comment>
    <comment authorId="0" ref="L2">
      <text>
        <t xml:space="preserve">Episode 10: Stuck in the Middle (Chase)</t>
      </text>
    </comment>
    <comment authorId="0" ref="M2">
      <text>
        <t xml:space="preserve">Episode 12: You Started, You're Finishing (Holly)</t>
      </text>
    </comment>
    <comment authorId="0" ref="N2">
      <text>
        <t xml:space="preserve">Episode 13: Not Sure Where I Stand (Benry)</t>
      </text>
    </comment>
    <comment authorId="0" ref="O2">
      <text>
        <t xml:space="preserve">Episode 14: This Is Going to Hurt (Chase)</t>
      </text>
    </comment>
    <comment authorId="0" ref="P2">
      <text>
        <t xml:space="preserve">Episode 15: What About Me? (Dan)</t>
      </text>
    </comment>
  </commentList>
</comments>
</file>

<file path=xl/comments1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The First Exile</t>
      </text>
    </comment>
    <comment authorId="0" ref="D2">
      <text>
        <t xml:space="preserve">Episode 2: Breakdown</t>
      </text>
    </comment>
    <comment authorId="0" ref="E2">
      <text>
        <t xml:space="preserve">Episode 3: Crazy Fights, Snake Dinners</t>
      </text>
    </comment>
    <comment authorId="0" ref="F2">
      <text>
        <t xml:space="preserve">Episode 4: Starvation and Lunacy</t>
      </text>
    </comment>
    <comment authorId="0" ref="G2">
      <text>
        <t xml:space="preserve">Episode 5: For Cod's Sake</t>
      </text>
    </comment>
    <comment authorId="0" ref="H2">
      <text>
        <t xml:space="preserve">Episode 6: Salvation and Desertion</t>
      </text>
    </comment>
    <comment authorId="0" ref="I2">
      <text>
        <t xml:space="preserve">Episode 8: An Emerging Plan</t>
      </text>
    </comment>
    <comment authorId="0" ref="J2">
      <text>
        <t xml:space="preserve">Episode 9: The Power of the Idol</t>
      </text>
    </comment>
    <comment authorId="0" ref="K2">
      <text>
        <t xml:space="preserve">Episode 10: Fight For Your Life or Eat</t>
      </text>
    </comment>
    <comment authorId="0" ref="L2">
      <text>
        <t xml:space="preserve">Episode 11: Medical Emergency</t>
      </text>
    </comment>
    <comment authorId="0" ref="M2">
      <text>
        <t xml:space="preserve">Episode 12: Perilous Scramble</t>
      </text>
    </comment>
    <comment authorId="0" ref="N2">
      <text>
        <t xml:space="preserve">Episode 13: Bamboozled</t>
      </text>
    </comment>
    <comment authorId="0" ref="O2">
      <text>
        <t xml:space="preserve">Episode 14: Call the Whambulance!</t>
      </text>
    </comment>
    <comment authorId="0" ref="P2">
      <text>
        <t xml:space="preserve">Episode 15: The Final Showdown</t>
      </text>
    </comment>
  </commentList>
</comments>
</file>

<file path=xl/comments1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Big Trek, Big Trouble, Big Surprise</t>
      </text>
    </comment>
    <comment authorId="0" ref="D2">
      <text>
        <t xml:space="preserve">Episode 2: Man Down</t>
      </text>
    </comment>
    <comment authorId="0" ref="E2">
      <text>
        <t xml:space="preserve">Episode 3: Th Brave May Not Live Long, But the Cautious Don't Live at All</t>
      </text>
    </comment>
    <comment authorId="0" ref="F2">
      <text>
        <t xml:space="preserve">Episode 4: To Betray or Not to Betray</t>
      </text>
    </comment>
    <comment authorId="0" ref="G2">
      <text>
        <t xml:space="preserve">Episode 5: Crocs, Cowboys and City Slickers</t>
      </text>
    </comment>
    <comment authorId="0" ref="H2">
      <text>
        <t xml:space="preserve">Episode 6: Big Ball, Big Mouth, Big Trouble</t>
      </text>
    </comment>
    <comment authorId="0" ref="I2">
      <text>
        <t xml:space="preserve">Episode 7: Surprise Enemy Visit</t>
      </text>
    </comment>
    <comment authorId="0" ref="J2">
      <text>
        <t xml:space="preserve">Episode 8: The Hidden Immunity Idol</t>
      </text>
    </comment>
    <comment authorId="0" ref="K2">
      <text>
        <t xml:space="preserve">Episode 9: Secrets and Lies and an Idol Surprise</t>
      </text>
    </comment>
    <comment authorId="0" ref="L2">
      <text>
        <t xml:space="preserve">Episode 10: Eating and Sleeping With the Enemy</t>
      </text>
    </comment>
    <comment authorId="0" ref="M2">
      <text>
        <t xml:space="preserve">Episode 11: Everything Is Personal</t>
      </text>
    </comment>
    <comment authorId="0" ref="N2">
      <text>
        <t xml:space="preserve">Episode 12: Price For Immunity</t>
      </text>
    </comment>
    <comment authorId="0" ref="O2">
      <text>
        <t xml:space="preserve">Episode 13: Big Win, Big Decision, Big Mistake?</t>
      </text>
    </comment>
    <comment authorId="0" ref="P2">
      <text>
        <t xml:space="preserve">Episode 14: Thunder Storms and Sacrifice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Can You Reverse the Curse? Pt. 1 (Domenick)</t>
      </text>
    </comment>
    <comment authorId="0" ref="D2">
      <text>
        <t xml:space="preserve">Episode 2: Can You Reverse the Curse? Pt. 2 (Domenick)</t>
      </text>
    </comment>
    <comment authorId="0" ref="E2">
      <text>
        <t xml:space="preserve">Episode 3: Only Time Will Tell (Morgan)</t>
      </text>
    </comment>
    <comment authorId="0" ref="F2">
      <text>
        <t xml:space="preserve">Episode 4: Trust Your Gut (Kellyn)</t>
      </text>
    </comment>
    <comment authorId="0" ref="G2">
      <text>
        <t xml:space="preserve">Episode 5: A Diamond in the Rough (Chris)</t>
      </text>
    </comment>
    <comment authorId="0" ref="H2">
      <text>
        <t xml:space="preserve">Episode 6: Fate is the Homie (Desiree)</t>
      </text>
    </comment>
    <comment authorId="0" ref="I2">
      <text>
        <t xml:space="preserve">Episode 7: Gotta Risk It for the Biscuit (Kellyn)</t>
      </text>
    </comment>
    <comment authorId="0" ref="J2">
      <text>
        <t xml:space="preserve">Episode 8: Fear Keeps You Sharp (Domenick)</t>
      </text>
    </comment>
    <comment authorId="0" ref="K2">
      <text>
        <t xml:space="preserve">Episode 9: The Sea Slug Slugger (Sebastian)</t>
      </text>
    </comment>
    <comment authorId="0" ref="L2">
      <text>
        <t xml:space="preserve">Episode 10: It's Like the Perfect Crime (Probst)</t>
      </text>
    </comment>
    <comment authorId="0" ref="M2">
      <text>
        <t xml:space="preserve">Episode 11: The Finish Line Is in Sight (Domenick)</t>
      </text>
    </comment>
    <comment authorId="0" ref="N2">
      <text>
        <t xml:space="preserve">Episode 12: A Giant Game of Bumper Cars (Chelsea)</t>
      </text>
    </comment>
    <comment authorId="0" ref="O2">
      <text>
        <t xml:space="preserve">Episode 13: Always Be Moving (Domenick)</t>
      </text>
    </comment>
    <comment authorId="0" ref="P2">
      <text>
        <t xml:space="preserve">Episode 14: It Is Game Time Kids (Domenick)</t>
      </text>
    </comment>
  </commentList>
</comments>
</file>

<file path=xl/comments2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This Has Never Happened Before!</t>
      </text>
    </comment>
    <comment authorId="0" ref="D2">
      <text>
        <t xml:space="preserve">Episode 2: Love Is in the Air, Rats Are Everywhere</t>
      </text>
    </comment>
    <comment authorId="0" ref="E2">
      <text>
        <t xml:space="preserve">Episode 3: Dangerous Creatures and Horrible Setbacks</t>
      </text>
    </comment>
    <comment authorId="0" ref="F2">
      <text>
        <t xml:space="preserve">Episode 4: Sumo at Sea</t>
      </text>
    </comment>
    <comment authorId="0" ref="G2">
      <text>
        <t xml:space="preserve">Episode 5: The Best and Worst Reward Ever</t>
      </text>
    </comment>
    <comment authorId="0" ref="H2">
      <text>
        <t xml:space="preserve">Episode 6: Jellyfish 'n Fish</t>
      </text>
    </comment>
    <comment authorId="0" ref="I2">
      <text>
        <t xml:space="preserve">Episode 7: The Great White Shark Hunter</t>
      </text>
    </comment>
    <comment authorId="0" ref="J2">
      <text>
        <t xml:space="preserve">Episode 8: Neanderthal Man</t>
      </text>
    </comment>
    <comment authorId="0" ref="K2">
      <text>
        <t xml:space="preserve">Episode 9: I Will Not Give Up</t>
      </text>
    </comment>
    <comment authorId="0" ref="L2">
      <text>
        <t xml:space="preserve">Episode 10: Exile Island</t>
      </text>
    </comment>
    <comment authorId="0" ref="M2">
      <text>
        <t xml:space="preserve">Episode 11: I'll Show You How Threatening I Am</t>
      </text>
    </comment>
    <comment authorId="0" ref="N2">
      <text>
        <t xml:space="preserve">Episode 12: We'll Make You Pay</t>
      </text>
    </comment>
    <comment authorId="0" ref="O2">
      <text>
        <t xml:space="preserve">Episode 13: It Could All Backfire</t>
      </text>
    </comment>
    <comment authorId="0" ref="P2">
      <text>
        <t xml:space="preserve">Episode 14: The Ultimate Shock</t>
      </text>
    </comment>
  </commentList>
</comments>
</file>

<file path=xl/comments2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They Came at Us With Spears!</t>
      </text>
    </comment>
    <comment authorId="0" ref="D2">
      <text>
        <t xml:space="preserve">Episode 2: Burly Girls, Bowheads, Young Studs, and the Old Bunch</t>
      </text>
    </comment>
    <comment authorId="0" ref="E2">
      <text>
        <t xml:space="preserve">Episode 3: Double Tribal, Double Trouble</t>
      </text>
    </comment>
    <comment authorId="0" ref="F2">
      <text>
        <t xml:space="preserve">Episode 4: Now That's a Reward!</t>
      </text>
    </comment>
    <comment authorId="0" ref="G2">
      <text>
        <t xml:space="preserve">Episode 5: Earthquakes and Shake-Ups!</t>
      </text>
    </comment>
    <comment authorId="0" ref="H2">
      <text>
        <t xml:space="preserve">Episode 6: Hog Tied</t>
      </text>
    </comment>
    <comment authorId="0" ref="I2">
      <text>
        <t xml:space="preserve">Episode 7: Anger, Threats, Tears... and Coffee</t>
      </text>
    </comment>
    <comment authorId="0" ref="J2">
      <text>
        <t xml:space="preserve">Episode 8: Now the Battle Really Begins</t>
      </text>
    </comment>
    <comment authorId="0" ref="K2">
      <text>
        <t xml:space="preserve">Episode 9: Gender Wars... It's Getting Ugly</t>
      </text>
    </comment>
    <comment authorId="0" ref="L2">
      <text>
        <t xml:space="preserve">Episode 10: Culture Shock and Violent Storms</t>
      </text>
    </comment>
    <comment authorId="0" ref="M2">
      <text>
        <t xml:space="preserve">Episode 11: Surprise and... Surprise Again!</t>
      </text>
    </comment>
    <comment authorId="0" ref="N2">
      <text>
        <t xml:space="preserve">Episode 12: Now Who's in Charge Here?!</t>
      </text>
    </comment>
    <comment authorId="0" ref="O2">
      <text>
        <t xml:space="preserve">Episode 13: Eruption of Volcanic Magnitude</t>
      </text>
    </comment>
    <comment authorId="0" ref="P2">
      <text>
        <t xml:space="preserve">Episode 14: Spirits and the Final Four</t>
      </text>
    </comment>
  </commentList>
</comments>
</file>

<file path=xl/comments2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They're Back!</t>
      </text>
    </comment>
    <comment authorId="0" ref="D2">
      <text>
        <t xml:space="preserve">Episode 2: Panicked, Desperate, Thirsty as Hell</t>
      </text>
    </comment>
    <comment authorId="0" ref="E2">
      <text>
        <t xml:space="preserve">Episode 3: Shark Attack</t>
      </text>
    </comment>
    <comment authorId="0" ref="F2">
      <text>
        <t xml:space="preserve">Episode 4: Wipe Out!</t>
      </text>
    </comment>
    <comment authorId="0" ref="G2">
      <text>
        <t xml:space="preserve">Episode 5: I've Been Bamboozled!</t>
      </text>
    </comment>
    <comment authorId="0" ref="H2">
      <text>
        <t xml:space="preserve">Episode 6: Outraged</t>
      </text>
    </comment>
    <comment authorId="0" ref="I2">
      <text>
        <t xml:space="preserve">Episode 7: Sorry... I Blew It</t>
      </text>
    </comment>
    <comment authorId="0" ref="J2">
      <text>
        <t xml:space="preserve">Episode 8: Pick a Tribemate</t>
      </text>
    </comment>
    <comment authorId="0" ref="K2">
      <text>
        <t xml:space="preserve">Episode 10: Mad Scramble and Broken Hearts</t>
      </text>
    </comment>
    <comment authorId="0" ref="L2">
      <text>
        <t xml:space="preserve">Episode 11: Anger, Tears and Chaos</t>
      </text>
    </comment>
    <comment authorId="0" ref="M2">
      <text>
        <t xml:space="preserve">Episode 12: A Thoughtful Gesture or a Deceptive Plan</t>
      </text>
    </comment>
    <comment authorId="0" ref="N2">
      <text>
        <t xml:space="preserve">Episode 13: Stupid People, Stupid, Stupid People</t>
      </text>
    </comment>
    <comment authorId="0" ref="O2">
      <text>
        <t xml:space="preserve">Episode 14: A Chapera Surprise</t>
      </text>
    </comment>
    <comment authorId="0" ref="P2">
      <text>
        <t xml:space="preserve">Episode 15: The Instigator</t>
      </text>
    </comment>
    <comment authorId="0" ref="Q2">
      <text>
        <t xml:space="preserve">Episode 16: The Sole Surviving All-Star</t>
      </text>
    </comment>
  </commentList>
</comments>
</file>

<file path=xl/comments2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Beg, Barter, Steal</t>
      </text>
    </comment>
    <comment authorId="0" ref="D2">
      <text>
        <t xml:space="preserve">Episode 2: To Quit or Not to Quit</t>
      </text>
    </comment>
    <comment authorId="0" ref="E2">
      <text>
        <t xml:space="preserve">Episode 3: United We Stand, Divided We...?</t>
      </text>
    </comment>
    <comment authorId="0" ref="F2">
      <text>
        <t xml:space="preserve">Episode 4: Pick a Castaway... Any Castaway</t>
      </text>
    </comment>
    <comment authorId="0" ref="G2">
      <text>
        <t xml:space="preserve">Episode 5: Everyone's Hero</t>
      </text>
    </comment>
    <comment authorId="0" ref="H2">
      <text>
        <t xml:space="preserve">Episode 6: Me and My Snake</t>
      </text>
    </comment>
    <comment authorId="0" ref="I2">
      <text>
        <t xml:space="preserve">Episode 7: What the...? (Part 1)</t>
      </text>
    </comment>
    <comment authorId="0" ref="J2">
      <text>
        <t xml:space="preserve">Episode 8: What the...? (Part 2)</t>
      </text>
    </comment>
    <comment authorId="0" ref="K2">
      <text>
        <t xml:space="preserve">Episode 9: Shocking! Simply Shocking!</t>
      </text>
    </comment>
    <comment authorId="0" ref="L2">
      <text>
        <t xml:space="preserve">Episode 10: Swimming With Sharks</t>
      </text>
    </comment>
    <comment authorId="0" ref="M2">
      <text>
        <t xml:space="preserve">Episode 11: The Great Lie</t>
      </text>
    </comment>
    <comment authorId="0" ref="N2">
      <text>
        <t xml:space="preserve">Episode 12: Would You Be My Brutus Today?</t>
      </text>
    </comment>
    <comment authorId="0" ref="O2">
      <text>
        <t xml:space="preserve">Episode 13: Mutiny</t>
      </text>
    </comment>
    <comment authorId="0" ref="P2">
      <text>
        <t xml:space="preserve">Episode 14: Flames and Endurance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I'm Not Crazy, I'm Confident (Alan)</t>
      </text>
    </comment>
    <comment authorId="0" ref="D2">
      <text>
        <t xml:space="preserve">Episode 2: I'm a Wild Banshee (Patrick)</t>
      </text>
    </comment>
    <comment authorId="0" ref="E2">
      <text>
        <t xml:space="preserve">Episode 3: My Kisses Are Very Private (Jessica)</t>
      </text>
    </comment>
    <comment authorId="0" ref="F2">
      <text>
        <t xml:space="preserve">Episode 4: I Don't Like Having Snakes Around (Devon)</t>
      </text>
    </comment>
    <comment authorId="0" ref="G2">
      <text>
        <t xml:space="preserve">Episode 5: The Past Will Eat You Alive (Ben)</t>
      </text>
    </comment>
    <comment authorId="0" ref="H2">
      <text>
        <t xml:space="preserve">Episode 6: This Is Why You Play Survivor (Joe)</t>
      </text>
    </comment>
    <comment authorId="0" ref="I2">
      <text>
        <t xml:space="preserve">Episode 7: Get to Gettin' (Ben)</t>
      </text>
    </comment>
    <comment authorId="0" ref="J2">
      <text>
        <t xml:space="preserve">Episode 8: Playing with the Devil (Joe)</t>
      </text>
    </comment>
    <comment authorId="0" ref="K2">
      <text>
        <t xml:space="preserve">Episode 9: Fear of the Unknown (Ben)</t>
      </text>
    </comment>
    <comment authorId="0" ref="L2">
      <text>
        <t xml:space="preserve">Episode 10: Buy One, Get One Free Pt. 1 (Ryan)</t>
      </text>
    </comment>
    <comment authorId="0" ref="M2">
      <text>
        <t xml:space="preserve">Episode 11: Buy One, Get One Free Pt. 2 (Ryan)</t>
      </text>
    </comment>
    <comment authorId="0" ref="N2">
      <text>
        <t xml:space="preserve">Episode 12: Not Going to Roll Over and Die (Chrissy)</t>
      </text>
    </comment>
    <comment authorId="0" ref="O2">
      <text>
        <t xml:space="preserve">Episode 13: The Survivor Devil (Devon)</t>
      </text>
    </comment>
    <comment authorId="0" ref="P2">
      <text>
        <t xml:space="preserve">Episode 14: Million Dollar Night (Ben)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The Stakes Have Been Raised Pt. 1 (Andrea)</t>
      </text>
    </comment>
    <comment authorId="0" ref="D2">
      <text>
        <t xml:space="preserve">Episode 2: The Stakes Have Been Raised Pt. 2 (Andrea)</t>
      </text>
    </comment>
    <comment authorId="0" ref="E2">
      <text>
        <t xml:space="preserve">Episode 3: Survivor Jackpot (Malcolm)</t>
      </text>
    </comment>
    <comment authorId="0" ref="F2">
      <text>
        <t xml:space="preserve">Episode 4: The Tables Have Turned (Hali)</t>
      </text>
    </comment>
    <comment authorId="0" ref="G2">
      <text>
        <t xml:space="preserve">Episode 5: Dirty Deed (Sandra)</t>
      </text>
    </comment>
    <comment authorId="0" ref="H2">
      <text>
        <t xml:space="preserve">Episode 6: Vote Early, Vote Often (Debbie)</t>
      </text>
    </comment>
    <comment authorId="0" ref="I2">
      <text>
        <t xml:space="preserve">Episode 7: What Happened on Exile, Stays on Exile (Debbie)</t>
      </text>
    </comment>
    <comment authorId="0" ref="J2">
      <text>
        <t xml:space="preserve">Episode 8: There's a New Sheriff in Town Pt. 1 (Sierra)</t>
      </text>
    </comment>
    <comment authorId="0" ref="K2">
      <text>
        <t xml:space="preserve">Episode 9: There's a New Sheriff in Town Pt. 2 (Sierra)</t>
      </text>
    </comment>
    <comment authorId="0" ref="L2">
      <text>
        <t xml:space="preserve">Episode 10: A Line Drawn in Concrete (Debbie)</t>
      </text>
    </comment>
    <comment authorId="0" ref="M2">
      <text>
        <t xml:space="preserve">Episode 11: Reinventing How This Game Is Played (Zeke)</t>
      </text>
    </comment>
    <comment authorId="0" ref="N2">
      <text>
        <t xml:space="preserve">Episode 12: It Is Not a High Without a Low ()</t>
      </text>
    </comment>
    <comment authorId="0" ref="O2">
      <text>
        <t xml:space="preserve">Episode 13: Parting Is Such Sweet Sorrow (Brad)</t>
      </text>
    </comment>
    <comment authorId="0" ref="P2">
      <text>
        <t xml:space="preserve">Episode 14: No Good Deed Goes Unpunished (Cirie)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May the Best Generation Win (Will)</t>
      </text>
    </comment>
    <comment authorId="0" ref="D2">
      <text>
        <t xml:space="preserve">Episode 2: Love Goggles (Taylor)</t>
      </text>
    </comment>
    <comment authorId="0" ref="E2">
      <text>
        <t xml:space="preserve">Episode 3: Your Job Is Recon (Michaela)</t>
      </text>
    </comment>
    <comment authorId="0" ref="F2">
      <text>
        <t xml:space="preserve">Episode 4: Who's the Sucker at the Table? (Chris)</t>
      </text>
    </comment>
    <comment authorId="0" ref="G2">
      <text>
        <t xml:space="preserve">Episode 5: Idol Search Party (CeCe)</t>
      </text>
    </comment>
    <comment authorId="0" ref="H2">
      <text>
        <t xml:space="preserve">Episode 6: The Truth Works Well (Michelle)</t>
      </text>
    </comment>
    <comment authorId="0" ref="I2">
      <text>
        <t xml:space="preserve">Episode 7: I Will Destroy You (Taylor)</t>
      </text>
    </comment>
    <comment authorId="0" ref="J2">
      <text>
        <t xml:space="preserve">Episode 8: I'm the Kingpin (Jay)</t>
      </text>
    </comment>
    <comment authorId="0" ref="K2">
      <text>
        <t xml:space="preserve">Episode 9: Still Throwin' Punches (Jay)</t>
      </text>
    </comment>
    <comment authorId="0" ref="L2">
      <text>
        <t xml:space="preserve">Episode 10: Million Dollar Gamble Pt. 1 (Jay)</t>
      </text>
    </comment>
    <comment authorId="0" ref="M2">
      <text>
        <t xml:space="preserve">Episode 11: Million Dollar Gamble Pt. 2 (Jay)</t>
      </text>
    </comment>
    <comment authorId="0" ref="N2">
      <text>
        <t xml:space="preserve">Episode 12: About to Have a Rumble (Will)</t>
      </text>
    </comment>
    <comment authorId="0" ref="O2">
      <text>
        <t xml:space="preserve">Episode 13: Slayed the Survivor Dragon (-)</t>
      </text>
    </comment>
    <comment authorId="0" ref="P2">
      <text>
        <t xml:space="preserve">Episode 14: I'm Going for a Million Bucks (Jay)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I'm a Mental Giant (Alecia)</t>
      </text>
    </comment>
    <comment authorId="0" ref="D2">
      <text>
        <t xml:space="preserve">Episode 2: Kindergarten Camp (Joe)</t>
      </text>
    </comment>
    <comment authorId="0" ref="E2">
      <text>
        <t xml:space="preserve">Episode 3: The Circle of Life (Tai)</t>
      </text>
    </comment>
    <comment authorId="0" ref="F2">
      <text>
        <t xml:space="preserve">Episode 4: Signed, Sealed and Delivered (Jason)</t>
      </text>
    </comment>
    <comment authorId="0" ref="G2">
      <text>
        <t xml:space="preserve">Episode 5: The Devils We Know (Aubry)</t>
      </text>
    </comment>
    <comment authorId="0" ref="H2">
      <text>
        <t xml:space="preserve">Episode 6: Play or Go Home (Nick)</t>
      </text>
    </comment>
    <comment authorId="0" ref="I2">
      <text>
        <t xml:space="preserve">Episode 7: It's Merge Time (Jason)</t>
      </text>
    </comment>
    <comment authorId="0" ref="J2">
      <text>
        <t xml:space="preserve">Episode 8: The Jocks vs. The Pretty People (Aubry)</t>
      </text>
    </comment>
    <comment authorId="0" ref="K2">
      <text>
        <t xml:space="preserve">Episode 9: It's Psychological Warfare (Jason)</t>
      </text>
    </comment>
    <comment authorId="0" ref="L2">
      <text>
        <t xml:space="preserve">Episode 10: I'm Not Here to Make Good Friends (Tai)</t>
      </text>
    </comment>
    <comment authorId="0" ref="M2">
      <text>
        <t xml:space="preserve">Episode 11: It's a 'Me' Game, Not a 'We' Game (Cydney)</t>
      </text>
    </comment>
    <comment authorId="0" ref="N2">
      <text>
        <t xml:space="preserve">Episode 12: Now's the Time to Start Scheming (Jason)</t>
      </text>
    </comment>
    <comment authorId="0" ref="O2">
      <text>
        <t xml:space="preserve">Episode 13: With Me or Not With Me (Tai)</t>
      </text>
    </comment>
    <comment authorId="0" ref="P2">
      <text>
        <t xml:space="preserve">Episode 14: Not Going Down Without a Fight (Aubry)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Second Chance (Jeff Probst)</t>
      </text>
    </comment>
    <comment authorId="0" ref="D2">
      <text>
        <t xml:space="preserve">Episode 2: Survivor MacGyver (Stephen)</t>
      </text>
    </comment>
    <comment authorId="0" ref="E2">
      <text>
        <t xml:space="preserve">Episode 3: We Got a Rat (Tasha)</t>
      </text>
    </comment>
    <comment authorId="0" ref="F2">
      <text>
        <t xml:space="preserve">Episode 4: What's the Beef? (Tasha)</t>
      </text>
    </comment>
    <comment authorId="0" ref="G2">
      <text>
        <t xml:space="preserve">Episode 5: A Snake In the Grass (Kimmi)</t>
      </text>
    </comment>
    <comment authorId="0" ref="H2">
      <text>
        <t xml:space="preserve">Episode 6: Bunking with the Devil (Spencer)</t>
      </text>
    </comment>
    <comment authorId="0" ref="I2">
      <text>
        <t xml:space="preserve">Episode 7: Play to Win (Ciera)</t>
      </text>
    </comment>
    <comment authorId="0" ref="J2">
      <text>
        <t xml:space="preserve">Episode 8: You Call, We'll Haul (Keith)</t>
      </text>
    </comment>
    <comment authorId="0" ref="K2">
      <text>
        <t xml:space="preserve">Episode 9: Witches Coven (Kimmi)</t>
      </text>
    </comment>
    <comment authorId="0" ref="L2">
      <text>
        <t xml:space="preserve">Episode 10: Like Selling Your Soul to the Devil (Spencer)</t>
      </text>
    </comment>
    <comment authorId="0" ref="M2">
      <text>
        <t xml:space="preserve">Episode 11: My Wheels Are Spinning (Kelley)</t>
      </text>
    </comment>
    <comment authorId="0" ref="N2">
      <text>
        <t xml:space="preserve">Episode 12: Tiny Little Shanks to the Heart (Spencer)</t>
      </text>
    </comment>
    <comment authorId="0" ref="O2">
      <text>
        <t xml:space="preserve">Episode 13: Villains Have More Fun (Abi-Maria)</t>
      </text>
    </comment>
    <comment authorId="0" ref="P2">
      <text>
        <t xml:space="preserve">Episode 14: Lie, Cheat and Steal (Keith)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It's Survivor Warfare (Carolyn)</t>
      </text>
    </comment>
    <comment authorId="0" ref="D2">
      <text>
        <t xml:space="preserve">Episode 2: It Will Be My Revenge (Nina)</t>
      </text>
    </comment>
    <comment authorId="0" ref="E2">
      <text>
        <t xml:space="preserve">Episode 3: Crazy Is as Crazy Does (Tyler)</t>
      </text>
    </comment>
    <comment authorId="0" ref="F2">
      <text>
        <t xml:space="preserve">Episode 4: Winner Winner, Chicken Dinner (Jenn)</t>
      </text>
    </comment>
    <comment authorId="0" ref="G2">
      <text>
        <t xml:space="preserve">Episode 5: We're Finally Playing Some Survivor (Max)</t>
      </text>
    </comment>
    <comment authorId="0" ref="H2">
      <text>
        <t xml:space="preserve">Episode 6: Odd Woman Out (Joaquin)</t>
      </text>
    </comment>
    <comment authorId="0" ref="I2">
      <text>
        <t xml:space="preserve">Episode 7: The Line Will Be Drawn Tonight (Carolyn)</t>
      </text>
    </comment>
    <comment authorId="0" ref="J2">
      <text>
        <t xml:space="preserve">Episode 8: Keep It Real (Rodney)</t>
      </text>
    </comment>
    <comment authorId="0" ref="K2">
      <text>
        <t xml:space="preserve">Episode 9: Livin' on the Edge (Joe)</t>
      </text>
    </comment>
    <comment authorId="0" ref="L2">
      <text>
        <t xml:space="preserve">Episode 10: Bring the Popcorn (Will)</t>
      </text>
    </comment>
    <comment authorId="0" ref="M2">
      <text>
        <t xml:space="preserve">Episode 11: Survivor Russian Roulette (Jeff Probst)</t>
      </text>
    </comment>
    <comment authorId="0" ref="N2">
      <text>
        <t xml:space="preserve">Episode 12: Holding On for Dear Life (Jeff Probst)</t>
      </text>
    </comment>
    <comment authorId="0" ref="O2">
      <text>
        <t xml:space="preserve">Episode 13: My Word Is My Bond (Dan)</t>
      </text>
    </comment>
    <comment authorId="0" ref="P2">
      <text>
        <t xml:space="preserve">Episode 14: It's a Fickle, Fickle Game (Mike)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Suck It Up and Survive (Josh)</t>
      </text>
    </comment>
    <comment authorId="0" ref="D2">
      <text>
        <t xml:space="preserve">Episode 2: Method to This Madness (Josh)</t>
      </text>
    </comment>
    <comment authorId="0" ref="E2">
      <text>
        <t xml:space="preserve">Episode 3: Actions vs. Accusations (John)</t>
      </text>
    </comment>
    <comment authorId="0" ref="F2">
      <text>
        <t xml:space="preserve">Episode 4: We're a Hot Mess (Natalie)</t>
      </text>
    </comment>
    <comment authorId="0" ref="G2">
      <text>
        <t xml:space="preserve">Episode 5: Blood Is Blood (Missy)</t>
      </text>
    </comment>
    <comment authorId="0" ref="H2">
      <text>
        <t xml:space="preserve">Episode 6: Make Some Magic Happen (Jeremy)</t>
      </text>
    </comment>
    <comment authorId="0" ref="I2">
      <text>
        <t xml:space="preserve">Episode 7: Million Dollar Decision (Jaclyn)</t>
      </text>
    </comment>
    <comment authorId="0" ref="J2">
      <text>
        <t xml:space="preserve">Episode 8: Wrinkle in the Plan (Missy)</t>
      </text>
    </comment>
    <comment authorId="0" ref="K2">
      <text>
        <t xml:space="preserve">Episode 9: Gettin' to Crunch Time (Keith)</t>
      </text>
    </comment>
    <comment authorId="0" ref="L2">
      <text>
        <t xml:space="preserve">Episode 10: This Is Where We Build Trust (Jon)</t>
      </text>
    </comment>
    <comment authorId="0" ref="M2">
      <text>
        <t xml:space="preserve">Episode 11: Kind of Like Cream Cheese (Alec)</t>
      </text>
    </comment>
    <comment authorId="0" ref="N2">
      <text>
        <t xml:space="preserve">Episode 12: Still Holdin' On (Alec)</t>
      </text>
    </comment>
    <comment authorId="0" ref="O2">
      <text>
        <t xml:space="preserve">Episode 13: Let's Make a Move (Baylor)</t>
      </text>
    </comment>
    <comment authorId="0" ref="P2">
      <text>
        <t xml:space="preserve">Episode 14: This Is My Time (Missy)</t>
      </text>
    </comment>
  </commentList>
</comments>
</file>

<file path=xl/sharedStrings.xml><?xml version="1.0" encoding="utf-8"?>
<sst xmlns="http://schemas.openxmlformats.org/spreadsheetml/2006/main" count="1280" uniqueCount="521">
  <si>
    <t>Survivor Season 40: Winners at War - Confessionals Per Episode</t>
  </si>
  <si>
    <t>Castaway</t>
  </si>
  <si>
    <t>Ep. 1</t>
  </si>
  <si>
    <t>Ep. 2</t>
  </si>
  <si>
    <t>Ep. 3</t>
  </si>
  <si>
    <t>Ep. 4</t>
  </si>
  <si>
    <t>Ep. 5</t>
  </si>
  <si>
    <t>Ep. 6</t>
  </si>
  <si>
    <t>Ep. 7</t>
  </si>
  <si>
    <t>Ep. 8</t>
  </si>
  <si>
    <t>Ep. 9</t>
  </si>
  <si>
    <t>Ep. 10</t>
  </si>
  <si>
    <t>Ep. 11</t>
  </si>
  <si>
    <t>Ep. 12</t>
  </si>
  <si>
    <t>Ep. 13</t>
  </si>
  <si>
    <t>Ep. 14</t>
  </si>
  <si>
    <t>Ep. 15</t>
  </si>
  <si>
    <t>Total</t>
  </si>
  <si>
    <t>Average</t>
  </si>
  <si>
    <t>Percentage</t>
  </si>
  <si>
    <t>Tony</t>
  </si>
  <si>
    <t>Natalie</t>
  </si>
  <si>
    <t>Michele</t>
  </si>
  <si>
    <t>Sarah</t>
  </si>
  <si>
    <t>Ben</t>
  </si>
  <si>
    <t>Denise</t>
  </si>
  <si>
    <t>Nick</t>
  </si>
  <si>
    <t>Jeremy</t>
  </si>
  <si>
    <t>Kim</t>
  </si>
  <si>
    <t>Sophie</t>
  </si>
  <si>
    <t>Tyson</t>
  </si>
  <si>
    <t>Adam</t>
  </si>
  <si>
    <t>Wendell</t>
  </si>
  <si>
    <t>Yul</t>
  </si>
  <si>
    <t>Sandra</t>
  </si>
  <si>
    <t>Parvati</t>
  </si>
  <si>
    <t>Rob</t>
  </si>
  <si>
    <t>Ethan</t>
  </si>
  <si>
    <t>Danni</t>
  </si>
  <si>
    <t>Amber</t>
  </si>
  <si>
    <t>Total Per Ep.</t>
  </si>
  <si>
    <t>Transcript</t>
  </si>
  <si>
    <t>Link</t>
  </si>
  <si>
    <t>Dakal</t>
  </si>
  <si>
    <t>Sele</t>
  </si>
  <si>
    <t>Yara</t>
  </si>
  <si>
    <t>Koru</t>
  </si>
  <si>
    <t>Edge of Extinction</t>
  </si>
  <si>
    <t>Survivor Season 36: Ghost Island - Confessionals Per Episode</t>
  </si>
  <si>
    <t>Domenick</t>
  </si>
  <si>
    <t>Laurel</t>
  </si>
  <si>
    <t>Angela</t>
  </si>
  <si>
    <t>Donathan</t>
  </si>
  <si>
    <t>Sebastian</t>
  </si>
  <si>
    <t>Kellyn</t>
  </si>
  <si>
    <t>Chelsea</t>
  </si>
  <si>
    <t>Michael</t>
  </si>
  <si>
    <t>Jenna</t>
  </si>
  <si>
    <t>Desiree</t>
  </si>
  <si>
    <t>Libby</t>
  </si>
  <si>
    <t>Chris</t>
  </si>
  <si>
    <t>Bradley</t>
  </si>
  <si>
    <t>James</t>
  </si>
  <si>
    <t>Stephanie</t>
  </si>
  <si>
    <t>Brendan</t>
  </si>
  <si>
    <t>Morgan</t>
  </si>
  <si>
    <t>Jacob</t>
  </si>
  <si>
    <t>Gonzalez</t>
  </si>
  <si>
    <t>Malolo</t>
  </si>
  <si>
    <t>Naviti</t>
  </si>
  <si>
    <t>Yanuya</t>
  </si>
  <si>
    <t>Lavita</t>
  </si>
  <si>
    <t>Survivor Season 35: Heroes vs. Healers vs. Hustlers - Confessionals Per Episode</t>
  </si>
  <si>
    <t>Chrissy</t>
  </si>
  <si>
    <t>Ryan</t>
  </si>
  <si>
    <t>Devon</t>
  </si>
  <si>
    <t>Mike</t>
  </si>
  <si>
    <t>Ashley</t>
  </si>
  <si>
    <t>Lauren</t>
  </si>
  <si>
    <t>Joe</t>
  </si>
  <si>
    <t>JP</t>
  </si>
  <si>
    <t>Cole</t>
  </si>
  <si>
    <t>Desi</t>
  </si>
  <si>
    <t>Jessica</t>
  </si>
  <si>
    <t>Ali</t>
  </si>
  <si>
    <t>Roark</t>
  </si>
  <si>
    <t>Alan</t>
  </si>
  <si>
    <t>Patrick</t>
  </si>
  <si>
    <t>Simone</t>
  </si>
  <si>
    <t>Katrina</t>
  </si>
  <si>
    <t>Levu</t>
  </si>
  <si>
    <t>Soko</t>
  </si>
  <si>
    <t>Yawa</t>
  </si>
  <si>
    <t>Solewa</t>
  </si>
  <si>
    <t>Survivor Season 34: Game Changers - Mamanuca Islands - Confessionals Per Episode</t>
  </si>
  <si>
    <t>Brad</t>
  </si>
  <si>
    <t>Troyzan</t>
  </si>
  <si>
    <t>Tai</t>
  </si>
  <si>
    <t>Aubry</t>
  </si>
  <si>
    <t>Cirie</t>
  </si>
  <si>
    <t>Michaela</t>
  </si>
  <si>
    <t>Andrea</t>
  </si>
  <si>
    <t>Sierra</t>
  </si>
  <si>
    <t>Zeke</t>
  </si>
  <si>
    <t>Debbie</t>
  </si>
  <si>
    <t>Ozzy</t>
  </si>
  <si>
    <t>Hali</t>
  </si>
  <si>
    <t>Jeff</t>
  </si>
  <si>
    <t>J.T.</t>
  </si>
  <si>
    <t>Malcolm</t>
  </si>
  <si>
    <t>Caleb</t>
  </si>
  <si>
    <t>Ciera</t>
  </si>
  <si>
    <t>Mana</t>
  </si>
  <si>
    <t>Nuku</t>
  </si>
  <si>
    <t>Tavua</t>
  </si>
  <si>
    <t>Exile Island</t>
  </si>
  <si>
    <t>Maku Maku</t>
  </si>
  <si>
    <t>Survivor Season 33: Millennials vs. Gen X - Confessionals Per Episode</t>
  </si>
  <si>
    <t>Hannah</t>
  </si>
  <si>
    <t>Ken</t>
  </si>
  <si>
    <t>David</t>
  </si>
  <si>
    <t>Bret</t>
  </si>
  <si>
    <t>Jay</t>
  </si>
  <si>
    <t>Sunday</t>
  </si>
  <si>
    <t>Will</t>
  </si>
  <si>
    <t>Taylor</t>
  </si>
  <si>
    <t>Michelle</t>
  </si>
  <si>
    <t>Figgy</t>
  </si>
  <si>
    <t>CeCe</t>
  </si>
  <si>
    <t>Lucy</t>
  </si>
  <si>
    <t>Paul</t>
  </si>
  <si>
    <t>Mari</t>
  </si>
  <si>
    <t>Rachel</t>
  </si>
  <si>
    <t>Takali</t>
  </si>
  <si>
    <t>Vanua</t>
  </si>
  <si>
    <t>Ika Bula</t>
  </si>
  <si>
    <t>Vinaka</t>
  </si>
  <si>
    <t>Survivor Season 32: Kaôh Rōng - Confessionals Per Episode</t>
  </si>
  <si>
    <t>Cydney</t>
  </si>
  <si>
    <t>Jason</t>
  </si>
  <si>
    <t>Julia</t>
  </si>
  <si>
    <t>Scot</t>
  </si>
  <si>
    <t>Neal</t>
  </si>
  <si>
    <t>Peter</t>
  </si>
  <si>
    <t>Anna</t>
  </si>
  <si>
    <t>Alecia</t>
  </si>
  <si>
    <t>Liz</t>
  </si>
  <si>
    <t>Jennifer</t>
  </si>
  <si>
    <t>Darnell</t>
  </si>
  <si>
    <t>To Tang</t>
  </si>
  <si>
    <t>Chan Loh</t>
  </si>
  <si>
    <t>Gondol</t>
  </si>
  <si>
    <t>Dara</t>
  </si>
  <si>
    <t>Survivor Season 31: Cambodia - Confessionals Per Episode</t>
  </si>
  <si>
    <t>Spencer</t>
  </si>
  <si>
    <t>Tasha</t>
  </si>
  <si>
    <t>Kelley</t>
  </si>
  <si>
    <t>Keith</t>
  </si>
  <si>
    <t>Kimmi</t>
  </si>
  <si>
    <t>Abi-Maria</t>
  </si>
  <si>
    <t>Stephen</t>
  </si>
  <si>
    <t>Kelly</t>
  </si>
  <si>
    <t>Andrew</t>
  </si>
  <si>
    <t>Kass</t>
  </si>
  <si>
    <t>Woo</t>
  </si>
  <si>
    <t>Terry</t>
  </si>
  <si>
    <t>Monica</t>
  </si>
  <si>
    <t>Peih-Gee</t>
  </si>
  <si>
    <t>Shirin</t>
  </si>
  <si>
    <t>Vytas</t>
  </si>
  <si>
    <t>Bayon</t>
  </si>
  <si>
    <t>Ta Keo</t>
  </si>
  <si>
    <t>Angkor</t>
  </si>
  <si>
    <t>Orkun</t>
  </si>
  <si>
    <t>Survivor Season 30: Worlds Apart - Confessionals Per Episode</t>
  </si>
  <si>
    <t>Carolyn</t>
  </si>
  <si>
    <t>Rodney</t>
  </si>
  <si>
    <t>Dan</t>
  </si>
  <si>
    <t>Tyler</t>
  </si>
  <si>
    <t>Jenn</t>
  </si>
  <si>
    <t>Joaquin</t>
  </si>
  <si>
    <t>Max</t>
  </si>
  <si>
    <t>Lindsey</t>
  </si>
  <si>
    <t>Nina</t>
  </si>
  <si>
    <t>Vince</t>
  </si>
  <si>
    <t>So</t>
  </si>
  <si>
    <t>Masaya</t>
  </si>
  <si>
    <t>Nagarote</t>
  </si>
  <si>
    <t>Escameca</t>
  </si>
  <si>
    <t>Merica</t>
  </si>
  <si>
    <t>Survivor Season 29: San Juan del Sur - Confessionals Per Episode</t>
  </si>
  <si>
    <t>Jaclyn</t>
  </si>
  <si>
    <t>Missy</t>
  </si>
  <si>
    <t>Baylor</t>
  </si>
  <si>
    <t>Jon</t>
  </si>
  <si>
    <t>Alec</t>
  </si>
  <si>
    <t>Reed</t>
  </si>
  <si>
    <t>Wes</t>
  </si>
  <si>
    <t>Josh</t>
  </si>
  <si>
    <t>Julie</t>
  </si>
  <si>
    <t>Dale</t>
  </si>
  <si>
    <t>Drew</t>
  </si>
  <si>
    <t>John</t>
  </si>
  <si>
    <t>Val</t>
  </si>
  <si>
    <t>Nadiya</t>
  </si>
  <si>
    <t>Coyopa</t>
  </si>
  <si>
    <t>Hunahpu</t>
  </si>
  <si>
    <t>Huyopa</t>
  </si>
  <si>
    <t>Survivor Season 28: Cagayan - Confessionals Per Episode</t>
  </si>
  <si>
    <t>Trish</t>
  </si>
  <si>
    <t>Jefra</t>
  </si>
  <si>
    <t>Jeremiah</t>
  </si>
  <si>
    <t>LJ</t>
  </si>
  <si>
    <t>Alexis</t>
  </si>
  <si>
    <t>Cliff</t>
  </si>
  <si>
    <t>J'Tia</t>
  </si>
  <si>
    <t>Brice</t>
  </si>
  <si>
    <t>Garrett</t>
  </si>
  <si>
    <t>Luzon</t>
  </si>
  <si>
    <t>Solana</t>
  </si>
  <si>
    <t>Aparri</t>
  </si>
  <si>
    <t>Solarrion</t>
  </si>
  <si>
    <t>Survivor Season 27: Blood vs. Water - Confessionals Per Episode</t>
  </si>
  <si>
    <t>Gervase</t>
  </si>
  <si>
    <t>Tina</t>
  </si>
  <si>
    <t>Laura M.</t>
  </si>
  <si>
    <t>Hayden</t>
  </si>
  <si>
    <t>Katie</t>
  </si>
  <si>
    <t>Aras</t>
  </si>
  <si>
    <t>Laura B.</t>
  </si>
  <si>
    <t>Kat</t>
  </si>
  <si>
    <t>Candice</t>
  </si>
  <si>
    <t>Marissa</t>
  </si>
  <si>
    <t>Colton</t>
  </si>
  <si>
    <t>Rupert</t>
  </si>
  <si>
    <t>Galang</t>
  </si>
  <si>
    <t>Tadhana</t>
  </si>
  <si>
    <t>Kasama</t>
  </si>
  <si>
    <t>Redemption Island</t>
  </si>
  <si>
    <t>Survivor Season 26: Caramoan - Confessionals Per Episode</t>
  </si>
  <si>
    <t>Cochran</t>
  </si>
  <si>
    <t>Dawn</t>
  </si>
  <si>
    <t>Sherri</t>
  </si>
  <si>
    <t>Eddie</t>
  </si>
  <si>
    <t>Erik</t>
  </si>
  <si>
    <t>Brenda</t>
  </si>
  <si>
    <t>Reynold</t>
  </si>
  <si>
    <t>Phillip</t>
  </si>
  <si>
    <t>Corinne</t>
  </si>
  <si>
    <t>Matt</t>
  </si>
  <si>
    <t>Brandon</t>
  </si>
  <si>
    <t>Laura</t>
  </si>
  <si>
    <t>Shamar</t>
  </si>
  <si>
    <t>Hope</t>
  </si>
  <si>
    <t>Allie</t>
  </si>
  <si>
    <t>Francesca</t>
  </si>
  <si>
    <t>Bikal</t>
  </si>
  <si>
    <t>Gota</t>
  </si>
  <si>
    <t>Enil Edam</t>
  </si>
  <si>
    <t>Survivor Season 25: Philippines - Confessionals Per Episode</t>
  </si>
  <si>
    <t>Lisa</t>
  </si>
  <si>
    <t>Carter</t>
  </si>
  <si>
    <t>Jonathan</t>
  </si>
  <si>
    <t>Pete</t>
  </si>
  <si>
    <t>Artis</t>
  </si>
  <si>
    <t>RC</t>
  </si>
  <si>
    <t>Dawson</t>
  </si>
  <si>
    <t>Dana</t>
  </si>
  <si>
    <t>Russell</t>
  </si>
  <si>
    <t>Angie</t>
  </si>
  <si>
    <t>Roxy</t>
  </si>
  <si>
    <t>Zane</t>
  </si>
  <si>
    <t>Matsing</t>
  </si>
  <si>
    <t>Kalabaw</t>
  </si>
  <si>
    <t>Tandang</t>
  </si>
  <si>
    <t>Dangrayne</t>
  </si>
  <si>
    <t>Survivor Season 24: One World - Confessionals Per Episode</t>
  </si>
  <si>
    <t>Sabrina</t>
  </si>
  <si>
    <t>Christina</t>
  </si>
  <si>
    <t>Alicia</t>
  </si>
  <si>
    <t>Tarzan</t>
  </si>
  <si>
    <t>Leif</t>
  </si>
  <si>
    <t>Jonas</t>
  </si>
  <si>
    <t>Bill</t>
  </si>
  <si>
    <t>Kourtney</t>
  </si>
  <si>
    <t>Salani</t>
  </si>
  <si>
    <t>Manono</t>
  </si>
  <si>
    <t>Tikiano</t>
  </si>
  <si>
    <t>Survivor Season 23: South Pacific - Confessionals Per Episode</t>
  </si>
  <si>
    <t>Coach</t>
  </si>
  <si>
    <t>Albert</t>
  </si>
  <si>
    <t>Rick</t>
  </si>
  <si>
    <t>Edna</t>
  </si>
  <si>
    <t>Whitney</t>
  </si>
  <si>
    <t>Jim</t>
  </si>
  <si>
    <t>Christine</t>
  </si>
  <si>
    <t>Mikayla</t>
  </si>
  <si>
    <t>Elyse</t>
  </si>
  <si>
    <t>Stacey</t>
  </si>
  <si>
    <t>Mark</t>
  </si>
  <si>
    <t>Semhar</t>
  </si>
  <si>
    <t>Savaii</t>
  </si>
  <si>
    <t>Upolu</t>
  </si>
  <si>
    <t>Te Tuna</t>
  </si>
  <si>
    <t>Survivor Season 22: Redemption Island - Confessionals Per Episode</t>
  </si>
  <si>
    <t>Grant</t>
  </si>
  <si>
    <t>Ralph</t>
  </si>
  <si>
    <t>Steve</t>
  </si>
  <si>
    <t>Sarita</t>
  </si>
  <si>
    <t>Krista</t>
  </si>
  <si>
    <t>Kristina</t>
  </si>
  <si>
    <t>Ometepe</t>
  </si>
  <si>
    <t>Zapatera</t>
  </si>
  <si>
    <t>Murlonio</t>
  </si>
  <si>
    <t>Survivor Season 21: Nicaragua - Confessionals Per Episode</t>
  </si>
  <si>
    <t>Fabio</t>
  </si>
  <si>
    <t>Chase</t>
  </si>
  <si>
    <t>Sash</t>
  </si>
  <si>
    <t>Holly</t>
  </si>
  <si>
    <t>Jane</t>
  </si>
  <si>
    <t>Benry</t>
  </si>
  <si>
    <t>Kelly S.</t>
  </si>
  <si>
    <t>NaOnka</t>
  </si>
  <si>
    <t>Marty</t>
  </si>
  <si>
    <t>Alina</t>
  </si>
  <si>
    <t>Jill</t>
  </si>
  <si>
    <t>Yve</t>
  </si>
  <si>
    <t>Kelly B.</t>
  </si>
  <si>
    <t>Tyrone</t>
  </si>
  <si>
    <t>Jimmy T.</t>
  </si>
  <si>
    <t>Jimmy J.</t>
  </si>
  <si>
    <t>Shannon</t>
  </si>
  <si>
    <t>Wendy</t>
  </si>
  <si>
    <t>Espada</t>
  </si>
  <si>
    <t>La Flor</t>
  </si>
  <si>
    <t>Libertad</t>
  </si>
  <si>
    <t>Survivor Season 12: Panama - Confessionals Per Episode</t>
  </si>
  <si>
    <t>Danielle</t>
  </si>
  <si>
    <t>Shane</t>
  </si>
  <si>
    <t>Courtney</t>
  </si>
  <si>
    <t>Bruce</t>
  </si>
  <si>
    <t>Sally</t>
  </si>
  <si>
    <t>Austin</t>
  </si>
  <si>
    <t>Bobby</t>
  </si>
  <si>
    <t>Ruth-Marie</t>
  </si>
  <si>
    <t>Misty</t>
  </si>
  <si>
    <t>Melinda</t>
  </si>
  <si>
    <t>Bayoneta</t>
  </si>
  <si>
    <t>Viveros</t>
  </si>
  <si>
    <t>Casaya</t>
  </si>
  <si>
    <t>La Mina</t>
  </si>
  <si>
    <t>Gitanos</t>
  </si>
  <si>
    <t>Survivor Season 11: Guatemala - Confessionals Per Episode</t>
  </si>
  <si>
    <t>Stephenie</t>
  </si>
  <si>
    <t>Rafe</t>
  </si>
  <si>
    <t>Lydia</t>
  </si>
  <si>
    <t>Cindy</t>
  </si>
  <si>
    <t>Judd</t>
  </si>
  <si>
    <t>Gary</t>
  </si>
  <si>
    <t>Jamie</t>
  </si>
  <si>
    <t>Bobby Jon</t>
  </si>
  <si>
    <t>Amy</t>
  </si>
  <si>
    <t>Brian</t>
  </si>
  <si>
    <t>Margaret</t>
  </si>
  <si>
    <t>Blake</t>
  </si>
  <si>
    <t>Brooke</t>
  </si>
  <si>
    <t>Brianna</t>
  </si>
  <si>
    <t>Nakúm</t>
  </si>
  <si>
    <t>Yaxhá</t>
  </si>
  <si>
    <t>Xhakúm</t>
  </si>
  <si>
    <t>Survivor Season 10: Palau - Confessionals Per Episode</t>
  </si>
  <si>
    <t>Tom</t>
  </si>
  <si>
    <t>Ian</t>
  </si>
  <si>
    <t>Caryn</t>
  </si>
  <si>
    <t>Gregg</t>
  </si>
  <si>
    <t>Janu</t>
  </si>
  <si>
    <t>Coby</t>
  </si>
  <si>
    <t>Ibrehem</t>
  </si>
  <si>
    <t>Willard</t>
  </si>
  <si>
    <t>Ashlee</t>
  </si>
  <si>
    <t>Jolanda</t>
  </si>
  <si>
    <t>Wanda</t>
  </si>
  <si>
    <t>Ulong</t>
  </si>
  <si>
    <t>Koror</t>
  </si>
  <si>
    <t>None</t>
  </si>
  <si>
    <t>Survivor Season 09: Vanuatu - Confessionals Per Episode</t>
  </si>
  <si>
    <t>Twila</t>
  </si>
  <si>
    <t>Scout</t>
  </si>
  <si>
    <t>Eliza</t>
  </si>
  <si>
    <t>Ami</t>
  </si>
  <si>
    <t>Leann</t>
  </si>
  <si>
    <t>Chad</t>
  </si>
  <si>
    <t>Lea</t>
  </si>
  <si>
    <t>Rory</t>
  </si>
  <si>
    <t>John K.</t>
  </si>
  <si>
    <t>Travis</t>
  </si>
  <si>
    <t>Brady</t>
  </si>
  <si>
    <t>Mia</t>
  </si>
  <si>
    <t>John P.</t>
  </si>
  <si>
    <t>Dolly</t>
  </si>
  <si>
    <t>Brook</t>
  </si>
  <si>
    <t>Lopevi</t>
  </si>
  <si>
    <t>Yasur</t>
  </si>
  <si>
    <t>Alinta</t>
  </si>
  <si>
    <t>Survivor Season 08: All-Stars - Confessionals Per Episode</t>
  </si>
  <si>
    <t>Ep. 16</t>
  </si>
  <si>
    <t>Rob M.</t>
  </si>
  <si>
    <t>Jenna L.</t>
  </si>
  <si>
    <t>Shii Ann</t>
  </si>
  <si>
    <t>Kathy</t>
  </si>
  <si>
    <t>Lex</t>
  </si>
  <si>
    <t>Jerri</t>
  </si>
  <si>
    <t>Colby</t>
  </si>
  <si>
    <t>Sue</t>
  </si>
  <si>
    <t>Richard</t>
  </si>
  <si>
    <t>Rob C.</t>
  </si>
  <si>
    <t>Jenna M.</t>
  </si>
  <si>
    <t>Rudy</t>
  </si>
  <si>
    <t>Saboga</t>
  </si>
  <si>
    <t>Mogo Mogo</t>
  </si>
  <si>
    <t>Chapera</t>
  </si>
  <si>
    <t>Chaboga Mogo</t>
  </si>
  <si>
    <t>Survivor Season 07: Pearl Islands - Confessionals Per Episode</t>
  </si>
  <si>
    <t>Lillian</t>
  </si>
  <si>
    <t>-</t>
  </si>
  <si>
    <t>Darrah</t>
  </si>
  <si>
    <t>Burton</t>
  </si>
  <si>
    <t>Christa</t>
  </si>
  <si>
    <t>Tijuana</t>
  </si>
  <si>
    <t>Ryan O.</t>
  </si>
  <si>
    <t>Osten</t>
  </si>
  <si>
    <t>Shawn</t>
  </si>
  <si>
    <t>Ryan S.</t>
  </si>
  <si>
    <t>Nicole</t>
  </si>
  <si>
    <t>Drake</t>
  </si>
  <si>
    <t>The Outcasts</t>
  </si>
  <si>
    <t>Balboa</t>
  </si>
  <si>
    <t>Survivor Season 06: The Amazon - Confessionals Per Episode</t>
  </si>
  <si>
    <t>Matthew</t>
  </si>
  <si>
    <t>Butch</t>
  </si>
  <si>
    <t>Heidi</t>
  </si>
  <si>
    <t>Christy</t>
  </si>
  <si>
    <t>Alex</t>
  </si>
  <si>
    <t>Deena</t>
  </si>
  <si>
    <t>Dave</t>
  </si>
  <si>
    <t>Roger</t>
  </si>
  <si>
    <t>Shawna</t>
  </si>
  <si>
    <t>Jeanne</t>
  </si>
  <si>
    <t>Joanna</t>
  </si>
  <si>
    <t>Daniel</t>
  </si>
  <si>
    <t>Janet</t>
  </si>
  <si>
    <t>Tambaqui</t>
  </si>
  <si>
    <t>Jaburu</t>
  </si>
  <si>
    <t>Jacaré</t>
  </si>
  <si>
    <t>Survivor Season 05: Thailand - Confessionals Per Episode</t>
  </si>
  <si>
    <t>Clay</t>
  </si>
  <si>
    <t>Jan</t>
  </si>
  <si>
    <t>Helen</t>
  </si>
  <si>
    <t>Ted</t>
  </si>
  <si>
    <t>Jake</t>
  </si>
  <si>
    <t>Penny</t>
  </si>
  <si>
    <t>Erin</t>
  </si>
  <si>
    <t>Robb</t>
  </si>
  <si>
    <t>Ghandia</t>
  </si>
  <si>
    <t>Jed</t>
  </si>
  <si>
    <t>Tanya</t>
  </si>
  <si>
    <t>Chuay Gahn</t>
  </si>
  <si>
    <t>Sook Jai</t>
  </si>
  <si>
    <t>Chuay Jai</t>
  </si>
  <si>
    <t>Survivor Season 04: Marquesas - Confessionals Per Episode</t>
  </si>
  <si>
    <t>Vecepia</t>
  </si>
  <si>
    <t>Neleh</t>
  </si>
  <si>
    <t>Paschal</t>
  </si>
  <si>
    <t>Sean</t>
  </si>
  <si>
    <t>Robert</t>
  </si>
  <si>
    <t>Tammy</t>
  </si>
  <si>
    <t>Zoe</t>
  </si>
  <si>
    <t>Gina</t>
  </si>
  <si>
    <t>Gabriel</t>
  </si>
  <si>
    <t>Hunter</t>
  </si>
  <si>
    <t>Patricia</t>
  </si>
  <si>
    <t>Maraamu</t>
  </si>
  <si>
    <t>Rotu</t>
  </si>
  <si>
    <t>Soliantu</t>
  </si>
  <si>
    <t>Survivor Season 03: Africa - Confessionals Per Episode</t>
  </si>
  <si>
    <t>Kim J.</t>
  </si>
  <si>
    <t>Teresa</t>
  </si>
  <si>
    <t>Kim P.</t>
  </si>
  <si>
    <t>Frank</t>
  </si>
  <si>
    <t>Clarence</t>
  </si>
  <si>
    <t>Silas</t>
  </si>
  <si>
    <t>Linda</t>
  </si>
  <si>
    <t>Carl</t>
  </si>
  <si>
    <t>Jessie</t>
  </si>
  <si>
    <t>Diane</t>
  </si>
  <si>
    <t>Boran</t>
  </si>
  <si>
    <t>Samburu</t>
  </si>
  <si>
    <t>Moto Maji</t>
  </si>
  <si>
    <t>Survivor Season 02: The Australian Outback - Confessionals Per Episode</t>
  </si>
  <si>
    <t>Elisabeth</t>
  </si>
  <si>
    <t>Rodger</t>
  </si>
  <si>
    <t>Mitchell</t>
  </si>
  <si>
    <t>Maralyn</t>
  </si>
  <si>
    <t>Kel</t>
  </si>
  <si>
    <t>Debb</t>
  </si>
  <si>
    <t>Kucha</t>
  </si>
  <si>
    <t>Ogakor</t>
  </si>
  <si>
    <t>Barramundi</t>
  </si>
  <si>
    <t>Survivor Season 01: Borneo - Confessionals Per Episode</t>
  </si>
  <si>
    <t>Susan</t>
  </si>
  <si>
    <t>Colleen</t>
  </si>
  <si>
    <t>Greg</t>
  </si>
  <si>
    <t>Gretchen</t>
  </si>
  <si>
    <t>Joel</t>
  </si>
  <si>
    <t>Dirk</t>
  </si>
  <si>
    <t>Ramona</t>
  </si>
  <si>
    <t>B.B.</t>
  </si>
  <si>
    <t>Sonja</t>
  </si>
  <si>
    <t>Tagi</t>
  </si>
  <si>
    <t>Pagong</t>
  </si>
  <si>
    <t>Rattana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</si>
</sst>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</font>
    <font/>
    <font>
      <name val="Arial"/>
    </font>
    <font>
      <color rgb="FFFFFFFF"/>
      <name val="Arial"/>
    </font>
    <font>
      <color rgb="FF000000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color rgb="FFFFFFFF"/>
    </font>
    <font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1.0"/>
    </font>
    <font>
      <sz val="11.0"/>
      <color rgb="FFFFFFFF"/>
    </font>
    <font>
      <sz val="10.0"/>
      <color rgb="FFFFFFFF"/>
      <name val="Arial"/>
    </font>
  </fonts>
  <fills count="65">
    <fill>
      <patternFill patternType="none"/>
    </fill>
    <fill>
      <patternFill patternType="lightGray"/>
    </fill>
    <fill>
      <patternFill patternType="solid">
        <fgColor rgb="FFEC5656"/>
        <bgColor rgb="FFEC5656"/>
      </patternFill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B7B7B7"/>
        <bgColor rgb="FFB7B7B7"/>
      </patternFill>
    </fill>
    <fill>
      <patternFill patternType="solid">
        <fgColor rgb="FF27EB27"/>
        <bgColor rgb="FF27EB27"/>
      </patternFill>
    </fill>
    <fill>
      <patternFill patternType="solid">
        <fgColor rgb="FF434343"/>
        <bgColor rgb="FF434343"/>
      </patternFill>
    </fill>
    <fill>
      <patternFill patternType="solid">
        <fgColor rgb="FFC53BFF"/>
        <bgColor rgb="FFC53BFF"/>
      </patternFill>
    </fill>
    <fill>
      <patternFill patternType="solid">
        <fgColor rgb="FF45FF24"/>
        <bgColor rgb="FF45FF24"/>
      </patternFill>
    </fill>
    <fill>
      <patternFill patternType="solid">
        <fgColor rgb="FFFF9900"/>
        <bgColor rgb="FFFF9900"/>
      </patternFill>
    </fill>
    <fill>
      <patternFill patternType="solid">
        <fgColor rgb="FFFF9C22"/>
        <bgColor rgb="FFFF9C22"/>
      </patternFill>
    </fill>
    <fill>
      <patternFill patternType="solid">
        <fgColor rgb="FF999999"/>
        <bgColor rgb="FF999999"/>
      </patternFill>
    </fill>
    <fill>
      <patternFill patternType="solid">
        <fgColor rgb="FF1F69FF"/>
        <bgColor rgb="FF1F69FF"/>
      </patternFill>
    </fill>
    <fill>
      <patternFill patternType="solid">
        <fgColor rgb="FFFF1515"/>
        <bgColor rgb="FFFF1515"/>
      </patternFill>
    </fill>
    <fill>
      <patternFill patternType="solid">
        <fgColor rgb="FF9F19F4"/>
        <bgColor rgb="FF9F19F4"/>
      </patternFill>
    </fill>
    <fill>
      <patternFill patternType="solid">
        <fgColor rgb="FFFFE717"/>
        <bgColor rgb="FFFFE717"/>
      </patternFill>
    </fill>
    <fill>
      <patternFill patternType="solid">
        <fgColor rgb="FF366CC3"/>
        <bgColor rgb="FF366CC3"/>
      </patternFill>
    </fill>
    <fill>
      <patternFill patternType="solid">
        <fgColor rgb="FF2EC11C"/>
        <bgColor rgb="FF2EC11C"/>
      </patternFill>
    </fill>
    <fill>
      <patternFill patternType="solid">
        <fgColor rgb="FFEAE81A"/>
        <bgColor rgb="FFEAE81A"/>
      </patternFill>
    </fill>
    <fill>
      <patternFill patternType="solid">
        <fgColor rgb="FFDB320B"/>
        <bgColor rgb="FFDB320B"/>
      </patternFill>
    </fill>
    <fill>
      <patternFill patternType="solid">
        <fgColor rgb="FFCCCCCC"/>
        <bgColor rgb="FFCCCCCC"/>
      </patternFill>
    </fill>
    <fill>
      <patternFill patternType="solid">
        <fgColor rgb="FFF2621D"/>
        <bgColor rgb="FFF2621D"/>
      </patternFill>
    </fill>
    <fill>
      <patternFill patternType="solid">
        <fgColor rgb="FF7A4ADB"/>
        <bgColor rgb="FF7A4ADB"/>
      </patternFill>
    </fill>
    <fill>
      <patternFill patternType="solid">
        <fgColor rgb="FF6BCE2E"/>
        <bgColor rgb="FF6BCE2E"/>
      </patternFill>
    </fill>
    <fill>
      <patternFill patternType="solid">
        <fgColor rgb="FFFFCA02"/>
        <bgColor rgb="FFFFCA02"/>
      </patternFill>
    </fill>
    <fill>
      <patternFill patternType="solid">
        <fgColor rgb="FF4070FD"/>
        <bgColor rgb="FF4070FD"/>
      </patternFill>
    </fill>
    <fill>
      <patternFill patternType="solid">
        <fgColor rgb="FFFF2804"/>
        <bgColor rgb="FFFF2804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F7423"/>
        <bgColor rgb="FFFF7423"/>
      </patternFill>
    </fill>
    <fill>
      <patternFill patternType="solid">
        <fgColor rgb="FF77C49C"/>
        <bgColor rgb="FF77C49C"/>
      </patternFill>
    </fill>
    <fill>
      <patternFill patternType="solid">
        <fgColor rgb="FFF1C232"/>
        <bgColor rgb="FFF1C232"/>
      </patternFill>
    </fill>
    <fill>
      <patternFill patternType="solid">
        <fgColor rgb="FF3C78D8"/>
        <bgColor rgb="FF3C78D8"/>
      </patternFill>
    </fill>
    <fill>
      <patternFill patternType="solid">
        <fgColor rgb="FFFFEC09"/>
        <bgColor rgb="FFFFEC09"/>
      </patternFill>
    </fill>
    <fill>
      <patternFill patternType="solid">
        <fgColor rgb="FFFF0000"/>
        <bgColor rgb="FFFF0000"/>
      </patternFill>
    </fill>
    <fill>
      <patternFill patternType="solid">
        <fgColor rgb="FF12DEFF"/>
        <bgColor rgb="FF12DEFF"/>
      </patternFill>
    </fill>
    <fill>
      <patternFill patternType="solid">
        <fgColor rgb="FF34CCA2"/>
        <bgColor rgb="FF34CCA2"/>
      </patternFill>
    </fill>
    <fill>
      <patternFill patternType="solid">
        <fgColor rgb="FF9900FF"/>
        <bgColor rgb="FF9900FF"/>
      </patternFill>
    </fill>
    <fill>
      <patternFill patternType="solid">
        <fgColor rgb="FF3ABA3B"/>
        <bgColor rgb="FF3ABA3B"/>
      </patternFill>
    </fill>
    <fill>
      <patternFill patternType="solid">
        <fgColor rgb="FFF1D725"/>
        <bgColor rgb="FFF1D725"/>
      </patternFill>
    </fill>
    <fill>
      <patternFill patternType="solid">
        <fgColor rgb="FFCC0000"/>
        <bgColor rgb="FFCC0000"/>
      </patternFill>
    </fill>
    <fill>
      <patternFill patternType="solid">
        <fgColor rgb="FF674EA7"/>
        <bgColor rgb="FF674EA7"/>
      </patternFill>
    </fill>
    <fill>
      <patternFill patternType="solid">
        <fgColor rgb="FF8B39AD"/>
        <bgColor rgb="FF8B39AD"/>
      </patternFill>
    </fill>
    <fill>
      <patternFill patternType="solid">
        <fgColor rgb="FF48DC0B"/>
        <bgColor rgb="FF48DC0B"/>
      </patternFill>
    </fill>
    <fill>
      <patternFill patternType="solid">
        <fgColor rgb="FFFFFF00"/>
        <bgColor rgb="FFFFFF00"/>
      </patternFill>
    </fill>
    <fill>
      <patternFill patternType="solid">
        <fgColor rgb="FF4FE6DF"/>
        <bgColor rgb="FF4FE6DF"/>
      </patternFill>
    </fill>
    <fill>
      <patternFill patternType="solid">
        <fgColor rgb="FFFFB805"/>
        <bgColor rgb="FFFFB805"/>
      </patternFill>
    </fill>
    <fill>
      <patternFill patternType="solid">
        <fgColor rgb="FFC80000"/>
        <bgColor rgb="FFC80000"/>
      </patternFill>
    </fill>
    <fill>
      <patternFill patternType="solid">
        <fgColor rgb="FF00FF00"/>
        <bgColor rgb="FF00FF00"/>
      </patternFill>
    </fill>
    <fill>
      <patternFill patternType="solid">
        <fgColor rgb="FF3F9BEB"/>
        <bgColor rgb="FF3F9BEB"/>
      </patternFill>
    </fill>
    <fill>
      <patternFill patternType="solid">
        <fgColor rgb="FFFFAC15"/>
        <bgColor rgb="FFFFAC15"/>
      </patternFill>
    </fill>
    <fill>
      <patternFill patternType="solid">
        <fgColor rgb="FFF1EC64"/>
        <bgColor rgb="FFF1EC64"/>
      </patternFill>
    </fill>
    <fill>
      <patternFill patternType="solid">
        <fgColor rgb="FF89C9BD"/>
        <bgColor rgb="FF89C9BD"/>
      </patternFill>
    </fill>
    <fill>
      <patternFill patternType="solid">
        <fgColor rgb="FFDC3939"/>
        <bgColor rgb="FFDC3939"/>
      </patternFill>
    </fill>
    <fill>
      <patternFill patternType="solid">
        <fgColor rgb="FFA16134"/>
        <bgColor rgb="FFA16134"/>
      </patternFill>
    </fill>
    <fill>
      <patternFill patternType="solid">
        <fgColor rgb="FF1155CC"/>
        <bgColor rgb="FF1155CC"/>
      </patternFill>
    </fill>
    <fill>
      <patternFill patternType="solid">
        <fgColor rgb="FF0000FF"/>
        <bgColor rgb="FF0000FF"/>
      </patternFill>
    </fill>
    <fill>
      <patternFill patternType="solid">
        <fgColor rgb="FF38761D"/>
        <bgColor rgb="FF38761D"/>
      </patternFill>
    </fill>
    <fill>
      <patternFill patternType="solid">
        <fgColor rgb="FF00F6F6"/>
        <bgColor rgb="FF00F6F6"/>
      </patternFill>
    </fill>
    <fill>
      <patternFill patternType="solid">
        <fgColor rgb="FFFF6C27"/>
        <bgColor rgb="FFFF6C27"/>
      </patternFill>
    </fill>
    <fill>
      <patternFill patternType="solid">
        <fgColor rgb="FFFFC84E"/>
        <bgColor rgb="FFFFC84E"/>
      </patternFill>
    </fill>
    <fill>
      <patternFill patternType="solid">
        <fgColor rgb="FFECFF1F"/>
        <bgColor rgb="FFECFF1F"/>
      </patternFill>
    </fill>
    <fill>
      <patternFill patternType="solid">
        <fgColor rgb="FF00FFFF"/>
        <bgColor rgb="FF00FFFF"/>
      </patternFill>
    </fill>
    <fill>
      <patternFill patternType="solid">
        <fgColor rgb="FF33CCCC"/>
        <bgColor rgb="FF33CCCC"/>
      </patternFill>
    </fill>
  </fills>
  <borders count="3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434343"/>
      </right>
    </border>
    <border>
      <left style="thin">
        <color rgb="FF434343"/>
      </left>
      <right style="thin">
        <color rgb="FF434343"/>
      </right>
    </border>
    <border>
      <left style="thin">
        <color rgb="FF434343"/>
      </left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999999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999999"/>
      </lef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right style="thin">
        <color rgb="FF999999"/>
      </right>
    </border>
    <border>
      <right style="thin">
        <color rgb="FFFFFFFF"/>
      </right>
      <top style="thin">
        <color rgb="FFFFFFFF"/>
      </top>
    </border>
    <border>
      <top style="thin">
        <color rgb="FFFFFFFF"/>
      </top>
      <bottom style="thin">
        <color rgb="FFFFFFFF"/>
      </bottom>
    </border>
    <border>
      <left style="thin">
        <color rgb="FF999999"/>
      </left>
      <right style="thin">
        <color rgb="FF999999"/>
      </right>
    </border>
    <border>
      <left style="thin">
        <color rgb="FF999999"/>
      </lef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FFFFFF"/>
      </left>
      <right style="thin">
        <color rgb="FFFFFFFF"/>
      </right>
    </border>
  </borders>
  <cellStyleXfs count="1">
    <xf borderId="0" fillId="0" fontId="0" numFmtId="0" applyAlignment="1" applyFont="1"/>
  </cellStyleXfs>
  <cellXfs count="2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0" fontId="3" numFmtId="0" xfId="0" applyAlignment="1" applyBorder="1" applyFont="1">
      <alignment readingOrder="0" vertical="bottom"/>
    </xf>
    <xf borderId="4" fillId="2" fontId="3" numFmtId="0" xfId="0" applyAlignment="1" applyBorder="1" applyFill="1" applyFont="1">
      <alignment horizontal="center" readingOrder="0" vertical="bottom"/>
    </xf>
    <xf borderId="4" fillId="2" fontId="3" numFmtId="0" xfId="0" applyAlignment="1" applyBorder="1" applyFont="1">
      <alignment horizontal="center" readingOrder="0" vertical="bottom"/>
    </xf>
    <xf borderId="6" fillId="3" fontId="4" numFmtId="0" xfId="0" applyAlignment="1" applyBorder="1" applyFill="1" applyFont="1">
      <alignment horizontal="center" readingOrder="0" vertical="bottom"/>
    </xf>
    <xf borderId="7" fillId="3" fontId="4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0" xfId="0" applyAlignment="1" applyBorder="1" applyFont="1" applyNumberFormat="1">
      <alignment horizontal="center" readingOrder="0"/>
    </xf>
    <xf borderId="4" fillId="4" fontId="3" numFmtId="0" xfId="0" applyAlignment="1" applyBorder="1" applyFill="1" applyFont="1">
      <alignment horizontal="center" readingOrder="0" vertical="bottom"/>
    </xf>
    <xf borderId="4" fillId="5" fontId="3" numFmtId="0" xfId="0" applyAlignment="1" applyBorder="1" applyFill="1" applyFont="1">
      <alignment horizontal="center" readingOrder="0" vertical="bottom"/>
    </xf>
    <xf borderId="4" fillId="5" fontId="3" numFmtId="0" xfId="0" applyAlignment="1" applyBorder="1" applyFont="1">
      <alignment horizontal="center" readingOrder="0" vertical="bottom"/>
    </xf>
    <xf borderId="4" fillId="5" fontId="5" numFmtId="0" xfId="0" applyAlignment="1" applyBorder="1" applyFont="1">
      <alignment horizontal="center" readingOrder="0" vertical="bottom"/>
    </xf>
    <xf borderId="8" fillId="3" fontId="4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horizontal="center"/>
    </xf>
    <xf borderId="4" fillId="4" fontId="3" numFmtId="0" xfId="0" applyAlignment="1" applyBorder="1" applyFont="1">
      <alignment horizontal="center" readingOrder="0" vertical="bottom"/>
    </xf>
    <xf borderId="9" fillId="3" fontId="4" numFmtId="0" xfId="0" applyAlignment="1" applyBorder="1" applyFont="1">
      <alignment horizontal="center" readingOrder="0" vertical="bottom"/>
    </xf>
    <xf borderId="4" fillId="6" fontId="3" numFmtId="0" xfId="0" applyAlignment="1" applyBorder="1" applyFill="1" applyFont="1">
      <alignment horizontal="center" readingOrder="0" vertical="bottom"/>
    </xf>
    <xf borderId="4" fillId="6" fontId="3" numFmtId="0" xfId="0" applyAlignment="1" applyBorder="1" applyFont="1">
      <alignment horizontal="center" readingOrder="0" vertical="bottom"/>
    </xf>
    <xf borderId="10" fillId="3" fontId="4" numFmtId="0" xfId="0" applyAlignment="1" applyBorder="1" applyFont="1">
      <alignment horizontal="center" readingOrder="0" vertical="bottom"/>
    </xf>
    <xf borderId="11" fillId="3" fontId="4" numFmtId="0" xfId="0" applyAlignment="1" applyBorder="1" applyFont="1">
      <alignment horizontal="center" readingOrder="0" vertical="bottom"/>
    </xf>
    <xf borderId="12" fillId="3" fontId="4" numFmtId="0" xfId="0" applyAlignment="1" applyBorder="1" applyFont="1">
      <alignment horizontal="center" readingOrder="0" vertical="bottom"/>
    </xf>
    <xf borderId="13" fillId="7" fontId="3" numFmtId="0" xfId="0" applyAlignment="1" applyBorder="1" applyFill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5" fillId="7" fontId="3" numFmtId="0" xfId="0" applyAlignment="1" applyBorder="1" applyFont="1">
      <alignment horizontal="center" vertical="bottom"/>
    </xf>
    <xf borderId="4" fillId="0" fontId="2" numFmtId="0" xfId="0" applyBorder="1" applyFont="1"/>
    <xf borderId="1" fillId="0" fontId="1" numFmtId="2" xfId="0" applyAlignment="1" applyBorder="1" applyFont="1" applyNumberFormat="1">
      <alignment readingOrder="0"/>
    </xf>
    <xf borderId="4" fillId="0" fontId="2" numFmtId="2" xfId="0" applyAlignment="1" applyBorder="1" applyFont="1" applyNumberFormat="1">
      <alignment horizontal="center" readingOrder="0"/>
    </xf>
    <xf borderId="1" fillId="0" fontId="6" numFmtId="2" xfId="0" applyAlignment="1" applyBorder="1" applyFont="1" applyNumberFormat="1">
      <alignment horizontal="center" readingOrder="0"/>
    </xf>
    <xf borderId="4" fillId="0" fontId="7" numFmtId="0" xfId="0" applyAlignment="1" applyBorder="1" applyFont="1">
      <alignment horizontal="center" readingOrder="0" vertical="bottom"/>
    </xf>
    <xf borderId="4" fillId="0" fontId="8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 vertical="bottom"/>
    </xf>
    <xf borderId="10" fillId="0" fontId="2" numFmtId="0" xfId="0" applyBorder="1" applyFont="1"/>
    <xf borderId="10" fillId="0" fontId="2" numFmtId="2" xfId="0" applyBorder="1" applyFont="1" applyNumberFormat="1"/>
    <xf borderId="10" fillId="0" fontId="2" numFmtId="10" xfId="0" applyBorder="1" applyFont="1" applyNumberFormat="1"/>
    <xf borderId="0" fillId="2" fontId="3" numFmtId="0" xfId="0" applyAlignment="1" applyFont="1">
      <alignment readingOrder="0" vertical="bottom"/>
    </xf>
    <xf borderId="7" fillId="0" fontId="2" numFmtId="0" xfId="0" applyBorder="1" applyFont="1"/>
    <xf borderId="7" fillId="0" fontId="2" numFmtId="2" xfId="0" applyBorder="1" applyFont="1" applyNumberFormat="1"/>
    <xf borderId="7" fillId="0" fontId="2" numFmtId="10" xfId="0" applyBorder="1" applyFont="1" applyNumberFormat="1"/>
    <xf borderId="0" fillId="4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3" fontId="11" numFmtId="0" xfId="0" applyAlignment="1" applyFont="1">
      <alignment readingOrder="0"/>
    </xf>
    <xf borderId="0" fillId="5" fontId="3" numFmtId="0" xfId="0" applyAlignment="1" applyFont="1">
      <alignment readingOrder="0" vertical="bottom"/>
    </xf>
    <xf borderId="4" fillId="8" fontId="11" numFmtId="0" xfId="0" applyAlignment="1" applyBorder="1" applyFill="1" applyFont="1">
      <alignment horizontal="center" readingOrder="0"/>
    </xf>
    <xf borderId="4" fillId="9" fontId="12" numFmtId="0" xfId="0" applyAlignment="1" applyBorder="1" applyFill="1" applyFont="1">
      <alignment horizontal="center" readingOrder="0"/>
    </xf>
    <xf borderId="6" fillId="3" fontId="11" numFmtId="0" xfId="0" applyAlignment="1" applyBorder="1" applyFont="1">
      <alignment horizontal="center" readingOrder="0"/>
    </xf>
    <xf borderId="7" fillId="3" fontId="11" numFmtId="0" xfId="0" applyAlignment="1" applyBorder="1" applyFont="1">
      <alignment horizontal="center" readingOrder="0"/>
    </xf>
    <xf borderId="12" fillId="3" fontId="11" numFmtId="0" xfId="0" applyAlignment="1" applyBorder="1" applyFont="1">
      <alignment horizontal="center" readingOrder="0"/>
    </xf>
    <xf borderId="4" fillId="10" fontId="12" numFmtId="0" xfId="0" applyAlignment="1" applyBorder="1" applyFill="1" applyFont="1">
      <alignment horizontal="center" readingOrder="0"/>
    </xf>
    <xf borderId="16" fillId="3" fontId="11" numFmtId="0" xfId="0" applyAlignment="1" applyBorder="1" applyFont="1">
      <alignment horizontal="center" readingOrder="0"/>
    </xf>
    <xf borderId="10" fillId="3" fontId="11" numFmtId="0" xfId="0" applyAlignment="1" applyBorder="1" applyFont="1">
      <alignment horizontal="center" readingOrder="0"/>
    </xf>
    <xf borderId="17" fillId="3" fontId="11" numFmtId="0" xfId="0" applyAlignment="1" applyBorder="1" applyFont="1">
      <alignment horizontal="center" readingOrder="0"/>
    </xf>
    <xf borderId="4" fillId="11" fontId="2" numFmtId="0" xfId="0" applyAlignment="1" applyBorder="1" applyFill="1" applyFont="1">
      <alignment horizontal="center" readingOrder="0"/>
    </xf>
    <xf borderId="4" fillId="11" fontId="12" numFmtId="0" xfId="0" applyAlignment="1" applyBorder="1" applyFont="1">
      <alignment horizontal="center" readingOrder="0"/>
    </xf>
    <xf borderId="4" fillId="11" fontId="11" numFmtId="0" xfId="0" applyAlignment="1" applyBorder="1" applyFont="1">
      <alignment horizontal="center" readingOrder="0"/>
    </xf>
    <xf borderId="4" fillId="9" fontId="2" numFmtId="0" xfId="0" applyAlignment="1" applyBorder="1" applyFont="1">
      <alignment horizontal="center" readingOrder="0"/>
    </xf>
    <xf borderId="11" fillId="3" fontId="11" numFmtId="0" xfId="0" applyAlignment="1" applyBorder="1" applyFont="1">
      <alignment horizontal="center" readingOrder="0"/>
    </xf>
    <xf borderId="18" fillId="12" fontId="11" numFmtId="0" xfId="0" applyAlignment="1" applyBorder="1" applyFill="1" applyFont="1">
      <alignment horizontal="center"/>
    </xf>
    <xf borderId="8" fillId="3" fontId="11" numFmtId="0" xfId="0" applyAlignment="1" applyBorder="1" applyFont="1">
      <alignment horizontal="center" readingOrder="0"/>
    </xf>
    <xf borderId="19" fillId="12" fontId="11" numFmtId="0" xfId="0" applyAlignment="1" applyBorder="1" applyFont="1">
      <alignment horizontal="center"/>
    </xf>
    <xf borderId="1" fillId="11" fontId="12" numFmtId="0" xfId="0" applyAlignment="1" applyBorder="1" applyFont="1">
      <alignment horizontal="center" readingOrder="0"/>
    </xf>
    <xf borderId="20" fillId="8" fontId="11" numFmtId="0" xfId="0" applyAlignment="1" applyBorder="1" applyFont="1">
      <alignment horizontal="center" readingOrder="0"/>
    </xf>
    <xf borderId="19" fillId="12" fontId="12" numFmtId="0" xfId="0" applyAlignment="1" applyBorder="1" applyFont="1">
      <alignment horizontal="center"/>
    </xf>
    <xf borderId="18" fillId="12" fontId="12" numFmtId="0" xfId="0" applyAlignment="1" applyBorder="1" applyFont="1">
      <alignment horizontal="center"/>
    </xf>
    <xf borderId="20" fillId="11" fontId="12" numFmtId="0" xfId="0" applyAlignment="1" applyBorder="1" applyFont="1">
      <alignment horizontal="center" readingOrder="0"/>
    </xf>
    <xf borderId="20" fillId="11" fontId="2" numFmtId="0" xfId="0" applyAlignment="1" applyBorder="1" applyFont="1">
      <alignment horizontal="center" readingOrder="0"/>
    </xf>
    <xf borderId="19" fillId="12" fontId="2" numFmtId="0" xfId="0" applyAlignment="1" applyBorder="1" applyFont="1">
      <alignment horizontal="center"/>
    </xf>
    <xf borderId="18" fillId="12" fontId="2" numFmtId="0" xfId="0" applyAlignment="1" applyBorder="1" applyFont="1">
      <alignment horizontal="center"/>
    </xf>
    <xf borderId="1" fillId="11" fontId="2" numFmtId="0" xfId="0" applyAlignment="1" applyBorder="1" applyFont="1">
      <alignment horizontal="center" readingOrder="0"/>
    </xf>
    <xf borderId="21" fillId="12" fontId="2" numFmtId="0" xfId="0" applyAlignment="1" applyBorder="1" applyFont="1">
      <alignment horizontal="center"/>
    </xf>
    <xf borderId="22" fillId="12" fontId="2" numFmtId="0" xfId="0" applyAlignment="1" applyBorder="1" applyFont="1">
      <alignment horizontal="center"/>
    </xf>
    <xf borderId="23" fillId="0" fontId="2" numFmtId="0" xfId="0" applyAlignment="1" applyBorder="1" applyFont="1">
      <alignment horizontal="center"/>
    </xf>
    <xf borderId="4" fillId="0" fontId="2" numFmtId="10" xfId="0" applyAlignment="1" applyBorder="1" applyFont="1" applyNumberFormat="1">
      <alignment horizontal="center"/>
    </xf>
    <xf borderId="1" fillId="0" fontId="13" numFmtId="0" xfId="0" applyAlignment="1" applyBorder="1" applyFont="1">
      <alignment horizontal="center" readingOrder="0"/>
    </xf>
    <xf borderId="0" fillId="8" fontId="11" numFmtId="0" xfId="0" applyAlignment="1" applyFont="1">
      <alignment readingOrder="0"/>
    </xf>
    <xf borderId="0" fillId="11" fontId="2" numFmtId="0" xfId="0" applyAlignment="1" applyFont="1">
      <alignment readingOrder="0"/>
    </xf>
    <xf borderId="0" fillId="9" fontId="2" numFmtId="0" xfId="0" applyAlignment="1" applyFont="1">
      <alignment readingOrder="0"/>
    </xf>
    <xf borderId="4" fillId="13" fontId="11" numFmtId="0" xfId="0" applyAlignment="1" applyBorder="1" applyFill="1" applyFont="1">
      <alignment horizontal="center" readingOrder="0"/>
    </xf>
    <xf borderId="4" fillId="14" fontId="11" numFmtId="0" xfId="0" applyAlignment="1" applyBorder="1" applyFill="1" applyFont="1">
      <alignment horizontal="center" readingOrder="0"/>
    </xf>
    <xf borderId="4" fillId="15" fontId="11" numFmtId="0" xfId="0" applyAlignment="1" applyBorder="1" applyFill="1" applyFont="1">
      <alignment horizontal="center" readingOrder="0"/>
    </xf>
    <xf borderId="4" fillId="16" fontId="12" numFmtId="0" xfId="0" applyAlignment="1" applyBorder="1" applyFill="1" applyFont="1">
      <alignment horizontal="center" readingOrder="0"/>
    </xf>
    <xf borderId="4" fillId="16" fontId="2" numFmtId="0" xfId="0" applyAlignment="1" applyBorder="1" applyFont="1">
      <alignment horizontal="center" readingOrder="0"/>
    </xf>
    <xf borderId="4" fillId="3" fontId="11" numFmtId="0" xfId="0" applyAlignment="1" applyBorder="1" applyFont="1">
      <alignment horizontal="center"/>
    </xf>
    <xf borderId="4" fillId="3" fontId="12" numFmtId="0" xfId="0" applyAlignment="1" applyBorder="1" applyFont="1">
      <alignment horizontal="center"/>
    </xf>
    <xf borderId="0" fillId="13" fontId="11" numFmtId="0" xfId="0" applyAlignment="1" applyFont="1">
      <alignment readingOrder="0"/>
    </xf>
    <xf borderId="0" fillId="16" fontId="2" numFmtId="0" xfId="0" applyAlignment="1" applyFont="1">
      <alignment readingOrder="0"/>
    </xf>
    <xf borderId="0" fillId="14" fontId="11" numFmtId="0" xfId="0" applyAlignment="1" applyFont="1">
      <alignment readingOrder="0"/>
    </xf>
    <xf borderId="0" fillId="15" fontId="11" numFmtId="0" xfId="0" applyAlignment="1" applyFont="1">
      <alignment readingOrder="0"/>
    </xf>
    <xf borderId="4" fillId="17" fontId="11" numFmtId="0" xfId="0" applyAlignment="1" applyBorder="1" applyFill="1" applyFont="1">
      <alignment horizontal="center" readingOrder="0"/>
    </xf>
    <xf borderId="4" fillId="18" fontId="12" numFmtId="0" xfId="0" applyAlignment="1" applyBorder="1" applyFill="1" applyFont="1">
      <alignment horizontal="center" readingOrder="0"/>
    </xf>
    <xf borderId="4" fillId="19" fontId="12" numFmtId="0" xfId="0" applyAlignment="1" applyBorder="1" applyFill="1" applyFont="1">
      <alignment horizontal="center" readingOrder="0"/>
    </xf>
    <xf borderId="4" fillId="20" fontId="11" numFmtId="0" xfId="0" applyAlignment="1" applyBorder="1" applyFill="1" applyFont="1">
      <alignment horizontal="center" readingOrder="0"/>
    </xf>
    <xf borderId="4" fillId="21" fontId="12" numFmtId="0" xfId="0" applyAlignment="1" applyBorder="1" applyFill="1" applyFont="1">
      <alignment horizontal="center" readingOrder="0"/>
    </xf>
    <xf borderId="0" fillId="20" fontId="11" numFmtId="0" xfId="0" applyAlignment="1" applyFont="1">
      <alignment readingOrder="0"/>
    </xf>
    <xf borderId="0" fillId="17" fontId="11" numFmtId="0" xfId="0" applyAlignment="1" applyFont="1">
      <alignment readingOrder="0"/>
    </xf>
    <xf borderId="0" fillId="18" fontId="2" numFmtId="0" xfId="0" applyAlignment="1" applyFont="1">
      <alignment readingOrder="0"/>
    </xf>
    <xf borderId="0" fillId="21" fontId="2" numFmtId="0" xfId="0" applyAlignment="1" applyFont="1">
      <alignment readingOrder="0"/>
    </xf>
    <xf borderId="12" fillId="19" fontId="2" numFmtId="0" xfId="0" applyAlignment="1" applyBorder="1" applyFont="1">
      <alignment readingOrder="0"/>
    </xf>
    <xf borderId="6" fillId="0" fontId="2" numFmtId="0" xfId="0" applyBorder="1" applyFont="1"/>
    <xf borderId="4" fillId="22" fontId="11" numFmtId="0" xfId="0" applyAlignment="1" applyBorder="1" applyFill="1" applyFont="1">
      <alignment horizontal="center" readingOrder="0"/>
    </xf>
    <xf borderId="4" fillId="23" fontId="11" numFmtId="0" xfId="0" applyAlignment="1" applyBorder="1" applyFill="1" applyFont="1">
      <alignment horizontal="center" readingOrder="0"/>
    </xf>
    <xf borderId="4" fillId="24" fontId="12" numFmtId="0" xfId="0" applyAlignment="1" applyBorder="1" applyFill="1" applyFont="1">
      <alignment horizontal="center" readingOrder="0"/>
    </xf>
    <xf borderId="9" fillId="3" fontId="11" numFmtId="0" xfId="0" applyAlignment="1" applyBorder="1" applyFont="1">
      <alignment horizontal="center" readingOrder="0"/>
    </xf>
    <xf borderId="24" fillId="12" fontId="11" numFmtId="0" xfId="0" applyAlignment="1" applyBorder="1" applyFont="1">
      <alignment horizontal="center"/>
    </xf>
    <xf borderId="25" fillId="12" fontId="11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26" fillId="12" fontId="12" numFmtId="0" xfId="0" applyAlignment="1" applyBorder="1" applyFont="1">
      <alignment horizontal="center"/>
    </xf>
    <xf borderId="27" fillId="12" fontId="11" numFmtId="0" xfId="0" applyAlignment="1" applyBorder="1" applyFont="1">
      <alignment horizontal="center"/>
    </xf>
    <xf borderId="28" fillId="12" fontId="11" numFmtId="0" xfId="0" applyAlignment="1" applyBorder="1" applyFont="1">
      <alignment horizontal="center"/>
    </xf>
    <xf borderId="21" fillId="12" fontId="11" numFmtId="0" xfId="0" applyAlignment="1" applyBorder="1" applyFont="1">
      <alignment horizontal="center"/>
    </xf>
    <xf borderId="22" fillId="12" fontId="11" numFmtId="0" xfId="0" applyAlignment="1" applyBorder="1" applyFont="1">
      <alignment horizontal="center"/>
    </xf>
    <xf borderId="0" fillId="23" fontId="11" numFmtId="0" xfId="0" applyAlignment="1" applyFont="1">
      <alignment readingOrder="0"/>
    </xf>
    <xf borderId="0" fillId="22" fontId="11" numFmtId="0" xfId="0" applyAlignment="1" applyFont="1">
      <alignment readingOrder="0"/>
    </xf>
    <xf borderId="0" fillId="24" fontId="2" numFmtId="0" xfId="0" applyAlignment="1" applyFont="1">
      <alignment readingOrder="0"/>
    </xf>
    <xf borderId="4" fillId="25" fontId="2" numFmtId="0" xfId="0" applyAlignment="1" applyBorder="1" applyFill="1" applyFont="1">
      <alignment horizontal="center" readingOrder="0"/>
    </xf>
    <xf borderId="4" fillId="26" fontId="11" numFmtId="0" xfId="0" applyAlignment="1" applyBorder="1" applyFill="1" applyFont="1">
      <alignment horizontal="center" readingOrder="0"/>
    </xf>
    <xf borderId="4" fillId="25" fontId="12" numFmtId="0" xfId="0" applyAlignment="1" applyBorder="1" applyFont="1">
      <alignment horizontal="center" readingOrder="0"/>
    </xf>
    <xf borderId="4" fillId="27" fontId="11" numFmtId="0" xfId="0" applyAlignment="1" applyBorder="1" applyFill="1" applyFont="1">
      <alignment horizontal="center" readingOrder="0"/>
    </xf>
    <xf borderId="5" fillId="25" fontId="12" numFmtId="0" xfId="0" applyAlignment="1" applyBorder="1" applyFont="1">
      <alignment horizontal="center" readingOrder="0"/>
    </xf>
    <xf borderId="29" fillId="3" fontId="11" numFmtId="0" xfId="0" applyAlignment="1" applyBorder="1" applyFont="1">
      <alignment horizontal="center" readingOrder="0"/>
    </xf>
    <xf borderId="30" fillId="3" fontId="11" numFmtId="0" xfId="0" applyAlignment="1" applyBorder="1" applyFont="1">
      <alignment horizontal="center" readingOrder="0"/>
    </xf>
    <xf borderId="20" fillId="25" fontId="12" numFmtId="0" xfId="0" applyAlignment="1" applyBorder="1" applyFont="1">
      <alignment horizontal="center" readingOrder="0"/>
    </xf>
    <xf borderId="1" fillId="27" fontId="11" numFmtId="0" xfId="0" applyAlignment="1" applyBorder="1" applyFont="1">
      <alignment horizontal="center" readingOrder="0"/>
    </xf>
    <xf borderId="20" fillId="25" fontId="2" numFmtId="0" xfId="0" applyAlignment="1" applyBorder="1" applyFont="1">
      <alignment horizontal="center" readingOrder="0"/>
    </xf>
    <xf borderId="20" fillId="26" fontId="11" numFmtId="0" xfId="0" applyAlignment="1" applyBorder="1" applyFont="1">
      <alignment horizontal="center" readingOrder="0"/>
    </xf>
    <xf borderId="20" fillId="27" fontId="11" numFmtId="0" xfId="0" applyAlignment="1" applyBorder="1" applyFont="1">
      <alignment horizontal="center" readingOrder="0"/>
    </xf>
    <xf borderId="31" fillId="12" fontId="11" numFmtId="0" xfId="0" applyAlignment="1" applyBorder="1" applyFont="1">
      <alignment horizontal="center"/>
    </xf>
    <xf borderId="32" fillId="12" fontId="11" numFmtId="0" xfId="0" applyAlignment="1" applyBorder="1" applyFont="1">
      <alignment horizontal="center"/>
    </xf>
    <xf borderId="4" fillId="0" fontId="14" numFmtId="10" xfId="0" applyAlignment="1" applyBorder="1" applyFont="1" applyNumberFormat="1">
      <alignment horizontal="center" readingOrder="0"/>
    </xf>
    <xf borderId="0" fillId="27" fontId="11" numFmtId="0" xfId="0" applyAlignment="1" applyFont="1">
      <alignment readingOrder="0"/>
    </xf>
    <xf borderId="7" fillId="28" fontId="2" numFmtId="0" xfId="0" applyBorder="1" applyFill="1" applyFont="1"/>
    <xf borderId="0" fillId="26" fontId="11" numFmtId="0" xfId="0" applyAlignment="1" applyFont="1">
      <alignment readingOrder="0"/>
    </xf>
    <xf borderId="0" fillId="25" fontId="2" numFmtId="0" xfId="0" applyAlignment="1" applyFont="1">
      <alignment readingOrder="0"/>
    </xf>
    <xf borderId="4" fillId="29" fontId="11" numFmtId="0" xfId="0" applyAlignment="1" applyBorder="1" applyFill="1" applyFont="1">
      <alignment horizontal="center" readingOrder="0"/>
    </xf>
    <xf borderId="4" fillId="30" fontId="12" numFmtId="0" xfId="0" applyAlignment="1" applyBorder="1" applyFill="1" applyFont="1">
      <alignment horizontal="center" readingOrder="0"/>
    </xf>
    <xf borderId="4" fillId="31" fontId="2" numFmtId="0" xfId="0" applyAlignment="1" applyBorder="1" applyFill="1" applyFont="1">
      <alignment horizontal="center" readingOrder="0"/>
    </xf>
    <xf borderId="4" fillId="31" fontId="12" numFmtId="0" xfId="0" applyAlignment="1" applyBorder="1" applyFont="1">
      <alignment horizontal="center" readingOrder="0"/>
    </xf>
    <xf borderId="4" fillId="32" fontId="2" numFmtId="0" xfId="0" applyAlignment="1" applyBorder="1" applyFill="1" applyFont="1">
      <alignment horizontal="center" readingOrder="0"/>
    </xf>
    <xf borderId="4" fillId="3" fontId="2" numFmtId="0" xfId="0" applyAlignment="1" applyBorder="1" applyFont="1">
      <alignment horizontal="center"/>
    </xf>
    <xf borderId="4" fillId="0" fontId="15" numFmtId="0" xfId="0" applyAlignment="1" applyBorder="1" applyFont="1">
      <alignment horizontal="center"/>
    </xf>
    <xf borderId="10" fillId="0" fontId="2" numFmtId="10" xfId="0" applyAlignment="1" applyBorder="1" applyFont="1" applyNumberFormat="1">
      <alignment horizontal="center"/>
    </xf>
    <xf borderId="0" fillId="29" fontId="11" numFmtId="0" xfId="0" applyAlignment="1" applyFont="1">
      <alignment readingOrder="0"/>
    </xf>
    <xf borderId="7" fillId="0" fontId="2" numFmtId="10" xfId="0" applyAlignment="1" applyBorder="1" applyFont="1" applyNumberFormat="1">
      <alignment horizontal="center"/>
    </xf>
    <xf borderId="0" fillId="31" fontId="2" numFmtId="0" xfId="0" applyAlignment="1" applyFont="1">
      <alignment readingOrder="0"/>
    </xf>
    <xf borderId="0" fillId="32" fontId="2" numFmtId="0" xfId="0" applyAlignment="1" applyFont="1">
      <alignment readingOrder="0"/>
    </xf>
    <xf borderId="0" fillId="30" fontId="2" numFmtId="0" xfId="0" applyAlignment="1" applyFont="1">
      <alignment readingOrder="0"/>
    </xf>
    <xf borderId="4" fillId="33" fontId="11" numFmtId="0" xfId="0" applyAlignment="1" applyBorder="1" applyFill="1" applyFont="1">
      <alignment horizontal="center" readingOrder="0"/>
    </xf>
    <xf borderId="4" fillId="34" fontId="2" numFmtId="0" xfId="0" applyAlignment="1" applyBorder="1" applyFill="1" applyFont="1">
      <alignment horizontal="center" readingOrder="0"/>
    </xf>
    <xf borderId="4" fillId="35" fontId="11" numFmtId="0" xfId="0" applyAlignment="1" applyBorder="1" applyFill="1" applyFont="1">
      <alignment horizontal="center" readingOrder="0"/>
    </xf>
    <xf borderId="33" fillId="3" fontId="11" numFmtId="0" xfId="0" applyAlignment="1" applyBorder="1" applyFont="1">
      <alignment horizontal="center" readingOrder="0"/>
    </xf>
    <xf borderId="34" fillId="3" fontId="11" numFmtId="0" xfId="0" applyAlignment="1" applyBorder="1" applyFont="1">
      <alignment horizontal="center" readingOrder="0"/>
    </xf>
    <xf borderId="5" fillId="12" fontId="11" numFmtId="0" xfId="0" applyAlignment="1" applyBorder="1" applyFont="1">
      <alignment horizontal="center"/>
    </xf>
    <xf borderId="0" fillId="3" fontId="11" numFmtId="0" xfId="0" applyAlignment="1" applyFont="1">
      <alignment horizontal="center" readingOrder="0"/>
    </xf>
    <xf borderId="35" fillId="3" fontId="11" numFmtId="0" xfId="0" applyAlignment="1" applyBorder="1" applyFont="1">
      <alignment horizontal="center" readingOrder="0"/>
    </xf>
    <xf borderId="20" fillId="33" fontId="11" numFmtId="0" xfId="0" applyAlignment="1" applyBorder="1" applyFont="1">
      <alignment horizontal="center" readingOrder="0"/>
    </xf>
    <xf borderId="20" fillId="35" fontId="11" numFmtId="0" xfId="0" applyAlignment="1" applyBorder="1" applyFont="1">
      <alignment horizontal="center" readingOrder="0"/>
    </xf>
    <xf borderId="1" fillId="34" fontId="2" numFmtId="0" xfId="0" applyAlignment="1" applyBorder="1" applyFont="1">
      <alignment horizontal="center" readingOrder="0"/>
    </xf>
    <xf borderId="0" fillId="34" fontId="2" numFmtId="0" xfId="0" applyAlignment="1" applyFont="1">
      <alignment readingOrder="0"/>
    </xf>
    <xf borderId="0" fillId="35" fontId="11" numFmtId="0" xfId="0" applyAlignment="1" applyFont="1">
      <alignment readingOrder="0"/>
    </xf>
    <xf borderId="0" fillId="33" fontId="11" numFmtId="0" xfId="0" applyAlignment="1" applyFont="1">
      <alignment readingOrder="0"/>
    </xf>
    <xf borderId="4" fillId="36" fontId="2" numFmtId="0" xfId="0" applyAlignment="1" applyBorder="1" applyFill="1" applyFont="1">
      <alignment horizontal="center" readingOrder="0"/>
    </xf>
    <xf borderId="4" fillId="37" fontId="0" numFmtId="0" xfId="0" applyAlignment="1" applyBorder="1" applyFill="1" applyFont="1">
      <alignment horizontal="center" readingOrder="0"/>
    </xf>
    <xf borderId="4" fillId="10" fontId="2" numFmtId="0" xfId="0" applyAlignment="1" applyBorder="1" applyFont="1">
      <alignment horizontal="center" readingOrder="0"/>
    </xf>
    <xf borderId="4" fillId="3" fontId="5" numFmtId="0" xfId="0" applyAlignment="1" applyBorder="1" applyFont="1">
      <alignment horizontal="center"/>
    </xf>
    <xf borderId="0" fillId="10" fontId="2" numFmtId="0" xfId="0" applyAlignment="1" applyFont="1">
      <alignment readingOrder="0"/>
    </xf>
    <xf borderId="0" fillId="36" fontId="2" numFmtId="0" xfId="0" applyAlignment="1" applyFont="1">
      <alignment readingOrder="0"/>
    </xf>
    <xf borderId="0" fillId="37" fontId="12" numFmtId="0" xfId="0" applyAlignment="1" applyFont="1">
      <alignment readingOrder="0"/>
    </xf>
    <xf borderId="4" fillId="38" fontId="11" numFmtId="0" xfId="0" applyAlignment="1" applyBorder="1" applyFill="1" applyFont="1">
      <alignment horizontal="center" readingOrder="0"/>
    </xf>
    <xf borderId="4" fillId="39" fontId="2" numFmtId="0" xfId="0" applyAlignment="1" applyBorder="1" applyFill="1" applyFont="1">
      <alignment horizontal="center" readingOrder="0"/>
    </xf>
    <xf borderId="0" fillId="12" fontId="11" numFmtId="0" xfId="0" applyAlignment="1" applyFont="1">
      <alignment horizontal="center"/>
    </xf>
    <xf borderId="1" fillId="10" fontId="2" numFmtId="0" xfId="0" applyAlignment="1" applyBorder="1" applyFont="1">
      <alignment horizontal="center" readingOrder="0"/>
    </xf>
    <xf borderId="20" fillId="38" fontId="11" numFmtId="0" xfId="0" applyAlignment="1" applyBorder="1" applyFont="1">
      <alignment horizontal="center" readingOrder="0"/>
    </xf>
    <xf borderId="20" fillId="39" fontId="2" numFmtId="0" xfId="0" applyAlignment="1" applyBorder="1" applyFont="1">
      <alignment horizontal="center" readingOrder="0"/>
    </xf>
    <xf borderId="1" fillId="39" fontId="2" numFmtId="0" xfId="0" applyAlignment="1" applyBorder="1" applyFont="1">
      <alignment horizontal="center" readingOrder="0"/>
    </xf>
    <xf borderId="3" fillId="0" fontId="2" numFmtId="2" xfId="0" applyAlignment="1" applyBorder="1" applyFont="1" applyNumberFormat="1">
      <alignment horizontal="center"/>
    </xf>
    <xf borderId="0" fillId="39" fontId="2" numFmtId="0" xfId="0" applyAlignment="1" applyFont="1">
      <alignment readingOrder="0"/>
    </xf>
    <xf borderId="0" fillId="38" fontId="11" numFmtId="0" xfId="0" applyAlignment="1" applyFont="1">
      <alignment readingOrder="0"/>
    </xf>
    <xf borderId="4" fillId="40" fontId="2" numFmtId="0" xfId="0" applyAlignment="1" applyBorder="1" applyFill="1" applyFont="1">
      <alignment horizontal="center" readingOrder="0"/>
    </xf>
    <xf borderId="4" fillId="41" fontId="11" numFmtId="0" xfId="0" applyAlignment="1" applyBorder="1" applyFill="1" applyFont="1">
      <alignment horizontal="center" readingOrder="0"/>
    </xf>
    <xf borderId="4" fillId="42" fontId="11" numFmtId="0" xfId="0" applyAlignment="1" applyBorder="1" applyFill="1" applyFont="1">
      <alignment horizontal="center" readingOrder="0"/>
    </xf>
    <xf borderId="4" fillId="21" fontId="2" numFmtId="0" xfId="0" applyAlignment="1" applyBorder="1" applyFont="1">
      <alignment horizontal="center" readingOrder="0"/>
    </xf>
    <xf borderId="4" fillId="0" fontId="2" numFmtId="2" xfId="0" applyAlignment="1" applyBorder="1" applyFont="1" applyNumberFormat="1">
      <alignment horizontal="center" readingOrder="0"/>
    </xf>
    <xf borderId="0" fillId="40" fontId="2" numFmtId="0" xfId="0" applyAlignment="1" applyFont="1">
      <alignment readingOrder="0"/>
    </xf>
    <xf borderId="7" fillId="28" fontId="2" numFmtId="0" xfId="0" applyAlignment="1" applyBorder="1" applyFont="1">
      <alignment readingOrder="0"/>
    </xf>
    <xf borderId="0" fillId="41" fontId="11" numFmtId="0" xfId="0" applyAlignment="1" applyFont="1">
      <alignment readingOrder="0"/>
    </xf>
    <xf borderId="7" fillId="28" fontId="11" numFmtId="0" xfId="0" applyAlignment="1" applyBorder="1" applyFont="1">
      <alignment readingOrder="0"/>
    </xf>
    <xf borderId="0" fillId="42" fontId="11" numFmtId="0" xfId="0" applyAlignment="1" applyFont="1">
      <alignment readingOrder="0"/>
    </xf>
    <xf borderId="4" fillId="43" fontId="11" numFmtId="0" xfId="0" applyAlignment="1" applyBorder="1" applyFill="1" applyFont="1">
      <alignment horizontal="center" readingOrder="0"/>
    </xf>
    <xf borderId="4" fillId="44" fontId="2" numFmtId="0" xfId="0" applyAlignment="1" applyBorder="1" applyFill="1" applyFont="1">
      <alignment horizontal="center" readingOrder="0"/>
    </xf>
    <xf borderId="10" fillId="0" fontId="2" numFmtId="0" xfId="0" applyAlignment="1" applyBorder="1" applyFont="1">
      <alignment horizontal="center"/>
    </xf>
    <xf borderId="0" fillId="43" fontId="11" numFmtId="0" xfId="0" applyAlignment="1" applyFont="1">
      <alignment readingOrder="0"/>
    </xf>
    <xf borderId="7" fillId="0" fontId="2" numFmtId="0" xfId="0" applyAlignment="1" applyBorder="1" applyFont="1">
      <alignment horizontal="center"/>
    </xf>
    <xf borderId="0" fillId="44" fontId="2" numFmtId="0" xfId="0" applyAlignment="1" applyFont="1">
      <alignment readingOrder="0"/>
    </xf>
    <xf borderId="4" fillId="45" fontId="2" numFmtId="0" xfId="0" applyAlignment="1" applyBorder="1" applyFill="1" applyFont="1">
      <alignment horizontal="center" readingOrder="0"/>
    </xf>
    <xf borderId="1" fillId="35" fontId="11" numFmtId="0" xfId="0" applyAlignment="1" applyBorder="1" applyFont="1">
      <alignment horizontal="center" readingOrder="0"/>
    </xf>
    <xf borderId="1" fillId="33" fontId="11" numFmtId="0" xfId="0" applyAlignment="1" applyBorder="1" applyFont="1">
      <alignment horizontal="center" readingOrder="0"/>
    </xf>
    <xf borderId="0" fillId="45" fontId="2" numFmtId="0" xfId="0" applyAlignment="1" applyFont="1">
      <alignment readingOrder="0"/>
    </xf>
    <xf borderId="4" fillId="46" fontId="2" numFmtId="0" xfId="0" applyAlignment="1" applyBorder="1" applyFill="1" applyFont="1">
      <alignment horizontal="center" readingOrder="0"/>
    </xf>
    <xf borderId="20" fillId="10" fontId="2" numFmtId="0" xfId="0" applyAlignment="1" applyBorder="1" applyFont="1">
      <alignment horizontal="center" readingOrder="0"/>
    </xf>
    <xf borderId="20" fillId="46" fontId="2" numFmtId="0" xfId="0" applyAlignment="1" applyBorder="1" applyFont="1">
      <alignment horizontal="center" readingOrder="0"/>
    </xf>
    <xf borderId="1" fillId="46" fontId="2" numFmtId="0" xfId="0" applyAlignment="1" applyBorder="1" applyFont="1">
      <alignment horizontal="center" readingOrder="0"/>
    </xf>
    <xf borderId="0" fillId="46" fontId="2" numFmtId="0" xfId="0" applyAlignment="1" applyFont="1">
      <alignment readingOrder="0"/>
    </xf>
    <xf borderId="4" fillId="28" fontId="2" numFmtId="0" xfId="0" applyAlignment="1" applyBorder="1" applyFont="1">
      <alignment horizontal="center"/>
    </xf>
    <xf borderId="4" fillId="28" fontId="2" numFmtId="2" xfId="0" applyAlignment="1" applyBorder="1" applyFont="1" applyNumberFormat="1">
      <alignment horizontal="center"/>
    </xf>
    <xf borderId="4" fillId="28" fontId="2" numFmtId="10" xfId="0" applyAlignment="1" applyBorder="1" applyFont="1" applyNumberFormat="1">
      <alignment horizontal="center" readingOrder="0"/>
    </xf>
    <xf borderId="4" fillId="28" fontId="2" numFmtId="10" xfId="0" applyAlignment="1" applyBorder="1" applyFont="1" applyNumberFormat="1">
      <alignment horizontal="center"/>
    </xf>
    <xf borderId="4" fillId="47" fontId="2" numFmtId="0" xfId="0" applyAlignment="1" applyBorder="1" applyFill="1" applyFont="1">
      <alignment horizontal="center" readingOrder="0"/>
    </xf>
    <xf borderId="23" fillId="3" fontId="11" numFmtId="0" xfId="0" applyAlignment="1" applyBorder="1" applyFont="1">
      <alignment horizontal="center" readingOrder="0"/>
    </xf>
    <xf borderId="36" fillId="3" fontId="11" numFmtId="0" xfId="0" applyAlignment="1" applyBorder="1" applyFont="1">
      <alignment horizontal="center" readingOrder="0"/>
    </xf>
    <xf borderId="37" fillId="3" fontId="11" numFmtId="0" xfId="0" applyAlignment="1" applyBorder="1" applyFont="1">
      <alignment horizontal="center" readingOrder="0"/>
    </xf>
    <xf borderId="3" fillId="3" fontId="11" numFmtId="0" xfId="0" applyAlignment="1" applyBorder="1" applyFont="1">
      <alignment horizontal="center" readingOrder="0"/>
    </xf>
    <xf borderId="5" fillId="21" fontId="2" numFmtId="0" xfId="0" applyAlignment="1" applyBorder="1" applyFont="1">
      <alignment horizontal="center" readingOrder="0"/>
    </xf>
    <xf borderId="20" fillId="21" fontId="2" numFmtId="0" xfId="0" applyAlignment="1" applyBorder="1" applyFont="1">
      <alignment horizontal="center" readingOrder="0"/>
    </xf>
    <xf borderId="1" fillId="21" fontId="2" numFmtId="0" xfId="0" applyAlignment="1" applyBorder="1" applyFont="1">
      <alignment horizontal="center" readingOrder="0"/>
    </xf>
    <xf borderId="0" fillId="47" fontId="2" numFmtId="0" xfId="0" applyAlignment="1" applyFont="1">
      <alignment readingOrder="0"/>
    </xf>
    <xf borderId="4" fillId="48" fontId="11" numFmtId="0" xfId="0" applyAlignment="1" applyBorder="1" applyFill="1" applyFont="1">
      <alignment horizontal="center" readingOrder="0"/>
    </xf>
    <xf borderId="4" fillId="0" fontId="16" numFmtId="10" xfId="0" applyAlignment="1" applyBorder="1" applyFont="1" applyNumberFormat="1">
      <alignment horizontal="center"/>
    </xf>
    <xf borderId="0" fillId="48" fontId="11" numFmtId="0" xfId="0" applyAlignment="1" applyFont="1">
      <alignment readingOrder="0"/>
    </xf>
    <xf borderId="4" fillId="49" fontId="2" numFmtId="0" xfId="0" applyAlignment="1" applyBorder="1" applyFill="1" applyFont="1">
      <alignment horizontal="center" readingOrder="0"/>
    </xf>
    <xf borderId="4" fillId="50" fontId="11" numFmtId="0" xfId="0" applyAlignment="1" applyBorder="1" applyFill="1" applyFont="1">
      <alignment horizontal="center" readingOrder="0"/>
    </xf>
    <xf borderId="4" fillId="51" fontId="2" numFmtId="0" xfId="0" applyAlignment="1" applyBorder="1" applyFill="1" applyFont="1">
      <alignment horizontal="center" readingOrder="0"/>
    </xf>
    <xf borderId="20" fillId="51" fontId="2" numFmtId="0" xfId="0" applyAlignment="1" applyBorder="1" applyFont="1">
      <alignment horizontal="center" readingOrder="0"/>
    </xf>
    <xf borderId="1" fillId="38" fontId="11" numFmtId="0" xfId="0" applyAlignment="1" applyBorder="1" applyFont="1">
      <alignment horizontal="center" readingOrder="0"/>
    </xf>
    <xf borderId="0" fillId="50" fontId="2" numFmtId="0" xfId="0" applyAlignment="1" applyFont="1">
      <alignment readingOrder="0"/>
    </xf>
    <xf borderId="0" fillId="49" fontId="2" numFmtId="0" xfId="0" applyAlignment="1" applyFont="1">
      <alignment readingOrder="0"/>
    </xf>
    <xf borderId="0" fillId="51" fontId="2" numFmtId="0" xfId="0" applyAlignment="1" applyFont="1">
      <alignment readingOrder="0"/>
    </xf>
    <xf borderId="4" fillId="52" fontId="2" numFmtId="0" xfId="0" applyAlignment="1" applyBorder="1" applyFill="1" applyFont="1">
      <alignment horizontal="center" readingOrder="0"/>
    </xf>
    <xf borderId="4" fillId="53" fontId="2" numFmtId="0" xfId="0" applyAlignment="1" applyBorder="1" applyFill="1" applyFont="1">
      <alignment horizontal="center" readingOrder="0"/>
    </xf>
    <xf borderId="4" fillId="54" fontId="11" numFmtId="0" xfId="0" applyAlignment="1" applyBorder="1" applyFill="1" applyFont="1">
      <alignment horizontal="center" readingOrder="0"/>
    </xf>
    <xf borderId="0" fillId="52" fontId="17" numFmtId="0" xfId="0" applyAlignment="1" applyFont="1">
      <alignment readingOrder="0"/>
    </xf>
    <xf borderId="0" fillId="53" fontId="17" numFmtId="0" xfId="0" applyAlignment="1" applyFont="1">
      <alignment readingOrder="0"/>
    </xf>
    <xf borderId="0" fillId="54" fontId="18" numFmtId="0" xfId="0" applyAlignment="1" applyFont="1">
      <alignment readingOrder="0"/>
    </xf>
    <xf borderId="4" fillId="55" fontId="11" numFmtId="0" xfId="0" applyAlignment="1" applyBorder="1" applyFill="1" applyFont="1">
      <alignment horizontal="center" readingOrder="0"/>
    </xf>
    <xf borderId="4" fillId="56" fontId="11" numFmtId="0" xfId="0" applyAlignment="1" applyBorder="1" applyFill="1" applyFont="1">
      <alignment horizontal="center" readingOrder="0"/>
    </xf>
    <xf borderId="0" fillId="56" fontId="11" numFmtId="0" xfId="0" applyAlignment="1" applyFont="1">
      <alignment readingOrder="0"/>
    </xf>
    <xf borderId="0" fillId="55" fontId="11" numFmtId="0" xfId="0" applyAlignment="1" applyFont="1">
      <alignment readingOrder="0"/>
    </xf>
    <xf borderId="4" fillId="57" fontId="11" numFmtId="0" xfId="0" applyAlignment="1" applyBorder="1" applyFill="1" applyFont="1">
      <alignment horizontal="center" readingOrder="0"/>
    </xf>
    <xf borderId="4" fillId="58" fontId="11" numFmtId="0" xfId="0" applyAlignment="1" applyBorder="1" applyFill="1" applyFont="1">
      <alignment horizontal="center" readingOrder="0"/>
    </xf>
    <xf borderId="4" fillId="0" fontId="12" numFmtId="0" xfId="0" applyAlignment="1" applyBorder="1" applyFont="1">
      <alignment readingOrder="0"/>
    </xf>
    <xf borderId="0" fillId="58" fontId="11" numFmtId="0" xfId="0" applyAlignment="1" applyFont="1">
      <alignment readingOrder="0"/>
    </xf>
    <xf borderId="0" fillId="57" fontId="11" numFmtId="0" xfId="0" applyAlignment="1" applyFont="1">
      <alignment readingOrder="0"/>
    </xf>
    <xf borderId="4" fillId="59" fontId="2" numFmtId="0" xfId="0" applyAlignment="1" applyBorder="1" applyFill="1" applyFont="1">
      <alignment horizontal="center" readingOrder="0"/>
    </xf>
    <xf borderId="34" fillId="12" fontId="2" numFmtId="0" xfId="0" applyAlignment="1" applyBorder="1" applyFont="1">
      <alignment horizontal="center"/>
    </xf>
    <xf borderId="20" fillId="59" fontId="2" numFmtId="0" xfId="0" applyAlignment="1" applyBorder="1" applyFont="1">
      <alignment horizontal="center" readingOrder="0"/>
    </xf>
    <xf borderId="5" fillId="59" fontId="2" numFmtId="0" xfId="0" applyAlignment="1" applyBorder="1" applyFont="1">
      <alignment horizontal="center" readingOrder="0"/>
    </xf>
    <xf borderId="0" fillId="59" fontId="2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4" fillId="4" fontId="1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readingOrder="0"/>
    </xf>
    <xf borderId="0" fillId="0" fontId="2" numFmtId="2" xfId="0" applyFont="1" applyNumberFormat="1"/>
    <xf borderId="0" fillId="0" fontId="2" numFmtId="0" xfId="0" applyAlignment="1" applyFont="1">
      <alignment horizontal="center"/>
    </xf>
    <xf borderId="0" fillId="4" fontId="11" numFmtId="0" xfId="0" applyAlignment="1" applyFont="1">
      <alignment readingOrder="0"/>
    </xf>
    <xf borderId="4" fillId="60" fontId="2" numFmtId="0" xfId="0" applyAlignment="1" applyBorder="1" applyFill="1" applyFont="1">
      <alignment horizontal="center" readingOrder="0"/>
    </xf>
    <xf borderId="4" fillId="61" fontId="2" numFmtId="0" xfId="0" applyAlignment="1" applyBorder="1" applyFill="1" applyFont="1">
      <alignment horizontal="center" readingOrder="0"/>
    </xf>
    <xf borderId="0" fillId="60" fontId="2" numFmtId="0" xfId="0" applyAlignment="1" applyFont="1">
      <alignment readingOrder="0"/>
    </xf>
    <xf borderId="0" fillId="61" fontId="2" numFmtId="0" xfId="0" applyAlignment="1" applyFont="1">
      <alignment readingOrder="0"/>
    </xf>
    <xf borderId="4" fillId="62" fontId="2" numFmtId="0" xfId="0" applyAlignment="1" applyBorder="1" applyFill="1" applyFont="1">
      <alignment horizontal="center" readingOrder="0"/>
    </xf>
    <xf borderId="4" fillId="63" fontId="2" numFmtId="0" xfId="0" applyAlignment="1" applyBorder="1" applyFill="1" applyFont="1">
      <alignment horizontal="center" readingOrder="0"/>
    </xf>
    <xf borderId="4" fillId="62" fontId="0" numFmtId="0" xfId="0" applyAlignment="1" applyBorder="1" applyFont="1">
      <alignment horizontal="center" readingOrder="0"/>
    </xf>
    <xf borderId="0" fillId="62" fontId="2" numFmtId="0" xfId="0" applyAlignment="1" applyFont="1">
      <alignment readingOrder="0"/>
    </xf>
    <xf borderId="0" fillId="63" fontId="2" numFmtId="0" xfId="0" applyAlignment="1" applyFont="1">
      <alignment readingOrder="0"/>
    </xf>
    <xf borderId="4" fillId="45" fontId="12" numFmtId="0" xfId="0" applyAlignment="1" applyBorder="1" applyFont="1">
      <alignment horizontal="center" readingOrder="0"/>
    </xf>
    <xf borderId="4" fillId="64" fontId="19" numFmtId="0" xfId="0" applyAlignment="1" applyBorder="1" applyFill="1" applyFont="1">
      <alignment horizontal="center" readingOrder="0"/>
    </xf>
    <xf borderId="4" fillId="3" fontId="3" numFmtId="0" xfId="0" applyAlignment="1" applyBorder="1" applyFont="1">
      <alignment horizontal="center"/>
    </xf>
    <xf borderId="0" fillId="64" fontId="11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4" fillId="0" fontId="1" numFmtId="0" xfId="0" applyAlignment="1" applyBorder="1" applyFont="1">
      <alignment horizontal="center" readingOrder="0" vertical="bottom"/>
    </xf>
    <xf borderId="4" fillId="0" fontId="2" numFmtId="10" xfId="0" applyAlignment="1" applyBorder="1" applyFont="1" applyNumberFormat="1">
      <alignment horizontal="center" readingOrder="0" vertical="bottom"/>
    </xf>
    <xf borderId="4" fillId="0" fontId="2" numFmtId="0" xfId="0" applyAlignment="1" applyBorder="1" applyFont="1">
      <alignment horizontal="center" vertical="bottom"/>
    </xf>
    <xf borderId="4" fillId="0" fontId="2" numFmtId="2" xfId="0" applyAlignment="1" applyBorder="1" applyFont="1" applyNumberFormat="1">
      <alignment horizontal="center"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open?id=1zsqctwldid9Jw6-b4I_MKXyAxjY6f8nY5W67uMZ0lSQ" TargetMode="External"/><Relationship Id="rId3" Type="http://schemas.openxmlformats.org/officeDocument/2006/relationships/hyperlink" Target="https://drive.google.com/open?id=1NMZYLmL0c7sYni6MXvSS_Pds1EKMfU9eUzXRF1bCAhA" TargetMode="External"/><Relationship Id="rId4" Type="http://schemas.openxmlformats.org/officeDocument/2006/relationships/hyperlink" Target="https://drive.google.com/open?id=1B8UrwyvoAacPkGlUcQiQUu185laNLjGVlv2WJHjCwTE" TargetMode="External"/><Relationship Id="rId11" Type="http://schemas.openxmlformats.org/officeDocument/2006/relationships/vmlDrawing" Target="../drawings/vmlDrawing1.vml"/><Relationship Id="rId10" Type="http://schemas.openxmlformats.org/officeDocument/2006/relationships/drawing" Target="../drawings/drawing1.xml"/><Relationship Id="rId9" Type="http://schemas.openxmlformats.org/officeDocument/2006/relationships/hyperlink" Target="https://drive.google.com/open?id=1LnunARl1a9XkheDFxbM8l5hmTmmWQfz9W6q6bep8iF4" TargetMode="External"/><Relationship Id="rId5" Type="http://schemas.openxmlformats.org/officeDocument/2006/relationships/hyperlink" Target="https://drive.google.com/open?id=1DeHdsNYGKj59U182UY3WanrE0HAI0NNQgDhoB4NIOh8" TargetMode="External"/><Relationship Id="rId6" Type="http://schemas.openxmlformats.org/officeDocument/2006/relationships/hyperlink" Target="https://drive.google.com/open?id=1rff2r0z-HJMx8E9LIWRq03eD1dB6xYKEaE2diTnP2ic" TargetMode="External"/><Relationship Id="rId7" Type="http://schemas.openxmlformats.org/officeDocument/2006/relationships/hyperlink" Target="https://drive.google.com/open?id=1GVnw538DqCbPOuJFVjYb5eoJPZQoaiO20xcjewFhQic" TargetMode="External"/><Relationship Id="rId8" Type="http://schemas.openxmlformats.org/officeDocument/2006/relationships/hyperlink" Target="https://drive.google.com/open?id=1XfqbumFEGEvifLrlN06hMoureyiMAJxXnDe2K25nSP0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1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2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3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4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5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6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7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8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9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20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21.v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22.v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23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8" width="7.29"/>
    <col customWidth="1" min="19" max="19" width="9.43"/>
    <col customWidth="1" min="20" max="20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5" t="s">
        <v>17</v>
      </c>
      <c r="S2" s="7" t="s">
        <v>18</v>
      </c>
      <c r="T2" s="8" t="s">
        <v>19</v>
      </c>
    </row>
    <row r="3">
      <c r="A3" s="9">
        <v>1.0</v>
      </c>
      <c r="B3" s="10" t="s">
        <v>20</v>
      </c>
      <c r="C3" s="11">
        <v>6.0</v>
      </c>
      <c r="D3" s="11">
        <v>2.0</v>
      </c>
      <c r="E3" s="11">
        <v>3.0</v>
      </c>
      <c r="F3" s="11">
        <v>1.0</v>
      </c>
      <c r="G3" s="11">
        <v>1.0</v>
      </c>
      <c r="H3" s="11">
        <v>2.0</v>
      </c>
      <c r="I3" s="12">
        <v>1.0</v>
      </c>
      <c r="J3" s="13">
        <v>3.0</v>
      </c>
      <c r="K3" s="14">
        <v>2.0</v>
      </c>
      <c r="L3" s="14">
        <v>2.0</v>
      </c>
      <c r="M3" s="14">
        <v>16.0</v>
      </c>
      <c r="N3" s="14">
        <v>8.0</v>
      </c>
      <c r="O3" s="14">
        <v>5.0</v>
      </c>
      <c r="P3" s="14">
        <v>6.0</v>
      </c>
      <c r="Q3" s="14">
        <v>15.0</v>
      </c>
      <c r="R3" s="15">
        <f t="shared" ref="R3:R16" si="1">SUM(C3:Q3)</f>
        <v>73</v>
      </c>
      <c r="S3" s="16">
        <f t="shared" ref="S3:S16" si="2">AVERAGE(C3:Q3)</f>
        <v>4.866666667</v>
      </c>
      <c r="T3" s="17">
        <f>R3/$R23</f>
        <v>0.127399651</v>
      </c>
    </row>
    <row r="4">
      <c r="A4" s="9">
        <v>2.0</v>
      </c>
      <c r="B4" s="10" t="s">
        <v>21</v>
      </c>
      <c r="C4" s="18">
        <v>7.0</v>
      </c>
      <c r="D4" s="19">
        <v>5.0</v>
      </c>
      <c r="E4" s="19">
        <v>3.0</v>
      </c>
      <c r="F4" s="19">
        <v>3.0</v>
      </c>
      <c r="G4" s="19">
        <v>0.0</v>
      </c>
      <c r="H4" s="19">
        <v>0.0</v>
      </c>
      <c r="I4" s="20">
        <v>0.0</v>
      </c>
      <c r="J4" s="20">
        <v>1.0</v>
      </c>
      <c r="K4" s="20">
        <v>1.0</v>
      </c>
      <c r="L4" s="20">
        <v>1.0</v>
      </c>
      <c r="M4" s="20">
        <v>2.0</v>
      </c>
      <c r="N4" s="21">
        <v>1.0</v>
      </c>
      <c r="O4" s="20">
        <v>0.0</v>
      </c>
      <c r="P4" s="20">
        <v>5.0</v>
      </c>
      <c r="Q4" s="22">
        <v>9.0</v>
      </c>
      <c r="R4" s="23">
        <f t="shared" si="1"/>
        <v>38</v>
      </c>
      <c r="S4" s="16">
        <f t="shared" si="2"/>
        <v>2.533333333</v>
      </c>
      <c r="T4" s="17">
        <f>R4/$R23</f>
        <v>0.06631762653</v>
      </c>
    </row>
    <row r="5">
      <c r="A5" s="9">
        <v>3.0</v>
      </c>
      <c r="B5" s="10" t="s">
        <v>22</v>
      </c>
      <c r="C5" s="18">
        <v>2.0</v>
      </c>
      <c r="D5" s="18">
        <v>0.0</v>
      </c>
      <c r="E5" s="18">
        <v>3.0</v>
      </c>
      <c r="F5" s="18">
        <v>1.0</v>
      </c>
      <c r="G5" s="18">
        <v>3.0</v>
      </c>
      <c r="H5" s="18">
        <v>2.0</v>
      </c>
      <c r="I5" s="24">
        <v>2.0</v>
      </c>
      <c r="J5" s="13">
        <v>0.0</v>
      </c>
      <c r="K5" s="14">
        <v>4.0</v>
      </c>
      <c r="L5" s="14">
        <v>0.0</v>
      </c>
      <c r="M5" s="14">
        <v>3.0</v>
      </c>
      <c r="N5" s="14">
        <v>3.0</v>
      </c>
      <c r="O5" s="14">
        <v>2.0</v>
      </c>
      <c r="P5" s="25">
        <v>8.0</v>
      </c>
      <c r="Q5" s="14">
        <v>4.0</v>
      </c>
      <c r="R5" s="15">
        <f t="shared" si="1"/>
        <v>37</v>
      </c>
      <c r="S5" s="16">
        <f t="shared" si="2"/>
        <v>2.466666667</v>
      </c>
      <c r="T5" s="17">
        <f>R5/$R23</f>
        <v>0.06457242583</v>
      </c>
    </row>
    <row r="6">
      <c r="A6" s="9">
        <v>4.0</v>
      </c>
      <c r="B6" s="10" t="s">
        <v>23</v>
      </c>
      <c r="C6" s="11">
        <v>2.0</v>
      </c>
      <c r="D6" s="11">
        <v>2.0</v>
      </c>
      <c r="E6" s="11">
        <v>3.0</v>
      </c>
      <c r="F6" s="11">
        <v>3.0</v>
      </c>
      <c r="G6" s="26">
        <v>4.0</v>
      </c>
      <c r="H6" s="26">
        <v>0.0</v>
      </c>
      <c r="I6" s="27">
        <v>1.0</v>
      </c>
      <c r="J6" s="13">
        <v>1.0</v>
      </c>
      <c r="K6" s="14">
        <v>2.0</v>
      </c>
      <c r="L6" s="14">
        <v>4.0</v>
      </c>
      <c r="M6" s="14">
        <v>2.0</v>
      </c>
      <c r="N6" s="14">
        <v>4.0</v>
      </c>
      <c r="O6" s="14">
        <v>3.0</v>
      </c>
      <c r="P6" s="14">
        <v>4.0</v>
      </c>
      <c r="Q6" s="14">
        <v>5.0</v>
      </c>
      <c r="R6" s="15">
        <f t="shared" si="1"/>
        <v>40</v>
      </c>
      <c r="S6" s="16">
        <f t="shared" si="2"/>
        <v>2.666666667</v>
      </c>
      <c r="T6" s="17">
        <f>R6/$R23</f>
        <v>0.06980802792</v>
      </c>
    </row>
    <row r="7">
      <c r="A7" s="9">
        <v>5.0</v>
      </c>
      <c r="B7" s="10" t="s">
        <v>24</v>
      </c>
      <c r="C7" s="18">
        <v>4.0</v>
      </c>
      <c r="D7" s="18">
        <v>2.0</v>
      </c>
      <c r="E7" s="18">
        <v>2.0</v>
      </c>
      <c r="F7" s="18">
        <v>1.0</v>
      </c>
      <c r="G7" s="26">
        <v>2.0</v>
      </c>
      <c r="H7" s="26">
        <v>1.0</v>
      </c>
      <c r="I7" s="27">
        <v>1.0</v>
      </c>
      <c r="J7" s="13">
        <v>4.0</v>
      </c>
      <c r="K7" s="14">
        <v>1.0</v>
      </c>
      <c r="L7" s="14">
        <v>2.0</v>
      </c>
      <c r="M7" s="14">
        <v>1.0</v>
      </c>
      <c r="N7" s="14">
        <v>5.0</v>
      </c>
      <c r="O7" s="14">
        <v>4.0</v>
      </c>
      <c r="P7" s="14">
        <v>3.0</v>
      </c>
      <c r="Q7" s="14">
        <v>5.0</v>
      </c>
      <c r="R7" s="15">
        <f t="shared" si="1"/>
        <v>38</v>
      </c>
      <c r="S7" s="16">
        <f t="shared" si="2"/>
        <v>2.533333333</v>
      </c>
      <c r="T7" s="17">
        <f>R7/$R23</f>
        <v>0.06631762653</v>
      </c>
    </row>
    <row r="8">
      <c r="A8" s="9">
        <v>6.0</v>
      </c>
      <c r="B8" s="10" t="s">
        <v>25</v>
      </c>
      <c r="C8" s="18">
        <v>1.0</v>
      </c>
      <c r="D8" s="18">
        <v>2.0</v>
      </c>
      <c r="E8" s="18">
        <v>2.0</v>
      </c>
      <c r="F8" s="18">
        <v>0.0</v>
      </c>
      <c r="G8" s="11">
        <v>1.0</v>
      </c>
      <c r="H8" s="11">
        <v>4.0</v>
      </c>
      <c r="I8" s="12">
        <v>1.0</v>
      </c>
      <c r="J8" s="13">
        <v>1.0</v>
      </c>
      <c r="K8" s="14">
        <v>0.0</v>
      </c>
      <c r="L8" s="14">
        <v>0.0</v>
      </c>
      <c r="M8" s="14">
        <v>2.0</v>
      </c>
      <c r="N8" s="14">
        <v>1.0</v>
      </c>
      <c r="O8" s="25">
        <v>3.0</v>
      </c>
      <c r="P8" s="28">
        <v>2.0</v>
      </c>
      <c r="Q8" s="29">
        <v>0.0</v>
      </c>
      <c r="R8" s="23">
        <f t="shared" si="1"/>
        <v>20</v>
      </c>
      <c r="S8" s="16">
        <f t="shared" si="2"/>
        <v>1.333333333</v>
      </c>
      <c r="T8" s="17">
        <f>R8/$R23</f>
        <v>0.03490401396</v>
      </c>
    </row>
    <row r="9">
      <c r="A9" s="9">
        <v>7.0</v>
      </c>
      <c r="B9" s="10" t="s">
        <v>26</v>
      </c>
      <c r="C9" s="11">
        <v>1.0</v>
      </c>
      <c r="D9" s="11">
        <v>0.0</v>
      </c>
      <c r="E9" s="11">
        <v>1.0</v>
      </c>
      <c r="F9" s="11">
        <v>1.0</v>
      </c>
      <c r="G9" s="18">
        <v>2.0</v>
      </c>
      <c r="H9" s="18">
        <v>3.0</v>
      </c>
      <c r="I9" s="24">
        <v>2.0</v>
      </c>
      <c r="J9" s="13">
        <v>1.0</v>
      </c>
      <c r="K9" s="14">
        <v>5.0</v>
      </c>
      <c r="L9" s="14">
        <v>0.0</v>
      </c>
      <c r="M9" s="14">
        <v>0.0</v>
      </c>
      <c r="N9" s="14">
        <v>4.0</v>
      </c>
      <c r="O9" s="14">
        <v>1.0</v>
      </c>
      <c r="P9" s="29">
        <v>7.0</v>
      </c>
      <c r="Q9" s="21">
        <v>0.0</v>
      </c>
      <c r="R9" s="15">
        <f t="shared" si="1"/>
        <v>28</v>
      </c>
      <c r="S9" s="16">
        <f t="shared" si="2"/>
        <v>1.866666667</v>
      </c>
      <c r="T9" s="17">
        <f>R9/$R23</f>
        <v>0.04886561955</v>
      </c>
    </row>
    <row r="10">
      <c r="A10" s="9">
        <v>8.0</v>
      </c>
      <c r="B10" s="10" t="s">
        <v>27</v>
      </c>
      <c r="C10" s="18">
        <v>3.0</v>
      </c>
      <c r="D10" s="18">
        <v>2.0</v>
      </c>
      <c r="E10" s="18">
        <v>1.0</v>
      </c>
      <c r="F10" s="18">
        <v>2.0</v>
      </c>
      <c r="G10" s="11">
        <v>2.0</v>
      </c>
      <c r="H10" s="11">
        <v>2.0</v>
      </c>
      <c r="I10" s="12">
        <v>1.0</v>
      </c>
      <c r="J10" s="13">
        <v>3.0</v>
      </c>
      <c r="K10" s="14">
        <v>1.0</v>
      </c>
      <c r="L10" s="14">
        <v>2.0</v>
      </c>
      <c r="M10" s="14">
        <v>6.0</v>
      </c>
      <c r="N10" s="14">
        <v>4.0</v>
      </c>
      <c r="O10" s="30">
        <v>3.0</v>
      </c>
      <c r="P10" s="21">
        <v>1.0</v>
      </c>
      <c r="Q10" s="21">
        <v>0.0</v>
      </c>
      <c r="R10" s="15">
        <f t="shared" si="1"/>
        <v>33</v>
      </c>
      <c r="S10" s="16">
        <f t="shared" si="2"/>
        <v>2.2</v>
      </c>
      <c r="T10" s="17">
        <f>R10/$R23</f>
        <v>0.05759162304</v>
      </c>
    </row>
    <row r="11">
      <c r="A11" s="9">
        <v>9.0</v>
      </c>
      <c r="B11" s="10" t="s">
        <v>28</v>
      </c>
      <c r="C11" s="11">
        <v>1.0</v>
      </c>
      <c r="D11" s="11">
        <v>2.0</v>
      </c>
      <c r="E11" s="11">
        <v>0.0</v>
      </c>
      <c r="F11" s="11">
        <v>0.0</v>
      </c>
      <c r="G11" s="11">
        <v>2.0</v>
      </c>
      <c r="H11" s="11">
        <v>2.0</v>
      </c>
      <c r="I11" s="12">
        <v>1.0</v>
      </c>
      <c r="J11" s="13">
        <v>1.0</v>
      </c>
      <c r="K11" s="25">
        <v>2.0</v>
      </c>
      <c r="L11" s="25">
        <v>1.0</v>
      </c>
      <c r="M11" s="25">
        <v>2.0</v>
      </c>
      <c r="N11" s="29">
        <v>5.0</v>
      </c>
      <c r="O11" s="21">
        <v>0.0</v>
      </c>
      <c r="P11" s="21">
        <v>1.0</v>
      </c>
      <c r="Q11" s="21">
        <v>0.0</v>
      </c>
      <c r="R11" s="15">
        <f t="shared" si="1"/>
        <v>20</v>
      </c>
      <c r="S11" s="16">
        <f t="shared" si="2"/>
        <v>1.333333333</v>
      </c>
      <c r="T11" s="17">
        <f>R11/$R23</f>
        <v>0.03490401396</v>
      </c>
    </row>
    <row r="12">
      <c r="A12" s="9">
        <v>10.0</v>
      </c>
      <c r="B12" s="10" t="s">
        <v>29</v>
      </c>
      <c r="C12" s="11">
        <v>2.0</v>
      </c>
      <c r="D12" s="11">
        <v>3.0</v>
      </c>
      <c r="E12" s="11">
        <v>0.0</v>
      </c>
      <c r="F12" s="11">
        <v>1.0</v>
      </c>
      <c r="G12" s="26">
        <v>6.0</v>
      </c>
      <c r="H12" s="26">
        <v>0.0</v>
      </c>
      <c r="I12" s="27">
        <v>2.0</v>
      </c>
      <c r="J12" s="13">
        <v>2.0</v>
      </c>
      <c r="K12" s="14">
        <v>0.0</v>
      </c>
      <c r="L12" s="14">
        <v>1.0</v>
      </c>
      <c r="M12" s="30">
        <v>2.0</v>
      </c>
      <c r="N12" s="21">
        <v>1.0</v>
      </c>
      <c r="O12" s="21">
        <v>0.0</v>
      </c>
      <c r="P12" s="21">
        <v>0.0</v>
      </c>
      <c r="Q12" s="21">
        <v>0.0</v>
      </c>
      <c r="R12" s="15">
        <f t="shared" si="1"/>
        <v>20</v>
      </c>
      <c r="S12" s="16">
        <f t="shared" si="2"/>
        <v>1.333333333</v>
      </c>
      <c r="T12" s="17">
        <f>R12/$R23</f>
        <v>0.03490401396</v>
      </c>
    </row>
    <row r="13">
      <c r="A13" s="9">
        <v>11.0</v>
      </c>
      <c r="B13" s="10" t="s">
        <v>30</v>
      </c>
      <c r="C13" s="11">
        <v>2.0</v>
      </c>
      <c r="D13" s="11">
        <v>2.0</v>
      </c>
      <c r="E13" s="11">
        <v>1.0</v>
      </c>
      <c r="F13" s="11">
        <v>5.0</v>
      </c>
      <c r="G13" s="19">
        <v>0.0</v>
      </c>
      <c r="H13" s="19">
        <v>5.0</v>
      </c>
      <c r="I13" s="20">
        <v>4.0</v>
      </c>
      <c r="J13" s="13">
        <v>2.0</v>
      </c>
      <c r="K13" s="14">
        <v>1.0</v>
      </c>
      <c r="L13" s="30">
        <v>2.0</v>
      </c>
      <c r="M13" s="20">
        <v>0.0</v>
      </c>
      <c r="N13" s="21">
        <v>2.0</v>
      </c>
      <c r="O13" s="21">
        <v>0.0</v>
      </c>
      <c r="P13" s="21">
        <v>3.0</v>
      </c>
      <c r="Q13" s="21">
        <v>0.0</v>
      </c>
      <c r="R13" s="23">
        <f t="shared" si="1"/>
        <v>29</v>
      </c>
      <c r="S13" s="16">
        <f t="shared" si="2"/>
        <v>1.933333333</v>
      </c>
      <c r="T13" s="17">
        <f>R13/$R23</f>
        <v>0.05061082024</v>
      </c>
    </row>
    <row r="14">
      <c r="A14" s="9">
        <v>12.0</v>
      </c>
      <c r="B14" s="10" t="s">
        <v>31</v>
      </c>
      <c r="C14" s="18">
        <v>4.0</v>
      </c>
      <c r="D14" s="18">
        <v>5.0</v>
      </c>
      <c r="E14" s="18">
        <v>4.0</v>
      </c>
      <c r="F14" s="18">
        <v>5.0</v>
      </c>
      <c r="G14" s="26">
        <v>3.0</v>
      </c>
      <c r="H14" s="26">
        <v>2.0</v>
      </c>
      <c r="I14" s="27">
        <v>3.0</v>
      </c>
      <c r="J14" s="13">
        <v>2.0</v>
      </c>
      <c r="K14" s="30">
        <v>6.0</v>
      </c>
      <c r="L14" s="21">
        <v>2.0</v>
      </c>
      <c r="M14" s="21">
        <v>0.0</v>
      </c>
      <c r="N14" s="21">
        <v>1.0</v>
      </c>
      <c r="O14" s="21">
        <v>0.0</v>
      </c>
      <c r="P14" s="21">
        <v>0.0</v>
      </c>
      <c r="Q14" s="21">
        <v>0.0</v>
      </c>
      <c r="R14" s="15">
        <f t="shared" si="1"/>
        <v>37</v>
      </c>
      <c r="S14" s="16">
        <f t="shared" si="2"/>
        <v>2.466666667</v>
      </c>
      <c r="T14" s="17">
        <f>R14/$R23</f>
        <v>0.06457242583</v>
      </c>
    </row>
    <row r="15">
      <c r="A15" s="9">
        <v>13.0</v>
      </c>
      <c r="B15" s="10" t="s">
        <v>32</v>
      </c>
      <c r="C15" s="11">
        <v>1.0</v>
      </c>
      <c r="D15" s="11">
        <v>1.0</v>
      </c>
      <c r="E15" s="11">
        <v>0.0</v>
      </c>
      <c r="F15" s="11">
        <v>1.0</v>
      </c>
      <c r="G15" s="18">
        <v>1.0</v>
      </c>
      <c r="H15" s="18">
        <v>1.0</v>
      </c>
      <c r="I15" s="24">
        <v>2.0</v>
      </c>
      <c r="J15" s="22">
        <v>3.0</v>
      </c>
      <c r="K15" s="21">
        <v>0.0</v>
      </c>
      <c r="L15" s="21">
        <v>1.0</v>
      </c>
      <c r="M15" s="21">
        <v>0.0</v>
      </c>
      <c r="N15" s="21">
        <v>1.0</v>
      </c>
      <c r="O15" s="21">
        <v>0.0</v>
      </c>
      <c r="P15" s="21">
        <v>2.0</v>
      </c>
      <c r="Q15" s="21">
        <v>0.0</v>
      </c>
      <c r="R15" s="15">
        <f t="shared" si="1"/>
        <v>14</v>
      </c>
      <c r="S15" s="16">
        <f t="shared" si="2"/>
        <v>0.9333333333</v>
      </c>
      <c r="T15" s="17">
        <f>R15/$R23</f>
        <v>0.02443280977</v>
      </c>
    </row>
    <row r="16">
      <c r="A16" s="9">
        <v>14.0</v>
      </c>
      <c r="B16" s="10" t="s">
        <v>33</v>
      </c>
      <c r="C16" s="11">
        <v>4.0</v>
      </c>
      <c r="D16" s="11">
        <v>1.0</v>
      </c>
      <c r="E16" s="11">
        <v>3.0</v>
      </c>
      <c r="F16" s="11">
        <v>1.0</v>
      </c>
      <c r="G16" s="18">
        <v>1.0</v>
      </c>
      <c r="H16" s="18">
        <v>0.0</v>
      </c>
      <c r="I16" s="24">
        <v>5.0</v>
      </c>
      <c r="J16" s="20">
        <v>0.0</v>
      </c>
      <c r="K16" s="20">
        <v>0.0</v>
      </c>
      <c r="L16" s="20">
        <v>1.0</v>
      </c>
      <c r="M16" s="20">
        <v>0.0</v>
      </c>
      <c r="N16" s="21">
        <v>1.0</v>
      </c>
      <c r="O16" s="20">
        <v>0.0</v>
      </c>
      <c r="P16" s="20">
        <v>1.0</v>
      </c>
      <c r="Q16" s="20">
        <v>0.0</v>
      </c>
      <c r="R16" s="23">
        <f t="shared" si="1"/>
        <v>18</v>
      </c>
      <c r="S16" s="16">
        <f t="shared" si="2"/>
        <v>1.2</v>
      </c>
      <c r="T16" s="17">
        <f>R16/$R23</f>
        <v>0.03141361257</v>
      </c>
    </row>
    <row r="17">
      <c r="A17" s="9">
        <v>15.0</v>
      </c>
      <c r="B17" s="10" t="s">
        <v>34</v>
      </c>
      <c r="C17" s="11">
        <v>6.0</v>
      </c>
      <c r="D17" s="11">
        <v>0.0</v>
      </c>
      <c r="E17" s="11">
        <v>3.0</v>
      </c>
      <c r="F17" s="11">
        <v>3.0</v>
      </c>
      <c r="G17" s="11">
        <v>0.0</v>
      </c>
      <c r="H17" s="11">
        <v>2.0</v>
      </c>
      <c r="I17" s="20">
        <v>2.0</v>
      </c>
      <c r="J17" s="31"/>
      <c r="K17" s="32"/>
      <c r="L17" s="32"/>
      <c r="M17" s="32"/>
      <c r="N17" s="32"/>
      <c r="O17" s="32"/>
      <c r="P17" s="33"/>
      <c r="Q17" s="33"/>
      <c r="R17" s="23">
        <f>SUM(C17:I17)</f>
        <v>16</v>
      </c>
      <c r="S17" s="16">
        <f>AVERAGE(C17:I17)</f>
        <v>2.285714286</v>
      </c>
      <c r="T17" s="17">
        <f>R17/$R23</f>
        <v>0.02792321117</v>
      </c>
    </row>
    <row r="18">
      <c r="A18" s="9">
        <v>16.0</v>
      </c>
      <c r="B18" s="10" t="s">
        <v>35</v>
      </c>
      <c r="C18" s="18">
        <v>5.0</v>
      </c>
      <c r="D18" s="18">
        <v>2.0</v>
      </c>
      <c r="E18" s="18">
        <v>1.0</v>
      </c>
      <c r="F18" s="18">
        <v>1.0</v>
      </c>
      <c r="G18" s="18">
        <v>3.0</v>
      </c>
      <c r="H18" s="18">
        <v>3.0</v>
      </c>
      <c r="I18" s="20">
        <v>1.0</v>
      </c>
      <c r="J18" s="20">
        <v>0.0</v>
      </c>
      <c r="K18" s="20">
        <v>2.0</v>
      </c>
      <c r="L18" s="20">
        <v>1.0</v>
      </c>
      <c r="M18" s="20">
        <v>4.0</v>
      </c>
      <c r="N18" s="21">
        <v>2.0</v>
      </c>
      <c r="O18" s="20">
        <v>0.0</v>
      </c>
      <c r="P18" s="20">
        <v>1.0</v>
      </c>
      <c r="Q18" s="20">
        <v>0.0</v>
      </c>
      <c r="R18" s="23">
        <f t="shared" ref="R18:R22" si="3">SUM(C18:Q18)</f>
        <v>26</v>
      </c>
      <c r="S18" s="16">
        <f t="shared" ref="S18:S22" si="4">AVERAGE(C18:Q18)</f>
        <v>1.733333333</v>
      </c>
      <c r="T18" s="17">
        <f>R18/$R23</f>
        <v>0.04537521815</v>
      </c>
    </row>
    <row r="19">
      <c r="A19" s="9">
        <v>17.0</v>
      </c>
      <c r="B19" s="10" t="s">
        <v>36</v>
      </c>
      <c r="C19" s="18">
        <v>4.0</v>
      </c>
      <c r="D19" s="18">
        <v>4.0</v>
      </c>
      <c r="E19" s="18">
        <v>3.0</v>
      </c>
      <c r="F19" s="18">
        <v>1.0</v>
      </c>
      <c r="G19" s="26">
        <v>6.0</v>
      </c>
      <c r="H19" s="19">
        <v>1.0</v>
      </c>
      <c r="I19" s="20">
        <v>2.0</v>
      </c>
      <c r="J19" s="20">
        <v>1.0</v>
      </c>
      <c r="K19" s="20">
        <v>0.0</v>
      </c>
      <c r="L19" s="20">
        <v>1.0</v>
      </c>
      <c r="M19" s="20">
        <v>0.0</v>
      </c>
      <c r="N19" s="21">
        <v>5.0</v>
      </c>
      <c r="O19" s="20">
        <v>0.0</v>
      </c>
      <c r="P19" s="20">
        <v>1.0</v>
      </c>
      <c r="Q19" s="20">
        <v>0.0</v>
      </c>
      <c r="R19" s="23">
        <f t="shared" si="3"/>
        <v>29</v>
      </c>
      <c r="S19" s="16">
        <f t="shared" si="4"/>
        <v>1.933333333</v>
      </c>
      <c r="T19" s="17">
        <f>R19/$R23</f>
        <v>0.05061082024</v>
      </c>
    </row>
    <row r="20">
      <c r="A20" s="9">
        <v>18.0</v>
      </c>
      <c r="B20" s="10" t="s">
        <v>37</v>
      </c>
      <c r="C20" s="18">
        <v>3.0</v>
      </c>
      <c r="D20" s="18">
        <v>1.0</v>
      </c>
      <c r="E20" s="18">
        <v>2.0</v>
      </c>
      <c r="F20" s="19">
        <v>8.0</v>
      </c>
      <c r="G20" s="19">
        <v>0.0</v>
      </c>
      <c r="H20" s="19">
        <v>0.0</v>
      </c>
      <c r="I20" s="20">
        <v>2.0</v>
      </c>
      <c r="J20" s="20">
        <v>0.0</v>
      </c>
      <c r="K20" s="20">
        <v>0.0</v>
      </c>
      <c r="L20" s="20">
        <v>1.0</v>
      </c>
      <c r="M20" s="20">
        <v>0.0</v>
      </c>
      <c r="N20" s="21">
        <v>2.0</v>
      </c>
      <c r="O20" s="20">
        <v>0.0</v>
      </c>
      <c r="P20" s="20">
        <v>1.0</v>
      </c>
      <c r="Q20" s="20">
        <v>0.0</v>
      </c>
      <c r="R20" s="23">
        <f t="shared" si="3"/>
        <v>20</v>
      </c>
      <c r="S20" s="16">
        <f t="shared" si="4"/>
        <v>1.333333333</v>
      </c>
      <c r="T20" s="17">
        <f>R20/$R23</f>
        <v>0.03490401396</v>
      </c>
    </row>
    <row r="21">
      <c r="A21" s="9">
        <v>19.0</v>
      </c>
      <c r="B21" s="10" t="s">
        <v>38</v>
      </c>
      <c r="C21" s="18">
        <v>2.0</v>
      </c>
      <c r="D21" s="18">
        <v>2.0</v>
      </c>
      <c r="E21" s="19">
        <v>2.0</v>
      </c>
      <c r="F21" s="19">
        <v>3.0</v>
      </c>
      <c r="G21" s="19">
        <v>0.0</v>
      </c>
      <c r="H21" s="19">
        <v>0.0</v>
      </c>
      <c r="I21" s="20">
        <v>0.0</v>
      </c>
      <c r="J21" s="20">
        <v>1.0</v>
      </c>
      <c r="K21" s="20">
        <v>1.0</v>
      </c>
      <c r="L21" s="20">
        <v>0.0</v>
      </c>
      <c r="M21" s="20">
        <v>0.0</v>
      </c>
      <c r="N21" s="21">
        <v>3.0</v>
      </c>
      <c r="O21" s="20">
        <v>0.0</v>
      </c>
      <c r="P21" s="20">
        <v>1.0</v>
      </c>
      <c r="Q21" s="20">
        <v>0.0</v>
      </c>
      <c r="R21" s="23">
        <f t="shared" si="3"/>
        <v>15</v>
      </c>
      <c r="S21" s="16">
        <f t="shared" si="4"/>
        <v>1</v>
      </c>
      <c r="T21" s="17">
        <f>R21/$R23</f>
        <v>0.02617801047</v>
      </c>
    </row>
    <row r="22">
      <c r="A22" s="9">
        <v>20.0</v>
      </c>
      <c r="B22" s="10" t="s">
        <v>39</v>
      </c>
      <c r="C22" s="11">
        <v>4.0</v>
      </c>
      <c r="D22" s="19">
        <v>4.0</v>
      </c>
      <c r="E22" s="19">
        <v>2.0</v>
      </c>
      <c r="F22" s="19">
        <v>7.0</v>
      </c>
      <c r="G22" s="19">
        <v>0.0</v>
      </c>
      <c r="H22" s="19">
        <v>1.0</v>
      </c>
      <c r="I22" s="20">
        <v>0.0</v>
      </c>
      <c r="J22" s="20">
        <v>0.0</v>
      </c>
      <c r="K22" s="20">
        <v>1.0</v>
      </c>
      <c r="L22" s="20">
        <v>1.0</v>
      </c>
      <c r="M22" s="20">
        <v>0.0</v>
      </c>
      <c r="N22" s="21">
        <v>1.0</v>
      </c>
      <c r="O22" s="20">
        <v>0.0</v>
      </c>
      <c r="P22" s="20">
        <v>1.0</v>
      </c>
      <c r="Q22" s="20">
        <v>0.0</v>
      </c>
      <c r="R22" s="23">
        <f t="shared" si="3"/>
        <v>22</v>
      </c>
      <c r="S22" s="16">
        <f t="shared" si="4"/>
        <v>1.466666667</v>
      </c>
      <c r="T22" s="17">
        <f>R22/$R23</f>
        <v>0.03839441536</v>
      </c>
    </row>
    <row r="23">
      <c r="A23" s="4" t="s">
        <v>40</v>
      </c>
      <c r="B23" s="3"/>
      <c r="C23" s="23">
        <f t="shared" ref="C23:R23" si="5">SUM(C3:C22)</f>
        <v>64</v>
      </c>
      <c r="D23" s="23">
        <f t="shared" si="5"/>
        <v>42</v>
      </c>
      <c r="E23" s="23">
        <f t="shared" si="5"/>
        <v>39</v>
      </c>
      <c r="F23" s="23">
        <f t="shared" si="5"/>
        <v>48</v>
      </c>
      <c r="G23" s="23">
        <f t="shared" si="5"/>
        <v>37</v>
      </c>
      <c r="H23" s="23">
        <f t="shared" si="5"/>
        <v>31</v>
      </c>
      <c r="I23" s="23">
        <f t="shared" si="5"/>
        <v>33</v>
      </c>
      <c r="J23" s="23">
        <f t="shared" si="5"/>
        <v>26</v>
      </c>
      <c r="K23" s="23">
        <f t="shared" si="5"/>
        <v>29</v>
      </c>
      <c r="L23" s="23">
        <f t="shared" si="5"/>
        <v>23</v>
      </c>
      <c r="M23" s="23">
        <f t="shared" si="5"/>
        <v>40</v>
      </c>
      <c r="N23" s="23">
        <f t="shared" si="5"/>
        <v>54</v>
      </c>
      <c r="O23" s="23">
        <f t="shared" si="5"/>
        <v>21</v>
      </c>
      <c r="P23" s="23">
        <f t="shared" si="5"/>
        <v>48</v>
      </c>
      <c r="Q23" s="23">
        <f t="shared" si="5"/>
        <v>38</v>
      </c>
      <c r="R23" s="23">
        <f t="shared" si="5"/>
        <v>573</v>
      </c>
      <c r="S23" s="34"/>
      <c r="T23" s="34"/>
    </row>
    <row r="24">
      <c r="A24" s="35" t="s">
        <v>18</v>
      </c>
      <c r="B24" s="3"/>
      <c r="C24" s="36">
        <f t="shared" ref="C24:Q24" si="6">AVERAGE(C3:C22)</f>
        <v>3.2</v>
      </c>
      <c r="D24" s="36">
        <f t="shared" si="6"/>
        <v>2.1</v>
      </c>
      <c r="E24" s="36">
        <f t="shared" si="6"/>
        <v>1.95</v>
      </c>
      <c r="F24" s="36">
        <f t="shared" si="6"/>
        <v>2.4</v>
      </c>
      <c r="G24" s="36">
        <f t="shared" si="6"/>
        <v>1.85</v>
      </c>
      <c r="H24" s="36">
        <f t="shared" si="6"/>
        <v>1.55</v>
      </c>
      <c r="I24" s="36">
        <f t="shared" si="6"/>
        <v>1.65</v>
      </c>
      <c r="J24" s="36">
        <f t="shared" si="6"/>
        <v>1.368421053</v>
      </c>
      <c r="K24" s="36">
        <f t="shared" si="6"/>
        <v>1.526315789</v>
      </c>
      <c r="L24" s="36">
        <f t="shared" si="6"/>
        <v>1.210526316</v>
      </c>
      <c r="M24" s="36">
        <f t="shared" si="6"/>
        <v>2.105263158</v>
      </c>
      <c r="N24" s="36">
        <f t="shared" si="6"/>
        <v>2.842105263</v>
      </c>
      <c r="O24" s="36">
        <f t="shared" si="6"/>
        <v>1.105263158</v>
      </c>
      <c r="P24" s="36">
        <f t="shared" si="6"/>
        <v>2.526315789</v>
      </c>
      <c r="Q24" s="36">
        <f t="shared" si="6"/>
        <v>2</v>
      </c>
      <c r="R24" s="37" t="str">
        <f>HYPERLINK("https://drive.google.com/open?id=142Frm26HKIjBtQiYgM6ZIiNitD8PmcZyyJVFBuwNLYo","Count Differences")</f>
        <v>Count Differences</v>
      </c>
      <c r="S24" s="2"/>
      <c r="T24" s="3"/>
    </row>
    <row r="25">
      <c r="A25" s="4" t="s">
        <v>41</v>
      </c>
      <c r="B25" s="3"/>
      <c r="C25" s="38" t="str">
        <f>HYPERLINK("https://drive.google.com/open?id=1vifdrbrq2kkJ2yimzf3y2uvR8hV5LmyKnIxMLcBYpcA","Link")</f>
        <v>Link</v>
      </c>
      <c r="D25" s="38" t="str">
        <f>HYPERLINK("https://drive.google.com/open?id=1s_FoYoZ7puB8Ls2z1AqMu1U9EQtdn4U2pA-AEIhg18k","Link")</f>
        <v>Link</v>
      </c>
      <c r="E25" s="38" t="str">
        <f>HYPERLINK("https://drive.google.com/open?id=1kEwWWf9fXp__R5wwoZxR764qx1Ky9vchusx-Ag9Zmaw","Link")</f>
        <v>Link</v>
      </c>
      <c r="F25" s="38" t="str">
        <f>HYPERLINK("https://drive.google.com/open?id=19dbnUQk0Wb-WZUVp5SRpIDXUFLBuhaUfkERU7edm850","Link")</f>
        <v>Link</v>
      </c>
      <c r="G25" s="38" t="str">
        <f>HYPERLINK("https://drive.google.com/open?id=1bBvPtCnlkfdWHvBEvBdXYC-DTgcO8JbWCg8mJWryH1w","Link")</f>
        <v>Link</v>
      </c>
      <c r="H25" s="38" t="str">
        <f>HYPERLINK("https://drive.google.com/open?id=1m0Su0vMFS5IilmUJ_K_3-2iCRDDV61dbpRJZt9eligM","Link")</f>
        <v>Link</v>
      </c>
      <c r="I25" s="39" t="s">
        <v>42</v>
      </c>
      <c r="J25" s="39" t="s">
        <v>42</v>
      </c>
      <c r="K25" s="39" t="s">
        <v>42</v>
      </c>
      <c r="L25" s="39" t="s">
        <v>42</v>
      </c>
      <c r="M25" s="39" t="s">
        <v>42</v>
      </c>
      <c r="N25" s="39" t="s">
        <v>42</v>
      </c>
      <c r="O25" s="39" t="s">
        <v>42</v>
      </c>
      <c r="P25" s="39" t="s">
        <v>42</v>
      </c>
      <c r="Q25" s="40" t="str">
        <f>HYPERLINK("https://drive.google.com/open?id=1iHVFa8N9PtqRHbjhNeQu9TcJJ-PUahwPK-mhfEHS1Qo","Link")</f>
        <v>Link</v>
      </c>
      <c r="R25" s="41" t="str">
        <f>HYPERLINK("https://drive.google.com/open?id=1_RFNGsNwR8NCJPH3wd7BFp9mgRJKRNzI-lDBnBhr3U8","Season Transcript")</f>
        <v>Season Transcript</v>
      </c>
      <c r="S25" s="2"/>
      <c r="T25" s="3"/>
    </row>
    <row r="26"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3"/>
      <c r="T26" s="44"/>
    </row>
    <row r="27">
      <c r="A27" s="45" t="s">
        <v>43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7"/>
      <c r="T27" s="48"/>
    </row>
    <row r="28">
      <c r="A28" s="49" t="s">
        <v>44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7"/>
      <c r="T28" s="48"/>
    </row>
    <row r="29">
      <c r="A29" s="50" t="s">
        <v>45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7"/>
      <c r="T29" s="48"/>
    </row>
    <row r="30">
      <c r="A30" s="51" t="s">
        <v>46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  <c r="T30" s="48"/>
    </row>
    <row r="31">
      <c r="A31" s="52" t="s">
        <v>47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7"/>
      <c r="T31" s="48"/>
    </row>
  </sheetData>
  <mergeCells count="13">
    <mergeCell ref="A26:B26"/>
    <mergeCell ref="A27:B27"/>
    <mergeCell ref="A28:B28"/>
    <mergeCell ref="A29:B29"/>
    <mergeCell ref="A30:B30"/>
    <mergeCell ref="A31:B31"/>
    <mergeCell ref="A1:T1"/>
    <mergeCell ref="A2:B2"/>
    <mergeCell ref="A23:B23"/>
    <mergeCell ref="A24:B24"/>
    <mergeCell ref="R24:T24"/>
    <mergeCell ref="A25:B25"/>
    <mergeCell ref="R25:T25"/>
  </mergeCells>
  <hyperlinks>
    <hyperlink r:id="rId2" ref="I25"/>
    <hyperlink r:id="rId3" ref="J25"/>
    <hyperlink r:id="rId4" ref="K25"/>
    <hyperlink r:id="rId5" ref="L25"/>
    <hyperlink r:id="rId6" ref="M25"/>
    <hyperlink r:id="rId7" ref="N25"/>
    <hyperlink r:id="rId8" ref="O25"/>
    <hyperlink r:id="rId9" ref="P25"/>
  </hyperlinks>
  <drawing r:id="rId10"/>
  <legacyDrawing r:id="rId1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208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17</v>
      </c>
      <c r="R2" s="7" t="s">
        <v>18</v>
      </c>
      <c r="S2" s="8" t="s">
        <v>19</v>
      </c>
    </row>
    <row r="3">
      <c r="A3" s="9">
        <v>1.0</v>
      </c>
      <c r="B3" s="9" t="s">
        <v>20</v>
      </c>
      <c r="C3" s="172">
        <v>3.0</v>
      </c>
      <c r="D3" s="172">
        <v>7.0</v>
      </c>
      <c r="E3" s="172">
        <v>5.0</v>
      </c>
      <c r="F3" s="172">
        <v>1.0</v>
      </c>
      <c r="G3" s="177">
        <v>3.0</v>
      </c>
      <c r="H3" s="177">
        <v>6.0</v>
      </c>
      <c r="I3" s="59">
        <v>7.0</v>
      </c>
      <c r="J3" s="60">
        <v>6.0</v>
      </c>
      <c r="K3" s="60">
        <v>10.0</v>
      </c>
      <c r="L3" s="60">
        <v>9.0</v>
      </c>
      <c r="M3" s="60">
        <v>13.0</v>
      </c>
      <c r="N3" s="60">
        <v>6.0</v>
      </c>
      <c r="O3" s="60">
        <v>8.0</v>
      </c>
      <c r="P3" s="61">
        <v>13.0</v>
      </c>
      <c r="Q3" s="23">
        <f t="shared" ref="Q3:Q20" si="1">SUM(C3:P3)</f>
        <v>97</v>
      </c>
      <c r="R3" s="16">
        <f t="shared" ref="R3:R6" si="2">AVERAGE(C3:P3)</f>
        <v>6.928571429</v>
      </c>
      <c r="S3" s="17">
        <f t="shared" ref="S3:S20" si="3">Q3/Q$21</f>
        <v>0.211328976</v>
      </c>
    </row>
    <row r="4">
      <c r="A4" s="9">
        <v>2.0</v>
      </c>
      <c r="B4" s="9" t="s">
        <v>164</v>
      </c>
      <c r="C4" s="172">
        <v>1.0</v>
      </c>
      <c r="D4" s="172">
        <v>0.0</v>
      </c>
      <c r="E4" s="172">
        <v>1.0</v>
      </c>
      <c r="F4" s="172">
        <v>2.0</v>
      </c>
      <c r="G4" s="177">
        <v>1.0</v>
      </c>
      <c r="H4" s="177">
        <v>1.0</v>
      </c>
      <c r="I4" s="55">
        <v>0.0</v>
      </c>
      <c r="J4" s="56">
        <v>6.0</v>
      </c>
      <c r="K4" s="56">
        <v>2.0</v>
      </c>
      <c r="L4" s="56">
        <v>3.0</v>
      </c>
      <c r="M4" s="56">
        <v>1.0</v>
      </c>
      <c r="N4" s="56">
        <v>3.0</v>
      </c>
      <c r="O4" s="56">
        <v>4.0</v>
      </c>
      <c r="P4" s="57">
        <v>11.0</v>
      </c>
      <c r="Q4" s="23">
        <f t="shared" si="1"/>
        <v>36</v>
      </c>
      <c r="R4" s="16">
        <f t="shared" si="2"/>
        <v>2.571428571</v>
      </c>
      <c r="S4" s="17">
        <f t="shared" si="3"/>
        <v>0.07843137255</v>
      </c>
    </row>
    <row r="5">
      <c r="A5" s="9">
        <v>3.0</v>
      </c>
      <c r="B5" s="9" t="s">
        <v>163</v>
      </c>
      <c r="C5" s="178">
        <v>3.0</v>
      </c>
      <c r="D5" s="178">
        <v>2.0</v>
      </c>
      <c r="E5" s="178">
        <v>1.0</v>
      </c>
      <c r="F5" s="178">
        <v>3.0</v>
      </c>
      <c r="G5" s="172">
        <v>1.0</v>
      </c>
      <c r="H5" s="172">
        <v>1.0</v>
      </c>
      <c r="I5" s="55">
        <v>9.0</v>
      </c>
      <c r="J5" s="56">
        <v>6.0</v>
      </c>
      <c r="K5" s="56">
        <v>1.0</v>
      </c>
      <c r="L5" s="56">
        <v>1.0</v>
      </c>
      <c r="M5" s="56">
        <v>3.0</v>
      </c>
      <c r="N5" s="56">
        <v>12.0</v>
      </c>
      <c r="O5" s="56">
        <v>8.0</v>
      </c>
      <c r="P5" s="57">
        <v>11.0</v>
      </c>
      <c r="Q5" s="23">
        <f t="shared" si="1"/>
        <v>62</v>
      </c>
      <c r="R5" s="16">
        <f t="shared" si="2"/>
        <v>4.428571429</v>
      </c>
      <c r="S5" s="17">
        <f t="shared" si="3"/>
        <v>0.1350762527</v>
      </c>
    </row>
    <row r="6">
      <c r="A6" s="9">
        <v>4.0</v>
      </c>
      <c r="B6" s="9" t="s">
        <v>154</v>
      </c>
      <c r="C6" s="178">
        <v>5.0</v>
      </c>
      <c r="D6" s="178">
        <v>1.0</v>
      </c>
      <c r="E6" s="178">
        <v>2.0</v>
      </c>
      <c r="F6" s="178">
        <v>2.0</v>
      </c>
      <c r="G6" s="172">
        <v>5.0</v>
      </c>
      <c r="H6" s="172">
        <v>4.0</v>
      </c>
      <c r="I6" s="55">
        <v>4.0</v>
      </c>
      <c r="J6" s="56">
        <v>9.0</v>
      </c>
      <c r="K6" s="56">
        <v>4.0</v>
      </c>
      <c r="L6" s="56">
        <v>6.0</v>
      </c>
      <c r="M6" s="56">
        <v>7.0</v>
      </c>
      <c r="N6" s="56">
        <v>6.0</v>
      </c>
      <c r="O6" s="56">
        <v>5.0</v>
      </c>
      <c r="P6" s="66">
        <v>7.0</v>
      </c>
      <c r="Q6" s="23">
        <f t="shared" si="1"/>
        <v>67</v>
      </c>
      <c r="R6" s="16">
        <f t="shared" si="2"/>
        <v>4.785714286</v>
      </c>
      <c r="S6" s="17">
        <f t="shared" si="3"/>
        <v>0.1459694989</v>
      </c>
    </row>
    <row r="7">
      <c r="A7" s="9">
        <v>5.0</v>
      </c>
      <c r="B7" s="9" t="s">
        <v>209</v>
      </c>
      <c r="C7" s="172">
        <v>3.0</v>
      </c>
      <c r="D7" s="172">
        <v>1.0</v>
      </c>
      <c r="E7" s="172">
        <v>1.0</v>
      </c>
      <c r="F7" s="172">
        <v>0.0</v>
      </c>
      <c r="G7" s="177">
        <v>3.0</v>
      </c>
      <c r="H7" s="177">
        <v>2.0</v>
      </c>
      <c r="I7" s="55">
        <v>1.0</v>
      </c>
      <c r="J7" s="56">
        <v>0.0</v>
      </c>
      <c r="K7" s="56">
        <v>4.0</v>
      </c>
      <c r="L7" s="56">
        <v>3.0</v>
      </c>
      <c r="M7" s="56">
        <v>1.0</v>
      </c>
      <c r="N7" s="56">
        <v>0.0</v>
      </c>
      <c r="O7" s="66">
        <v>3.0</v>
      </c>
      <c r="P7" s="179"/>
      <c r="Q7" s="23">
        <f t="shared" si="1"/>
        <v>22</v>
      </c>
      <c r="R7" s="16">
        <f>AVERAGE(C7:O7)</f>
        <v>1.692307692</v>
      </c>
      <c r="S7" s="17">
        <f t="shared" si="3"/>
        <v>0.04793028322</v>
      </c>
    </row>
    <row r="8">
      <c r="A8" s="9">
        <v>6.0</v>
      </c>
      <c r="B8" s="9" t="s">
        <v>155</v>
      </c>
      <c r="C8" s="178">
        <v>3.0</v>
      </c>
      <c r="D8" s="178">
        <v>3.0</v>
      </c>
      <c r="E8" s="178">
        <v>3.0</v>
      </c>
      <c r="F8" s="178">
        <v>1.0</v>
      </c>
      <c r="G8" s="172">
        <v>2.0</v>
      </c>
      <c r="H8" s="172">
        <v>3.0</v>
      </c>
      <c r="I8" s="55">
        <v>1.0</v>
      </c>
      <c r="J8" s="56">
        <v>1.0</v>
      </c>
      <c r="K8" s="56">
        <v>3.0</v>
      </c>
      <c r="L8" s="56">
        <v>2.0</v>
      </c>
      <c r="M8" s="56">
        <v>3.0</v>
      </c>
      <c r="N8" s="66">
        <v>3.0</v>
      </c>
      <c r="O8" s="69"/>
      <c r="P8" s="67"/>
      <c r="Q8" s="23">
        <f t="shared" si="1"/>
        <v>28</v>
      </c>
      <c r="R8" s="16">
        <f>AVERAGE(C8:N8)</f>
        <v>2.333333333</v>
      </c>
      <c r="S8" s="17">
        <f t="shared" si="3"/>
        <v>0.06100217865</v>
      </c>
    </row>
    <row r="9">
      <c r="A9" s="9">
        <v>7.0</v>
      </c>
      <c r="B9" s="9" t="s">
        <v>210</v>
      </c>
      <c r="C9" s="177">
        <v>3.0</v>
      </c>
      <c r="D9" s="177">
        <v>0.0</v>
      </c>
      <c r="E9" s="177">
        <v>3.0</v>
      </c>
      <c r="F9" s="177">
        <v>0.0</v>
      </c>
      <c r="G9" s="177">
        <v>2.0</v>
      </c>
      <c r="H9" s="177">
        <v>2.0</v>
      </c>
      <c r="I9" s="55">
        <v>1.0</v>
      </c>
      <c r="J9" s="56">
        <v>0.0</v>
      </c>
      <c r="K9" s="56">
        <v>1.0</v>
      </c>
      <c r="L9" s="56">
        <v>3.0</v>
      </c>
      <c r="M9" s="66">
        <v>1.0</v>
      </c>
      <c r="N9" s="69"/>
      <c r="O9" s="69"/>
      <c r="P9" s="67"/>
      <c r="Q9" s="23">
        <f t="shared" si="1"/>
        <v>16</v>
      </c>
      <c r="R9" s="16">
        <f>AVERAGE(C9:M9)</f>
        <v>1.454545455</v>
      </c>
      <c r="S9" s="17">
        <f t="shared" si="3"/>
        <v>0.0348583878</v>
      </c>
    </row>
    <row r="10">
      <c r="A10" s="9">
        <v>8.0</v>
      </c>
      <c r="B10" s="9" t="s">
        <v>211</v>
      </c>
      <c r="C10" s="177">
        <v>1.0</v>
      </c>
      <c r="D10" s="177">
        <v>0.0</v>
      </c>
      <c r="E10" s="177">
        <v>3.0</v>
      </c>
      <c r="F10" s="177">
        <v>3.0</v>
      </c>
      <c r="G10" s="172">
        <v>0.0</v>
      </c>
      <c r="H10" s="172">
        <v>2.0</v>
      </c>
      <c r="I10" s="55">
        <v>1.0</v>
      </c>
      <c r="J10" s="56">
        <v>0.0</v>
      </c>
      <c r="K10" s="56">
        <v>1.0</v>
      </c>
      <c r="L10" s="66">
        <v>1.0</v>
      </c>
      <c r="M10" s="69"/>
      <c r="N10" s="69"/>
      <c r="O10" s="69"/>
      <c r="P10" s="67"/>
      <c r="Q10" s="23">
        <f t="shared" si="1"/>
        <v>12</v>
      </c>
      <c r="R10" s="16">
        <f>AVERAGE(C10:L10)</f>
        <v>1.2</v>
      </c>
      <c r="S10" s="17">
        <f t="shared" si="3"/>
        <v>0.02614379085</v>
      </c>
    </row>
    <row r="11">
      <c r="A11" s="9">
        <v>9.0</v>
      </c>
      <c r="B11" s="9" t="s">
        <v>212</v>
      </c>
      <c r="C11" s="177">
        <v>3.0</v>
      </c>
      <c r="D11" s="177">
        <v>0.0</v>
      </c>
      <c r="E11" s="177">
        <v>5.0</v>
      </c>
      <c r="F11" s="177">
        <v>3.0</v>
      </c>
      <c r="G11" s="177">
        <v>5.0</v>
      </c>
      <c r="H11" s="177">
        <v>1.0</v>
      </c>
      <c r="I11" s="55">
        <v>1.0</v>
      </c>
      <c r="J11" s="56">
        <v>0.0</v>
      </c>
      <c r="K11" s="66">
        <v>5.0</v>
      </c>
      <c r="L11" s="69"/>
      <c r="M11" s="69"/>
      <c r="N11" s="69"/>
      <c r="O11" s="69"/>
      <c r="P11" s="67"/>
      <c r="Q11" s="23">
        <f t="shared" si="1"/>
        <v>23</v>
      </c>
      <c r="R11" s="16">
        <f>AVERAGE(C11:K11)</f>
        <v>2.555555556</v>
      </c>
      <c r="S11" s="17">
        <f t="shared" si="3"/>
        <v>0.05010893246</v>
      </c>
    </row>
    <row r="12">
      <c r="A12" s="9">
        <v>10.0</v>
      </c>
      <c r="B12" s="9" t="s">
        <v>65</v>
      </c>
      <c r="C12" s="177">
        <v>7.0</v>
      </c>
      <c r="D12" s="177">
        <v>1.0</v>
      </c>
      <c r="E12" s="177">
        <v>1.0</v>
      </c>
      <c r="F12" s="177">
        <v>2.0</v>
      </c>
      <c r="G12" s="172">
        <v>1.0</v>
      </c>
      <c r="H12" s="172">
        <v>0.0</v>
      </c>
      <c r="I12" s="55">
        <v>0.0</v>
      </c>
      <c r="J12" s="66">
        <v>3.0</v>
      </c>
      <c r="K12" s="69"/>
      <c r="L12" s="69"/>
      <c r="M12" s="69"/>
      <c r="N12" s="69"/>
      <c r="O12" s="69"/>
      <c r="P12" s="67"/>
      <c r="Q12" s="23">
        <f t="shared" si="1"/>
        <v>15</v>
      </c>
      <c r="R12" s="16">
        <f>AVERAGE(C12:J12)</f>
        <v>1.875</v>
      </c>
      <c r="S12" s="17">
        <f t="shared" si="3"/>
        <v>0.03267973856</v>
      </c>
    </row>
    <row r="13">
      <c r="A13" s="9">
        <v>11.0</v>
      </c>
      <c r="B13" s="9" t="s">
        <v>23</v>
      </c>
      <c r="C13" s="172">
        <v>4.0</v>
      </c>
      <c r="D13" s="172">
        <v>2.0</v>
      </c>
      <c r="E13" s="172">
        <v>4.0</v>
      </c>
      <c r="F13" s="172">
        <v>4.0</v>
      </c>
      <c r="G13" s="172">
        <v>2.0</v>
      </c>
      <c r="H13" s="172">
        <v>1.0</v>
      </c>
      <c r="I13" s="68">
        <v>9.0</v>
      </c>
      <c r="J13" s="69"/>
      <c r="K13" s="69"/>
      <c r="L13" s="69"/>
      <c r="M13" s="69"/>
      <c r="N13" s="69"/>
      <c r="O13" s="69"/>
      <c r="P13" s="67"/>
      <c r="Q13" s="23">
        <f t="shared" si="1"/>
        <v>26</v>
      </c>
      <c r="R13" s="16">
        <f>AVERAGE(C13:I13)</f>
        <v>3.714285714</v>
      </c>
      <c r="S13" s="17">
        <f t="shared" si="3"/>
        <v>0.05664488017</v>
      </c>
    </row>
    <row r="14">
      <c r="A14" s="9">
        <v>12.0</v>
      </c>
      <c r="B14" s="9" t="s">
        <v>213</v>
      </c>
      <c r="C14" s="177">
        <v>3.0</v>
      </c>
      <c r="D14" s="177">
        <v>0.0</v>
      </c>
      <c r="E14" s="177">
        <v>2.0</v>
      </c>
      <c r="F14" s="177">
        <v>2.0</v>
      </c>
      <c r="G14" s="172">
        <v>1.0</v>
      </c>
      <c r="H14" s="180">
        <v>4.0</v>
      </c>
      <c r="I14" s="76"/>
      <c r="J14" s="76"/>
      <c r="K14" s="76"/>
      <c r="L14" s="76"/>
      <c r="M14" s="76"/>
      <c r="N14" s="76"/>
      <c r="O14" s="76"/>
      <c r="P14" s="77"/>
      <c r="Q14" s="23">
        <f t="shared" si="1"/>
        <v>12</v>
      </c>
      <c r="R14" s="16">
        <f t="shared" ref="R14:R15" si="4">AVERAGE(C14:H14)</f>
        <v>2</v>
      </c>
      <c r="S14" s="17">
        <f t="shared" si="3"/>
        <v>0.02614379085</v>
      </c>
    </row>
    <row r="15">
      <c r="A15" s="9">
        <v>13.0</v>
      </c>
      <c r="B15" s="9" t="s">
        <v>182</v>
      </c>
      <c r="C15" s="172">
        <v>3.0</v>
      </c>
      <c r="D15" s="172">
        <v>1.0</v>
      </c>
      <c r="E15" s="172">
        <v>0.0</v>
      </c>
      <c r="F15" s="172">
        <v>0.0</v>
      </c>
      <c r="G15" s="177">
        <v>1.0</v>
      </c>
      <c r="H15" s="181">
        <v>1.0</v>
      </c>
      <c r="I15" s="76"/>
      <c r="J15" s="76"/>
      <c r="K15" s="76"/>
      <c r="L15" s="76"/>
      <c r="M15" s="76"/>
      <c r="N15" s="76"/>
      <c r="O15" s="76"/>
      <c r="P15" s="77"/>
      <c r="Q15" s="23">
        <f t="shared" si="1"/>
        <v>6</v>
      </c>
      <c r="R15" s="16">
        <f t="shared" si="4"/>
        <v>1</v>
      </c>
      <c r="S15" s="17">
        <f t="shared" si="3"/>
        <v>0.01307189542</v>
      </c>
    </row>
    <row r="16">
      <c r="A16" s="9">
        <v>14.0</v>
      </c>
      <c r="B16" s="9" t="s">
        <v>214</v>
      </c>
      <c r="C16" s="172">
        <v>2.0</v>
      </c>
      <c r="D16" s="172">
        <v>3.0</v>
      </c>
      <c r="E16" s="172">
        <v>0.0</v>
      </c>
      <c r="F16" s="172">
        <v>1.0</v>
      </c>
      <c r="G16" s="181">
        <v>3.0</v>
      </c>
      <c r="H16" s="69"/>
      <c r="I16" s="76"/>
      <c r="J16" s="76"/>
      <c r="K16" s="76"/>
      <c r="L16" s="76"/>
      <c r="M16" s="76"/>
      <c r="N16" s="76"/>
      <c r="O16" s="76"/>
      <c r="P16" s="77"/>
      <c r="Q16" s="23">
        <f t="shared" si="1"/>
        <v>9</v>
      </c>
      <c r="R16" s="16">
        <f>AVERAGE(C16:G16)</f>
        <v>1.8</v>
      </c>
      <c r="S16" s="17">
        <f t="shared" si="3"/>
        <v>0.01960784314</v>
      </c>
    </row>
    <row r="17">
      <c r="A17" s="9">
        <v>15.0</v>
      </c>
      <c r="B17" s="9" t="s">
        <v>215</v>
      </c>
      <c r="C17" s="178">
        <v>2.0</v>
      </c>
      <c r="D17" s="178">
        <v>2.0</v>
      </c>
      <c r="E17" s="178">
        <v>1.0</v>
      </c>
      <c r="F17" s="182">
        <v>2.0</v>
      </c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23">
        <f t="shared" si="1"/>
        <v>7</v>
      </c>
      <c r="R17" s="16">
        <f>AVERAGE(C17:F17)</f>
        <v>1.75</v>
      </c>
      <c r="S17" s="17">
        <f t="shared" si="3"/>
        <v>0.01525054466</v>
      </c>
    </row>
    <row r="18">
      <c r="A18" s="9">
        <v>16.0</v>
      </c>
      <c r="B18" s="9" t="s">
        <v>216</v>
      </c>
      <c r="C18" s="177">
        <v>1.0</v>
      </c>
      <c r="D18" s="177">
        <v>3.0</v>
      </c>
      <c r="E18" s="181">
        <v>2.0</v>
      </c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7"/>
      <c r="Q18" s="23">
        <f t="shared" si="1"/>
        <v>6</v>
      </c>
      <c r="R18" s="16">
        <f>AVERAGE(C18:E18)</f>
        <v>2</v>
      </c>
      <c r="S18" s="17">
        <f t="shared" si="3"/>
        <v>0.01307189542</v>
      </c>
    </row>
    <row r="19">
      <c r="A19" s="9">
        <v>17.0</v>
      </c>
      <c r="B19" s="9" t="s">
        <v>217</v>
      </c>
      <c r="C19" s="178">
        <v>6.0</v>
      </c>
      <c r="D19" s="182">
        <v>5.0</v>
      </c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23">
        <f t="shared" si="1"/>
        <v>11</v>
      </c>
      <c r="R19" s="16">
        <f>AVERAGE(C19:D19)</f>
        <v>5.5</v>
      </c>
      <c r="S19" s="17">
        <f t="shared" si="3"/>
        <v>0.02396514161</v>
      </c>
    </row>
    <row r="20">
      <c r="A20" s="9">
        <v>18.0</v>
      </c>
      <c r="B20" s="9" t="s">
        <v>120</v>
      </c>
      <c r="C20" s="183">
        <v>4.0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80"/>
      <c r="Q20" s="23">
        <f t="shared" si="1"/>
        <v>4</v>
      </c>
      <c r="R20" s="184">
        <f>AVERAGE(C20)</f>
        <v>4</v>
      </c>
      <c r="S20" s="17">
        <f t="shared" si="3"/>
        <v>0.00871459695</v>
      </c>
    </row>
    <row r="21">
      <c r="A21" s="4" t="s">
        <v>40</v>
      </c>
      <c r="B21" s="3"/>
      <c r="C21" s="23">
        <f t="shared" ref="C21:Q21" si="5">SUM(C3:C20)</f>
        <v>57</v>
      </c>
      <c r="D21" s="23">
        <f t="shared" si="5"/>
        <v>31</v>
      </c>
      <c r="E21" s="23">
        <f t="shared" si="5"/>
        <v>34</v>
      </c>
      <c r="F21" s="23">
        <f t="shared" si="5"/>
        <v>26</v>
      </c>
      <c r="G21" s="23">
        <f t="shared" si="5"/>
        <v>30</v>
      </c>
      <c r="H21" s="23">
        <f t="shared" si="5"/>
        <v>28</v>
      </c>
      <c r="I21" s="23">
        <f t="shared" si="5"/>
        <v>34</v>
      </c>
      <c r="J21" s="23">
        <f t="shared" si="5"/>
        <v>31</v>
      </c>
      <c r="K21" s="23">
        <f t="shared" si="5"/>
        <v>31</v>
      </c>
      <c r="L21" s="23">
        <f t="shared" si="5"/>
        <v>28</v>
      </c>
      <c r="M21" s="23">
        <f t="shared" si="5"/>
        <v>29</v>
      </c>
      <c r="N21" s="23">
        <f t="shared" si="5"/>
        <v>30</v>
      </c>
      <c r="O21" s="23">
        <f t="shared" si="5"/>
        <v>28</v>
      </c>
      <c r="P21" s="23">
        <f t="shared" si="5"/>
        <v>42</v>
      </c>
      <c r="Q21" s="81">
        <f t="shared" si="5"/>
        <v>459</v>
      </c>
      <c r="R21" s="16"/>
      <c r="S21" s="82"/>
    </row>
    <row r="22">
      <c r="A22" s="35" t="s">
        <v>18</v>
      </c>
      <c r="B22" s="3"/>
      <c r="C22" s="16">
        <f>AVERAGE(C3:C20)</f>
        <v>3.166666667</v>
      </c>
      <c r="D22" s="16">
        <f>AVERAGE(D3:D19)</f>
        <v>1.823529412</v>
      </c>
      <c r="E22" s="16">
        <f>AVERAGE(E3:E18)</f>
        <v>2.125</v>
      </c>
      <c r="F22" s="16">
        <f>AVERAGE(F3:F17)</f>
        <v>1.733333333</v>
      </c>
      <c r="G22" s="16">
        <f>AVERAGE(G3:G16)</f>
        <v>2.142857143</v>
      </c>
      <c r="H22" s="16">
        <f>AVERAGE(H3:H15)</f>
        <v>2.153846154</v>
      </c>
      <c r="I22" s="16">
        <f>AVERAGE(I3:I13)</f>
        <v>3.090909091</v>
      </c>
      <c r="J22" s="16">
        <f>AVERAGE(J3:J12)</f>
        <v>3.1</v>
      </c>
      <c r="K22" s="16">
        <f>AVERAGE(K3:K11)</f>
        <v>3.444444444</v>
      </c>
      <c r="L22" s="16">
        <f>AVERAGE(L3:L10)</f>
        <v>3.5</v>
      </c>
      <c r="M22" s="16">
        <f>AVERAGE(M3:M9)</f>
        <v>4.142857143</v>
      </c>
      <c r="N22" s="16">
        <f>AVERAGE(N3:N8)</f>
        <v>5</v>
      </c>
      <c r="O22" s="16">
        <f>AVERAGE(O3:O7)</f>
        <v>5.6</v>
      </c>
      <c r="P22" s="16">
        <f>AVERAGE(P3:P6)</f>
        <v>10.5</v>
      </c>
      <c r="Q22" s="16"/>
      <c r="R22" s="16"/>
      <c r="S22" s="82"/>
    </row>
    <row r="23">
      <c r="A23" s="4" t="s">
        <v>41</v>
      </c>
      <c r="B23" s="3"/>
      <c r="C23" s="149" t="str">
        <f>HYPERLINK("https://docs.google.com/document/d/1-ovIU33W574u0q6hIyFSMj7w8myPkBeIm0bNrdB3qSc/edit?usp=sharing","Link")</f>
        <v>Link</v>
      </c>
      <c r="D23" s="149" t="str">
        <f>HYPERLINK("https://docs.google.com/document/d/1OhwAm4uq1g6PSeoG5CsjE711AXEgYeMwI8mcH0sPrJo/edit?usp=sharing","Link")</f>
        <v>Link</v>
      </c>
      <c r="E23" s="149" t="str">
        <f>HYPERLINK("https://docs.google.com/document/d/1H4HVZHuUJTW_dfxUbBR8833i1o7lFi8UoXpgHPC3eNQ/edit?usp=sharing","Link")</f>
        <v>Link</v>
      </c>
      <c r="F23" s="149" t="str">
        <f>HYPERLINK("https://docs.google.com/document/d/182ZKCUI6oLc7GdC4jv1rTQiYPsocn2zv0k3wCZCINos/edit?usp=sharing","Link")</f>
        <v>Link</v>
      </c>
      <c r="G23" s="149" t="str">
        <f>HYPERLINK("https://docs.google.com/document/d/1_nKGzygyT_wq1Kan9rAreu4T2q4J2TCtNpSZi1Kxbi4/edit?usp=sharing","Link")</f>
        <v>Link</v>
      </c>
      <c r="H23" s="149" t="str">
        <f>HYPERLINK("https://docs.google.com/document/d/1I07NQgx39g0Q7f8SriZaOaVu5NvKkOmIebvj1-pambo/edit?usp=sharing","Link")</f>
        <v>Link</v>
      </c>
      <c r="I23" s="149" t="str">
        <f>HYPERLINK("https://docs.google.com/document/d/1i8lnlMyiEbTMx0JhOdUhHWJOfQ9WlC0hX8ykJErwWfk/edit?usp=sharing","Link")</f>
        <v>Link</v>
      </c>
      <c r="J23" s="149" t="str">
        <f>HYPERLINK("https://docs.google.com/document/d/1ILkfXq2zZimc43MpeypZDiJq1_9U-mM0ouVs2iNXKIk/edit?usp=sharing","Link")</f>
        <v>Link</v>
      </c>
      <c r="K23" s="149" t="str">
        <f>HYPERLINK("https://docs.google.com/document/d/1Am6swIZ7BtHgv_KFWcwpvizBYbI1XzFu-1KNi4eqjHg/edit?usp=sharing","Link")</f>
        <v>Link</v>
      </c>
      <c r="L23" s="149" t="str">
        <f>HYPERLINK("https://docs.google.com/document/d/1T-C6ceGW5i3cd1E_8LThTzOcank_XWMB4WWsUDWBrzo/edit?usp=sharing","Link")</f>
        <v>Link</v>
      </c>
      <c r="M23" s="149" t="str">
        <f>HYPERLINK("https://docs.google.com/document/d/10DZlNqhPGUSwURK9iRdMhkOr8ZGiW6u-v8GxLFkx4WI/edit?usp=sharing","Link")</f>
        <v>Link</v>
      </c>
      <c r="N23" s="149" t="str">
        <f>HYPERLINK("https://docs.google.com/document/d/1dy9OWo0csRGIFwZOXODeCpck6gdBEhUGEF-9yK5tgvI/edit?usp=sharing","Link")</f>
        <v>Link</v>
      </c>
      <c r="O23" s="149" t="str">
        <f>HYPERLINK("https://docs.google.com/document/d/1rlPtuXOqzNWjtM5Bpqe8nzhicyNbvpj058f0wPBgr1w/edit?usp=sharing","Link")</f>
        <v>Link</v>
      </c>
      <c r="P23" s="149" t="str">
        <f>HYPERLINK("https://docs.google.com/document/d/118oVXQTfKMZcIXXwdg-H0K9vkzhrSIqoPpuEFVJ086U/edit?usp=sharing","Link")</f>
        <v>Link</v>
      </c>
      <c r="Q23" s="83" t="str">
        <f>HYPERLINK("https://docs.google.com/document/d/1UXO4pcxYmfZGHmRZ1yUTlYUa_oz-_VjDk2Xqfn72f-4/edit?usp=sharing","Season Transcript")</f>
        <v>Season Transcript</v>
      </c>
      <c r="R23" s="3"/>
      <c r="S23" s="138" t="str">
        <f>HYPERLINK("https://docs.google.com/document/d/1Vp_JgFG2QhbeCGTGMgFXvKCPAdp5cBDhNstGw_sssiM/edit?usp=sharing","Differences")</f>
        <v>Differences</v>
      </c>
    </row>
    <row r="24"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  <c r="S24" s="150"/>
    </row>
    <row r="25">
      <c r="A25" s="185" t="s">
        <v>218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152"/>
    </row>
    <row r="26">
      <c r="A26" s="186" t="s">
        <v>219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152"/>
    </row>
    <row r="27">
      <c r="A27" s="174" t="s">
        <v>220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152"/>
    </row>
    <row r="28">
      <c r="A28" s="51" t="s">
        <v>221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152"/>
    </row>
  </sheetData>
  <mergeCells count="11">
    <mergeCell ref="A25:B25"/>
    <mergeCell ref="A26:B26"/>
    <mergeCell ref="A27:B27"/>
    <mergeCell ref="A28:B28"/>
    <mergeCell ref="A1:S1"/>
    <mergeCell ref="A2:B2"/>
    <mergeCell ref="A21:B21"/>
    <mergeCell ref="A22:B22"/>
    <mergeCell ref="A23:B23"/>
    <mergeCell ref="Q23:R23"/>
    <mergeCell ref="A24:B24"/>
  </mergeCell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222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17</v>
      </c>
      <c r="R2" s="7" t="s">
        <v>18</v>
      </c>
      <c r="S2" s="8" t="s">
        <v>19</v>
      </c>
    </row>
    <row r="3">
      <c r="A3" s="9">
        <v>1.0</v>
      </c>
      <c r="B3" s="9" t="s">
        <v>30</v>
      </c>
      <c r="C3" s="187">
        <v>1.0</v>
      </c>
      <c r="D3" s="187">
        <v>1.0</v>
      </c>
      <c r="E3" s="187">
        <v>3.0</v>
      </c>
      <c r="F3" s="187">
        <v>4.0</v>
      </c>
      <c r="G3" s="187">
        <v>1.0</v>
      </c>
      <c r="H3" s="188">
        <v>5.0</v>
      </c>
      <c r="I3" s="188">
        <v>2.0</v>
      </c>
      <c r="J3" s="189">
        <v>3.0</v>
      </c>
      <c r="K3" s="189">
        <v>6.0</v>
      </c>
      <c r="L3" s="189">
        <v>4.0</v>
      </c>
      <c r="M3" s="189">
        <v>5.0</v>
      </c>
      <c r="N3" s="189">
        <v>3.0</v>
      </c>
      <c r="O3" s="189">
        <v>2.0</v>
      </c>
      <c r="P3" s="189">
        <v>8.0</v>
      </c>
      <c r="Q3" s="23">
        <f t="shared" ref="Q3:Q22" si="1">SUM(C3:P3)</f>
        <v>48</v>
      </c>
      <c r="R3" s="16">
        <f t="shared" ref="R3:R9" si="2">AVERAGE(C3:P3)</f>
        <v>3.428571429</v>
      </c>
      <c r="S3" s="17">
        <f t="shared" ref="S3:S22" si="3">Q3/Q$23</f>
        <v>0.1108545035</v>
      </c>
    </row>
    <row r="4">
      <c r="A4" s="9">
        <v>2.0</v>
      </c>
      <c r="B4" s="9" t="s">
        <v>166</v>
      </c>
      <c r="C4" s="187">
        <v>5.0</v>
      </c>
      <c r="D4" s="187">
        <v>2.0</v>
      </c>
      <c r="E4" s="187">
        <v>0.0</v>
      </c>
      <c r="F4" s="187">
        <v>2.0</v>
      </c>
      <c r="G4" s="187">
        <v>2.0</v>
      </c>
      <c r="H4" s="187">
        <v>4.0</v>
      </c>
      <c r="I4" s="187">
        <v>1.0</v>
      </c>
      <c r="J4" s="189">
        <v>2.0</v>
      </c>
      <c r="K4" s="189">
        <v>3.0</v>
      </c>
      <c r="L4" s="189">
        <v>0.0</v>
      </c>
      <c r="M4" s="189">
        <v>0.0</v>
      </c>
      <c r="N4" s="189">
        <v>0.0</v>
      </c>
      <c r="O4" s="189">
        <v>4.0</v>
      </c>
      <c r="P4" s="189">
        <v>9.0</v>
      </c>
      <c r="Q4" s="23">
        <f t="shared" si="1"/>
        <v>34</v>
      </c>
      <c r="R4" s="16">
        <f t="shared" si="2"/>
        <v>2.428571429</v>
      </c>
      <c r="S4" s="17">
        <f t="shared" si="3"/>
        <v>0.07852193995</v>
      </c>
    </row>
    <row r="5">
      <c r="A5" s="9">
        <v>3.0</v>
      </c>
      <c r="B5" s="9" t="s">
        <v>223</v>
      </c>
      <c r="C5" s="187">
        <v>4.0</v>
      </c>
      <c r="D5" s="187">
        <v>0.0</v>
      </c>
      <c r="E5" s="187">
        <v>0.0</v>
      </c>
      <c r="F5" s="187">
        <v>2.0</v>
      </c>
      <c r="G5" s="187">
        <v>0.0</v>
      </c>
      <c r="H5" s="188">
        <v>3.0</v>
      </c>
      <c r="I5" s="188">
        <v>0.0</v>
      </c>
      <c r="J5" s="189">
        <v>1.0</v>
      </c>
      <c r="K5" s="189">
        <v>2.0</v>
      </c>
      <c r="L5" s="189">
        <v>0.0</v>
      </c>
      <c r="M5" s="189">
        <v>3.0</v>
      </c>
      <c r="N5" s="189">
        <v>4.0</v>
      </c>
      <c r="O5" s="189">
        <v>2.0</v>
      </c>
      <c r="P5" s="189">
        <v>4.0</v>
      </c>
      <c r="Q5" s="23">
        <f t="shared" si="1"/>
        <v>25</v>
      </c>
      <c r="R5" s="16">
        <f t="shared" si="2"/>
        <v>1.785714286</v>
      </c>
      <c r="S5" s="17">
        <f t="shared" si="3"/>
        <v>0.05773672055</v>
      </c>
    </row>
    <row r="6">
      <c r="A6" s="9">
        <v>4.0</v>
      </c>
      <c r="B6" s="9" t="s">
        <v>224</v>
      </c>
      <c r="C6" s="187">
        <v>2.0</v>
      </c>
      <c r="D6" s="187">
        <v>1.0</v>
      </c>
      <c r="E6" s="187">
        <v>0.0</v>
      </c>
      <c r="F6" s="187">
        <v>0.0</v>
      </c>
      <c r="G6" s="187">
        <v>3.0</v>
      </c>
      <c r="H6" s="187">
        <v>3.0</v>
      </c>
      <c r="I6" s="187">
        <v>2.0</v>
      </c>
      <c r="J6" s="189">
        <v>0.0</v>
      </c>
      <c r="K6" s="189">
        <v>3.0</v>
      </c>
      <c r="L6" s="190">
        <v>0.0</v>
      </c>
      <c r="M6" s="190">
        <v>1.0</v>
      </c>
      <c r="N6" s="190">
        <v>0.0</v>
      </c>
      <c r="O6" s="190">
        <v>3.0</v>
      </c>
      <c r="P6" s="189">
        <v>7.0</v>
      </c>
      <c r="Q6" s="23">
        <f t="shared" si="1"/>
        <v>25</v>
      </c>
      <c r="R6" s="16">
        <f t="shared" si="2"/>
        <v>1.785714286</v>
      </c>
      <c r="S6" s="17">
        <f t="shared" si="3"/>
        <v>0.05773672055</v>
      </c>
    </row>
    <row r="7">
      <c r="A7" s="9">
        <v>5.0</v>
      </c>
      <c r="B7" s="9" t="s">
        <v>111</v>
      </c>
      <c r="C7" s="188">
        <v>2.0</v>
      </c>
      <c r="D7" s="188">
        <v>2.0</v>
      </c>
      <c r="E7" s="188">
        <v>1.0</v>
      </c>
      <c r="F7" s="188">
        <v>2.0</v>
      </c>
      <c r="G7" s="188">
        <v>4.0</v>
      </c>
      <c r="H7" s="188">
        <v>0.0</v>
      </c>
      <c r="I7" s="188">
        <v>1.0</v>
      </c>
      <c r="J7" s="189">
        <v>5.0</v>
      </c>
      <c r="K7" s="189">
        <v>0.0</v>
      </c>
      <c r="L7" s="189">
        <v>11.0</v>
      </c>
      <c r="M7" s="189">
        <v>3.0</v>
      </c>
      <c r="N7" s="189">
        <v>2.0</v>
      </c>
      <c r="O7" s="189">
        <v>5.0</v>
      </c>
      <c r="P7" s="189">
        <v>8.0</v>
      </c>
      <c r="Q7" s="23">
        <f t="shared" si="1"/>
        <v>46</v>
      </c>
      <c r="R7" s="16">
        <f t="shared" si="2"/>
        <v>3.285714286</v>
      </c>
      <c r="S7" s="17">
        <f t="shared" si="3"/>
        <v>0.1062355658</v>
      </c>
    </row>
    <row r="8">
      <c r="A8" s="9">
        <v>6.0</v>
      </c>
      <c r="B8" s="9" t="s">
        <v>225</v>
      </c>
      <c r="C8" s="187">
        <v>4.0</v>
      </c>
      <c r="D8" s="187">
        <v>0.0</v>
      </c>
      <c r="E8" s="187">
        <v>0.0</v>
      </c>
      <c r="F8" s="187">
        <v>1.0</v>
      </c>
      <c r="G8" s="187">
        <v>3.0</v>
      </c>
      <c r="H8" s="190">
        <v>0.0</v>
      </c>
      <c r="I8" s="190">
        <v>0.0</v>
      </c>
      <c r="J8" s="189">
        <v>3.0</v>
      </c>
      <c r="K8" s="189">
        <v>2.0</v>
      </c>
      <c r="L8" s="189">
        <v>5.0</v>
      </c>
      <c r="M8" s="190">
        <v>1.0</v>
      </c>
      <c r="N8" s="190">
        <v>0.0</v>
      </c>
      <c r="O8" s="190">
        <v>0.0</v>
      </c>
      <c r="P8" s="190">
        <v>1.0</v>
      </c>
      <c r="Q8" s="23">
        <f t="shared" si="1"/>
        <v>20</v>
      </c>
      <c r="R8" s="16">
        <f t="shared" si="2"/>
        <v>1.428571429</v>
      </c>
      <c r="S8" s="17">
        <f t="shared" si="3"/>
        <v>0.04618937644</v>
      </c>
    </row>
    <row r="9">
      <c r="A9" s="9">
        <v>7.0</v>
      </c>
      <c r="B9" s="9" t="s">
        <v>226</v>
      </c>
      <c r="C9" s="188">
        <v>2.0</v>
      </c>
      <c r="D9" s="188">
        <v>1.0</v>
      </c>
      <c r="E9" s="188">
        <v>2.0</v>
      </c>
      <c r="F9" s="188">
        <v>1.0</v>
      </c>
      <c r="G9" s="188">
        <v>1.0</v>
      </c>
      <c r="H9" s="188">
        <v>1.0</v>
      </c>
      <c r="I9" s="188">
        <v>3.0</v>
      </c>
      <c r="J9" s="189">
        <v>1.0</v>
      </c>
      <c r="K9" s="189">
        <v>1.0</v>
      </c>
      <c r="L9" s="189">
        <v>2.0</v>
      </c>
      <c r="M9" s="189">
        <v>5.0</v>
      </c>
      <c r="N9" s="189">
        <v>7.0</v>
      </c>
      <c r="O9" s="189">
        <v>5.0</v>
      </c>
      <c r="P9" s="190">
        <v>3.0</v>
      </c>
      <c r="Q9" s="23">
        <f t="shared" si="1"/>
        <v>35</v>
      </c>
      <c r="R9" s="16">
        <f t="shared" si="2"/>
        <v>2.5</v>
      </c>
      <c r="S9" s="17">
        <f t="shared" si="3"/>
        <v>0.08083140878</v>
      </c>
    </row>
    <row r="10">
      <c r="A10" s="9">
        <v>8.0</v>
      </c>
      <c r="B10" s="9" t="s">
        <v>227</v>
      </c>
      <c r="C10" s="188">
        <v>3.0</v>
      </c>
      <c r="D10" s="188">
        <v>1.0</v>
      </c>
      <c r="E10" s="188">
        <v>0.0</v>
      </c>
      <c r="F10" s="188">
        <v>0.0</v>
      </c>
      <c r="G10" s="188">
        <v>1.0</v>
      </c>
      <c r="H10" s="187">
        <v>0.0</v>
      </c>
      <c r="I10" s="187">
        <v>2.0</v>
      </c>
      <c r="J10" s="189">
        <v>0.0</v>
      </c>
      <c r="K10" s="189">
        <v>3.0</v>
      </c>
      <c r="L10" s="189">
        <v>6.0</v>
      </c>
      <c r="M10" s="189">
        <v>3.0</v>
      </c>
      <c r="N10" s="189">
        <v>1.0</v>
      </c>
      <c r="O10" s="190">
        <v>1.0</v>
      </c>
      <c r="P10" s="148"/>
      <c r="Q10" s="23">
        <f t="shared" si="1"/>
        <v>21</v>
      </c>
      <c r="R10" s="16">
        <f>AVERAGE(C10:O10)</f>
        <v>1.615384615</v>
      </c>
      <c r="S10" s="17">
        <f t="shared" si="3"/>
        <v>0.04849884527</v>
      </c>
    </row>
    <row r="11">
      <c r="A11" s="9">
        <v>9.0</v>
      </c>
      <c r="B11" s="9" t="s">
        <v>110</v>
      </c>
      <c r="C11" s="188">
        <v>4.0</v>
      </c>
      <c r="D11" s="188">
        <v>0.0</v>
      </c>
      <c r="E11" s="188">
        <v>0.0</v>
      </c>
      <c r="F11" s="188">
        <v>5.0</v>
      </c>
      <c r="G11" s="188">
        <v>2.0</v>
      </c>
      <c r="H11" s="188">
        <v>1.0</v>
      </c>
      <c r="I11" s="188">
        <v>0.0</v>
      </c>
      <c r="J11" s="189">
        <v>0.0</v>
      </c>
      <c r="K11" s="189">
        <v>1.0</v>
      </c>
      <c r="L11" s="189">
        <v>1.0</v>
      </c>
      <c r="M11" s="189">
        <v>2.0</v>
      </c>
      <c r="N11" s="190">
        <v>0.0</v>
      </c>
      <c r="O11" s="148"/>
      <c r="P11" s="148"/>
      <c r="Q11" s="23">
        <f t="shared" si="1"/>
        <v>16</v>
      </c>
      <c r="R11" s="16">
        <f>AVERAGE(C11:N11)</f>
        <v>1.333333333</v>
      </c>
      <c r="S11" s="17">
        <f t="shared" si="3"/>
        <v>0.03695150115</v>
      </c>
    </row>
    <row r="12">
      <c r="A12" s="9">
        <v>10.0</v>
      </c>
      <c r="B12" s="9" t="s">
        <v>169</v>
      </c>
      <c r="C12" s="188">
        <v>8.0</v>
      </c>
      <c r="D12" s="188">
        <v>2.0</v>
      </c>
      <c r="E12" s="188">
        <v>3.0</v>
      </c>
      <c r="F12" s="188">
        <v>0.0</v>
      </c>
      <c r="G12" s="188">
        <v>3.0</v>
      </c>
      <c r="H12" s="187">
        <v>5.0</v>
      </c>
      <c r="I12" s="187">
        <v>4.0</v>
      </c>
      <c r="J12" s="189">
        <v>5.0</v>
      </c>
      <c r="K12" s="189">
        <v>5.0</v>
      </c>
      <c r="L12" s="190">
        <v>0.0</v>
      </c>
      <c r="M12" s="190">
        <v>0.0</v>
      </c>
      <c r="N12" s="148"/>
      <c r="O12" s="148"/>
      <c r="P12" s="148"/>
      <c r="Q12" s="23">
        <f t="shared" si="1"/>
        <v>35</v>
      </c>
      <c r="R12" s="16">
        <f>AVERAGE(C12:M12)</f>
        <v>3.181818182</v>
      </c>
      <c r="S12" s="17">
        <f t="shared" si="3"/>
        <v>0.08083140878</v>
      </c>
    </row>
    <row r="13">
      <c r="A13" s="9">
        <v>11.0</v>
      </c>
      <c r="B13" s="9" t="s">
        <v>228</v>
      </c>
      <c r="C13" s="187">
        <v>2.0</v>
      </c>
      <c r="D13" s="187">
        <v>2.0</v>
      </c>
      <c r="E13" s="187">
        <v>2.0</v>
      </c>
      <c r="F13" s="187">
        <v>1.0</v>
      </c>
      <c r="G13" s="187">
        <v>4.0</v>
      </c>
      <c r="H13" s="188">
        <v>3.0</v>
      </c>
      <c r="I13" s="188">
        <v>1.0</v>
      </c>
      <c r="J13" s="189">
        <v>4.0</v>
      </c>
      <c r="K13" s="190">
        <v>1.0</v>
      </c>
      <c r="L13" s="190">
        <v>0.0</v>
      </c>
      <c r="M13" s="148"/>
      <c r="N13" s="148"/>
      <c r="O13" s="148"/>
      <c r="P13" s="148"/>
      <c r="Q13" s="23">
        <f t="shared" si="1"/>
        <v>20</v>
      </c>
      <c r="R13" s="16">
        <f>AVERAGE(C13:L13)</f>
        <v>2</v>
      </c>
      <c r="S13" s="17">
        <f t="shared" si="3"/>
        <v>0.04618937644</v>
      </c>
    </row>
    <row r="14">
      <c r="A14" s="9">
        <v>12.0</v>
      </c>
      <c r="B14" s="9" t="s">
        <v>229</v>
      </c>
      <c r="C14" s="187">
        <v>3.0</v>
      </c>
      <c r="D14" s="187">
        <v>1.0</v>
      </c>
      <c r="E14" s="187">
        <v>0.0</v>
      </c>
      <c r="F14" s="187">
        <v>0.0</v>
      </c>
      <c r="G14" s="187">
        <v>3.0</v>
      </c>
      <c r="H14" s="187">
        <v>3.0</v>
      </c>
      <c r="I14" s="187">
        <v>5.0</v>
      </c>
      <c r="J14" s="190">
        <v>2.0</v>
      </c>
      <c r="K14" s="148"/>
      <c r="L14" s="148"/>
      <c r="M14" s="148"/>
      <c r="N14" s="148"/>
      <c r="O14" s="148"/>
      <c r="P14" s="148"/>
      <c r="Q14" s="23">
        <f t="shared" si="1"/>
        <v>17</v>
      </c>
      <c r="R14" s="16">
        <f t="shared" ref="R14:R15" si="4">AVERAGE(C14:J14)</f>
        <v>2.125</v>
      </c>
      <c r="S14" s="17">
        <f t="shared" si="3"/>
        <v>0.03926096998</v>
      </c>
    </row>
    <row r="15">
      <c r="A15" s="9">
        <v>13.0</v>
      </c>
      <c r="B15" s="9" t="s">
        <v>202</v>
      </c>
      <c r="C15" s="188">
        <v>4.0</v>
      </c>
      <c r="D15" s="188">
        <v>7.0</v>
      </c>
      <c r="E15" s="188">
        <v>5.0</v>
      </c>
      <c r="F15" s="190">
        <v>2.0</v>
      </c>
      <c r="G15" s="190">
        <v>1.0</v>
      </c>
      <c r="H15" s="190">
        <v>0.0</v>
      </c>
      <c r="I15" s="190">
        <v>0.0</v>
      </c>
      <c r="J15" s="190">
        <v>1.0</v>
      </c>
      <c r="K15" s="148"/>
      <c r="L15" s="148"/>
      <c r="M15" s="148"/>
      <c r="N15" s="148"/>
      <c r="O15" s="148"/>
      <c r="P15" s="148"/>
      <c r="Q15" s="23">
        <f t="shared" si="1"/>
        <v>20</v>
      </c>
      <c r="R15" s="16">
        <f t="shared" si="4"/>
        <v>2.5</v>
      </c>
      <c r="S15" s="17">
        <f t="shared" si="3"/>
        <v>0.04618937644</v>
      </c>
    </row>
    <row r="16">
      <c r="A16" s="9">
        <v>14.0</v>
      </c>
      <c r="B16" s="9" t="s">
        <v>230</v>
      </c>
      <c r="C16" s="187">
        <v>2.0</v>
      </c>
      <c r="D16" s="187">
        <v>1.0</v>
      </c>
      <c r="E16" s="187">
        <v>0.0</v>
      </c>
      <c r="F16" s="187">
        <v>0.0</v>
      </c>
      <c r="G16" s="187">
        <v>1.0</v>
      </c>
      <c r="H16" s="187">
        <v>4.0</v>
      </c>
      <c r="I16" s="190">
        <v>3.0</v>
      </c>
      <c r="J16" s="148"/>
      <c r="K16" s="148"/>
      <c r="L16" s="148"/>
      <c r="M16" s="148"/>
      <c r="N16" s="148"/>
      <c r="O16" s="148"/>
      <c r="P16" s="148"/>
      <c r="Q16" s="23">
        <f t="shared" si="1"/>
        <v>11</v>
      </c>
      <c r="R16" s="16">
        <f>AVERAGE(C16:I16)</f>
        <v>1.571428571</v>
      </c>
      <c r="S16" s="17">
        <f t="shared" si="3"/>
        <v>0.02540415704</v>
      </c>
    </row>
    <row r="17">
      <c r="A17" s="9">
        <v>15.0</v>
      </c>
      <c r="B17" s="9" t="s">
        <v>95</v>
      </c>
      <c r="C17" s="188">
        <v>11.0</v>
      </c>
      <c r="D17" s="188">
        <v>2.0</v>
      </c>
      <c r="E17" s="188">
        <v>3.0</v>
      </c>
      <c r="F17" s="188">
        <v>3.0</v>
      </c>
      <c r="G17" s="190">
        <v>1.0</v>
      </c>
      <c r="H17" s="190">
        <v>0.0</v>
      </c>
      <c r="I17" s="148"/>
      <c r="J17" s="148"/>
      <c r="K17" s="148"/>
      <c r="L17" s="148"/>
      <c r="M17" s="148"/>
      <c r="N17" s="148"/>
      <c r="O17" s="148"/>
      <c r="P17" s="148"/>
      <c r="Q17" s="23">
        <f t="shared" si="1"/>
        <v>20</v>
      </c>
      <c r="R17" s="16">
        <f>AVERAGE(C17:H17)</f>
        <v>3.333333333</v>
      </c>
      <c r="S17" s="17">
        <f t="shared" si="3"/>
        <v>0.04618937644</v>
      </c>
    </row>
    <row r="18">
      <c r="A18" s="9">
        <v>16.0</v>
      </c>
      <c r="B18" s="9" t="s">
        <v>231</v>
      </c>
      <c r="C18" s="190">
        <v>3.0</v>
      </c>
      <c r="D18" s="190">
        <v>0.0</v>
      </c>
      <c r="E18" s="190">
        <v>0.0</v>
      </c>
      <c r="F18" s="190">
        <v>3.0</v>
      </c>
      <c r="G18" s="190">
        <v>2.0</v>
      </c>
      <c r="H18" s="148"/>
      <c r="I18" s="148"/>
      <c r="J18" s="148"/>
      <c r="K18" s="148"/>
      <c r="L18" s="148"/>
      <c r="M18" s="148"/>
      <c r="N18" s="148"/>
      <c r="O18" s="148"/>
      <c r="P18" s="148"/>
      <c r="Q18" s="23">
        <f t="shared" si="1"/>
        <v>8</v>
      </c>
      <c r="R18" s="16">
        <f>AVERAGE(C18:G18)</f>
        <v>1.6</v>
      </c>
      <c r="S18" s="17">
        <f t="shared" si="3"/>
        <v>0.01847575058</v>
      </c>
    </row>
    <row r="19">
      <c r="A19" s="9">
        <v>17.0</v>
      </c>
      <c r="B19" s="9" t="s">
        <v>232</v>
      </c>
      <c r="C19" s="188">
        <v>4.0</v>
      </c>
      <c r="D19" s="190">
        <v>1.0</v>
      </c>
      <c r="E19" s="190">
        <v>0.0</v>
      </c>
      <c r="F19" s="190">
        <v>0.0</v>
      </c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23">
        <f t="shared" si="1"/>
        <v>5</v>
      </c>
      <c r="R19" s="16">
        <f>AVERAGE(C19:F19)</f>
        <v>1.25</v>
      </c>
      <c r="S19" s="17">
        <f t="shared" si="3"/>
        <v>0.01154734411</v>
      </c>
    </row>
    <row r="20">
      <c r="A20" s="9">
        <v>18.0</v>
      </c>
      <c r="B20" s="9" t="s">
        <v>132</v>
      </c>
      <c r="C20" s="188">
        <v>2.0</v>
      </c>
      <c r="D20" s="188">
        <v>3.0</v>
      </c>
      <c r="E20" s="190">
        <v>0.0</v>
      </c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23">
        <f t="shared" si="1"/>
        <v>5</v>
      </c>
      <c r="R20" s="16">
        <f t="shared" ref="R20:R21" si="5">AVERAGE(C20:E20)</f>
        <v>1.666666667</v>
      </c>
      <c r="S20" s="17">
        <f t="shared" si="3"/>
        <v>0.01154734411</v>
      </c>
    </row>
    <row r="21">
      <c r="A21" s="9">
        <v>19.0</v>
      </c>
      <c r="B21" s="9" t="s">
        <v>233</v>
      </c>
      <c r="C21" s="187">
        <v>5.0</v>
      </c>
      <c r="D21" s="187">
        <v>8.0</v>
      </c>
      <c r="E21" s="187">
        <v>2.0</v>
      </c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23">
        <f t="shared" si="1"/>
        <v>15</v>
      </c>
      <c r="R21" s="16">
        <f t="shared" si="5"/>
        <v>5</v>
      </c>
      <c r="S21" s="17">
        <f t="shared" si="3"/>
        <v>0.03464203233</v>
      </c>
    </row>
    <row r="22">
      <c r="A22" s="9">
        <v>20.0</v>
      </c>
      <c r="B22" s="9" t="s">
        <v>234</v>
      </c>
      <c r="C22" s="190">
        <v>6.0</v>
      </c>
      <c r="D22" s="190">
        <v>1.0</v>
      </c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23">
        <f t="shared" si="1"/>
        <v>7</v>
      </c>
      <c r="R22" s="16">
        <f>AVERAGE(C22:D22)</f>
        <v>3.5</v>
      </c>
      <c r="S22" s="17">
        <f t="shared" si="3"/>
        <v>0.01616628176</v>
      </c>
    </row>
    <row r="23">
      <c r="A23" s="4" t="s">
        <v>40</v>
      </c>
      <c r="B23" s="3"/>
      <c r="C23" s="23">
        <f t="shared" ref="C23:Q23" si="6">SUM(C3:C22)</f>
        <v>77</v>
      </c>
      <c r="D23" s="23">
        <f t="shared" si="6"/>
        <v>36</v>
      </c>
      <c r="E23" s="23">
        <f t="shared" si="6"/>
        <v>21</v>
      </c>
      <c r="F23" s="23">
        <f t="shared" si="6"/>
        <v>26</v>
      </c>
      <c r="G23" s="23">
        <f t="shared" si="6"/>
        <v>32</v>
      </c>
      <c r="H23" s="23">
        <f t="shared" si="6"/>
        <v>32</v>
      </c>
      <c r="I23" s="23">
        <f t="shared" si="6"/>
        <v>24</v>
      </c>
      <c r="J23" s="23">
        <f t="shared" si="6"/>
        <v>27</v>
      </c>
      <c r="K23" s="23">
        <f t="shared" si="6"/>
        <v>27</v>
      </c>
      <c r="L23" s="23">
        <f t="shared" si="6"/>
        <v>29</v>
      </c>
      <c r="M23" s="23">
        <f t="shared" si="6"/>
        <v>23</v>
      </c>
      <c r="N23" s="23">
        <f t="shared" si="6"/>
        <v>17</v>
      </c>
      <c r="O23" s="23">
        <f t="shared" si="6"/>
        <v>22</v>
      </c>
      <c r="P23" s="23">
        <f t="shared" si="6"/>
        <v>40</v>
      </c>
      <c r="Q23" s="23">
        <f t="shared" si="6"/>
        <v>433</v>
      </c>
      <c r="R23" s="16"/>
      <c r="S23" s="82"/>
    </row>
    <row r="24">
      <c r="A24" s="35" t="s">
        <v>18</v>
      </c>
      <c r="B24" s="3"/>
      <c r="C24" s="191">
        <f t="shared" ref="C24:D24" si="7">AVERAGE(C3:C22)</f>
        <v>3.85</v>
      </c>
      <c r="D24" s="191">
        <f t="shared" si="7"/>
        <v>1.8</v>
      </c>
      <c r="E24" s="191">
        <f>AVERAGE(E3:E21)</f>
        <v>1.105263158</v>
      </c>
      <c r="F24" s="191">
        <f>AVERAGE(F3:F19)</f>
        <v>1.529411765</v>
      </c>
      <c r="G24" s="191">
        <f>AVERAGE(G3:G18)</f>
        <v>2</v>
      </c>
      <c r="H24" s="191">
        <f>AVERAGE(H3:H17)</f>
        <v>2.133333333</v>
      </c>
      <c r="I24" s="191">
        <f>AVERAGE(I3:I16)</f>
        <v>1.714285714</v>
      </c>
      <c r="J24" s="191">
        <f>AVERAGE(J3:J15)</f>
        <v>2.076923077</v>
      </c>
      <c r="K24" s="191">
        <f t="shared" ref="K24:L24" si="8">AVERAGE(K3:K13)</f>
        <v>2.454545455</v>
      </c>
      <c r="L24" s="191">
        <f t="shared" si="8"/>
        <v>2.636363636</v>
      </c>
      <c r="M24" s="191">
        <f>AVERAGE(M3:M12)</f>
        <v>2.3</v>
      </c>
      <c r="N24" s="191">
        <f>AVERAGE(N3:N11)</f>
        <v>1.888888889</v>
      </c>
      <c r="O24" s="191">
        <f>AVERAGE(O3:O10)</f>
        <v>2.75</v>
      </c>
      <c r="P24" s="191">
        <f>AVERAGE(P3:P9)</f>
        <v>5.714285714</v>
      </c>
      <c r="Q24" s="191"/>
      <c r="R24" s="16"/>
      <c r="S24" s="82"/>
    </row>
    <row r="25">
      <c r="A25" s="4" t="s">
        <v>41</v>
      </c>
      <c r="B25" s="3"/>
      <c r="C25" s="40" t="str">
        <f>HYPERLINK("https://docs.google.com/document/d/1SuxTk8cfrIBqKMnac3Gz1FCEFGtGAtDsqZdYq-4xuNo/edit?usp=sharing","Link")</f>
        <v>Link</v>
      </c>
      <c r="D25" s="40" t="str">
        <f>HYPERLINK("https://docs.google.com/document/d/1Iyiq3s9UgmZ6o5t98tQDbE5l9lRJMWgmdC69_NyVJ0Q/edit?usp=sharing","Link")</f>
        <v>Link</v>
      </c>
      <c r="E25" s="40" t="str">
        <f>HYPERLINK("https://docs.google.com/document/d/1tTsttC5rboK7johMZEZiJJMVgKclq5Yg1ANB9Nae-g8/edit?usp=sharing","Link")</f>
        <v>Link</v>
      </c>
      <c r="F25" s="40" t="str">
        <f>HYPERLINK("https://docs.google.com/document/d/1YMHm3JqIcXA_ZW7fqxJJNTAHvPmYY9UFmw2EeciqyCU/edit?usp=sharing","Link")</f>
        <v>Link</v>
      </c>
      <c r="G25" s="40" t="str">
        <f>HYPERLINK("https://docs.google.com/document/d/1nGyDo8tddTGE2NzTnHQoTWdgLPHyGOe9VmUhmLKZKiM/edit?usp=sharing","Link")</f>
        <v>Link</v>
      </c>
      <c r="H25" s="40" t="str">
        <f>HYPERLINK("https://docs.google.com/document/d/1pSKVzl4ottHjO_ixsQXsm6UVpYMtP8P8fAgK0DNiQtc/edit?usp=sharing","Link")</f>
        <v>Link</v>
      </c>
      <c r="I25" s="40" t="str">
        <f>HYPERLINK("https://docs.google.com/document/d/1-NxpW6p_W9ZFNXkVf4-MYUwax1FS_4t_yYPLOPGH9ro/edit?usp=sharing","Link")</f>
        <v>Link</v>
      </c>
      <c r="J25" s="40" t="str">
        <f>HYPERLINK("https://docs.google.com/document/d/1BQRq1-8D3EE-3qko5ylxSEhOVoLQY35axB3p9JulN90/edit?usp=sharing","Link")</f>
        <v>Link</v>
      </c>
      <c r="K25" s="40" t="str">
        <f>HYPERLINK("https://docs.google.com/document/d/1EDkvjsU8uQE40EPQ_zMRn6qCt0Eue0A4ialoQyTeKoc/edit?usp=sharing","Link")</f>
        <v>Link</v>
      </c>
      <c r="L25" s="40" t="str">
        <f>HYPERLINK("https://docs.google.com/document/d/1ujJdBTg5o99kfYMWg9EtRURu5HxkRbOaKCQgQEXWyuA/edit?usp=sharing","Link")</f>
        <v>Link</v>
      </c>
      <c r="M25" s="40" t="str">
        <f>HYPERLINK("https://docs.google.com/document/d/1UAijUnQ1c-BXnc5mKSdI0XIB8P8zuQLaKaTb1x2_Rfc/edit?usp=sharing","Link")</f>
        <v>Link</v>
      </c>
      <c r="N25" s="40" t="str">
        <f>HYPERLINK("https://docs.google.com/document/d/1uxVSEhGiRnp26fJxhde_2a5IFaS7Pf269PVvH3j1lW4/edit?usp=sharing","Link")</f>
        <v>Link</v>
      </c>
      <c r="O25" s="40" t="str">
        <f>HYPERLINK("https://docs.google.com/document/d/17HfrnTsY_f5Otlk38dV0qWNbdB5ihBYLUxfO0EPsuO4/edit?usp=sharing","Link")</f>
        <v>Link</v>
      </c>
      <c r="P25" s="40" t="str">
        <f>HYPERLINK("https://docs.google.com/document/d/1qWBW0VW-J9pfLvh9kl1dF6dD_m4hpAjaQjO3B4iKhGs/edit?usp=sharing","Link")</f>
        <v>Link</v>
      </c>
      <c r="Q25" s="83" t="str">
        <f>HYPERLINK("https://docs.google.com/document/d/1w-b8jFwz6F2yxhaJKkSD3-5-AjZ060JnOPd8h9M4h1k/edit?usp=sharing","Season Transcript")</f>
        <v>Season Transcript</v>
      </c>
      <c r="R25" s="3"/>
      <c r="S25" s="40" t="str">
        <f>HYPERLINK("https://docs.google.com/document/d/15o8OU-KpomTyIS4YcjBSexM0huZWCS__DCksfohbFYM/edit?usp=sharing","Differences")</f>
        <v>Differences</v>
      </c>
    </row>
    <row r="26"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  <c r="S26" s="150"/>
    </row>
    <row r="27">
      <c r="A27" s="192" t="s">
        <v>235</v>
      </c>
      <c r="C27" s="193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152"/>
    </row>
    <row r="28">
      <c r="A28" s="194" t="s">
        <v>236</v>
      </c>
      <c r="C28" s="195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152"/>
    </row>
    <row r="29">
      <c r="A29" s="196" t="s">
        <v>237</v>
      </c>
      <c r="C29" s="195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152"/>
    </row>
    <row r="30">
      <c r="A30" s="106" t="s">
        <v>238</v>
      </c>
      <c r="C30" s="193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152"/>
    </row>
  </sheetData>
  <mergeCells count="11">
    <mergeCell ref="A27:B27"/>
    <mergeCell ref="A28:B28"/>
    <mergeCell ref="A29:B29"/>
    <mergeCell ref="A30:B30"/>
    <mergeCell ref="A1:S1"/>
    <mergeCell ref="A2:B2"/>
    <mergeCell ref="A23:B23"/>
    <mergeCell ref="A24:B24"/>
    <mergeCell ref="A25:B25"/>
    <mergeCell ref="Q25:R25"/>
    <mergeCell ref="A26:B26"/>
  </mergeCell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239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17</v>
      </c>
      <c r="R2" s="7" t="s">
        <v>18</v>
      </c>
      <c r="S2" s="5" t="s">
        <v>19</v>
      </c>
    </row>
    <row r="3">
      <c r="A3" s="9">
        <v>1.0</v>
      </c>
      <c r="B3" s="9" t="s">
        <v>240</v>
      </c>
      <c r="C3" s="197">
        <v>6.0</v>
      </c>
      <c r="D3" s="197">
        <v>1.0</v>
      </c>
      <c r="E3" s="197">
        <v>1.0</v>
      </c>
      <c r="F3" s="197">
        <v>3.0</v>
      </c>
      <c r="G3" s="197">
        <v>0.0</v>
      </c>
      <c r="H3" s="197">
        <v>3.0</v>
      </c>
      <c r="I3" s="197">
        <v>7.0</v>
      </c>
      <c r="J3" s="198">
        <v>7.0</v>
      </c>
      <c r="K3" s="198">
        <v>4.0</v>
      </c>
      <c r="L3" s="198">
        <v>5.0</v>
      </c>
      <c r="M3" s="198">
        <v>4.0</v>
      </c>
      <c r="N3" s="198">
        <v>9.0</v>
      </c>
      <c r="O3" s="198">
        <v>7.0</v>
      </c>
      <c r="P3" s="198">
        <v>10.0</v>
      </c>
      <c r="Q3" s="23">
        <f t="shared" ref="Q3:Q22" si="1">SUM(C3:P3)</f>
        <v>67</v>
      </c>
      <c r="R3" s="16">
        <f t="shared" ref="R3:R7" si="2">AVERAGE(C3:P3)</f>
        <v>4.785714286</v>
      </c>
      <c r="S3" s="17">
        <f t="shared" ref="S3:S22" si="3">Q3/Q$23</f>
        <v>0.1622276029</v>
      </c>
    </row>
    <row r="4">
      <c r="A4" s="9">
        <v>2.0</v>
      </c>
      <c r="B4" s="9" t="s">
        <v>241</v>
      </c>
      <c r="C4" s="197">
        <v>2.0</v>
      </c>
      <c r="D4" s="197">
        <v>3.0</v>
      </c>
      <c r="E4" s="197">
        <v>0.0</v>
      </c>
      <c r="F4" s="197">
        <v>0.0</v>
      </c>
      <c r="G4" s="197">
        <v>1.0</v>
      </c>
      <c r="H4" s="197">
        <v>0.0</v>
      </c>
      <c r="I4" s="197">
        <v>2.0</v>
      </c>
      <c r="J4" s="198">
        <v>3.0</v>
      </c>
      <c r="K4" s="198">
        <v>3.0</v>
      </c>
      <c r="L4" s="198">
        <v>6.0</v>
      </c>
      <c r="M4" s="198">
        <v>1.0</v>
      </c>
      <c r="N4" s="198">
        <v>1.0</v>
      </c>
      <c r="O4" s="198">
        <v>3.0</v>
      </c>
      <c r="P4" s="198">
        <v>10.0</v>
      </c>
      <c r="Q4" s="23">
        <f t="shared" si="1"/>
        <v>35</v>
      </c>
      <c r="R4" s="16">
        <f t="shared" si="2"/>
        <v>2.5</v>
      </c>
      <c r="S4" s="17">
        <f t="shared" si="3"/>
        <v>0.08474576271</v>
      </c>
    </row>
    <row r="5">
      <c r="A5" s="9">
        <v>2.0</v>
      </c>
      <c r="B5" s="9" t="s">
        <v>242</v>
      </c>
      <c r="C5" s="172">
        <v>1.0</v>
      </c>
      <c r="D5" s="172">
        <v>3.0</v>
      </c>
      <c r="E5" s="172">
        <v>3.0</v>
      </c>
      <c r="F5" s="172">
        <v>1.0</v>
      </c>
      <c r="G5" s="172">
        <v>3.0</v>
      </c>
      <c r="H5" s="172">
        <v>0.0</v>
      </c>
      <c r="I5" s="172">
        <v>0.0</v>
      </c>
      <c r="J5" s="198">
        <v>1.0</v>
      </c>
      <c r="K5" s="198">
        <v>1.0</v>
      </c>
      <c r="L5" s="198">
        <v>0.0</v>
      </c>
      <c r="M5" s="198">
        <v>3.0</v>
      </c>
      <c r="N5" s="198">
        <v>0.0</v>
      </c>
      <c r="O5" s="198">
        <v>1.0</v>
      </c>
      <c r="P5" s="198">
        <v>4.0</v>
      </c>
      <c r="Q5" s="23">
        <f t="shared" si="1"/>
        <v>21</v>
      </c>
      <c r="R5" s="16">
        <f t="shared" si="2"/>
        <v>1.5</v>
      </c>
      <c r="S5" s="17">
        <f t="shared" si="3"/>
        <v>0.05084745763</v>
      </c>
    </row>
    <row r="6">
      <c r="A6" s="9">
        <v>4.0</v>
      </c>
      <c r="B6" s="9" t="s">
        <v>243</v>
      </c>
      <c r="C6" s="172">
        <v>3.0</v>
      </c>
      <c r="D6" s="172">
        <v>0.0</v>
      </c>
      <c r="E6" s="172">
        <v>1.0</v>
      </c>
      <c r="F6" s="172">
        <v>4.0</v>
      </c>
      <c r="G6" s="172">
        <v>3.0</v>
      </c>
      <c r="H6" s="172">
        <v>1.0</v>
      </c>
      <c r="I6" s="172">
        <v>0.0</v>
      </c>
      <c r="J6" s="198">
        <v>0.0</v>
      </c>
      <c r="K6" s="198">
        <v>1.0</v>
      </c>
      <c r="L6" s="198">
        <v>1.0</v>
      </c>
      <c r="M6" s="198">
        <v>1.0</v>
      </c>
      <c r="N6" s="198">
        <v>2.0</v>
      </c>
      <c r="O6" s="198">
        <v>2.0</v>
      </c>
      <c r="P6" s="198">
        <v>6.0</v>
      </c>
      <c r="Q6" s="23">
        <f t="shared" si="1"/>
        <v>25</v>
      </c>
      <c r="R6" s="16">
        <f t="shared" si="2"/>
        <v>1.785714286</v>
      </c>
      <c r="S6" s="17">
        <f t="shared" si="3"/>
        <v>0.06053268765</v>
      </c>
    </row>
    <row r="7">
      <c r="A7" s="9">
        <v>5.0</v>
      </c>
      <c r="B7" s="9" t="s">
        <v>244</v>
      </c>
      <c r="C7" s="197">
        <v>2.0</v>
      </c>
      <c r="D7" s="197">
        <v>0.0</v>
      </c>
      <c r="E7" s="197">
        <v>0.0</v>
      </c>
      <c r="F7" s="197">
        <v>0.0</v>
      </c>
      <c r="G7" s="197">
        <v>0.0</v>
      </c>
      <c r="H7" s="172">
        <v>1.0</v>
      </c>
      <c r="I7" s="172">
        <v>0.0</v>
      </c>
      <c r="J7" s="198">
        <v>2.0</v>
      </c>
      <c r="K7" s="198">
        <v>0.0</v>
      </c>
      <c r="L7" s="198">
        <v>1.0</v>
      </c>
      <c r="M7" s="198">
        <v>3.0</v>
      </c>
      <c r="N7" s="198">
        <v>3.0</v>
      </c>
      <c r="O7" s="198">
        <v>3.0</v>
      </c>
      <c r="P7" s="198">
        <v>0.0</v>
      </c>
      <c r="Q7" s="23">
        <f t="shared" si="1"/>
        <v>15</v>
      </c>
      <c r="R7" s="16">
        <f t="shared" si="2"/>
        <v>1.071428571</v>
      </c>
      <c r="S7" s="17">
        <f t="shared" si="3"/>
        <v>0.03631961259</v>
      </c>
    </row>
    <row r="8">
      <c r="A8" s="9">
        <v>6.0</v>
      </c>
      <c r="B8" s="9" t="s">
        <v>245</v>
      </c>
      <c r="C8" s="197">
        <v>1.0</v>
      </c>
      <c r="D8" s="197">
        <v>0.0</v>
      </c>
      <c r="E8" s="197">
        <v>0.0</v>
      </c>
      <c r="F8" s="197">
        <v>0.0</v>
      </c>
      <c r="G8" s="197">
        <v>0.0</v>
      </c>
      <c r="H8" s="172">
        <v>0.0</v>
      </c>
      <c r="I8" s="172">
        <v>0.0</v>
      </c>
      <c r="J8" s="198">
        <v>0.0</v>
      </c>
      <c r="K8" s="198">
        <v>0.0</v>
      </c>
      <c r="L8" s="198">
        <v>1.0</v>
      </c>
      <c r="M8" s="198">
        <v>3.0</v>
      </c>
      <c r="N8" s="198">
        <v>3.0</v>
      </c>
      <c r="O8" s="198">
        <v>5.0</v>
      </c>
      <c r="P8" s="148"/>
      <c r="Q8" s="23">
        <f t="shared" si="1"/>
        <v>13</v>
      </c>
      <c r="R8" s="16">
        <f>AVERAGE(C8:O8)</f>
        <v>1</v>
      </c>
      <c r="S8" s="17">
        <f t="shared" si="3"/>
        <v>0.03147699758</v>
      </c>
    </row>
    <row r="9">
      <c r="A9" s="9">
        <v>7.0</v>
      </c>
      <c r="B9" s="9" t="s">
        <v>101</v>
      </c>
      <c r="C9" s="197">
        <v>2.0</v>
      </c>
      <c r="D9" s="197">
        <v>0.0</v>
      </c>
      <c r="E9" s="197">
        <v>3.0</v>
      </c>
      <c r="F9" s="197">
        <v>2.0</v>
      </c>
      <c r="G9" s="197">
        <v>1.0</v>
      </c>
      <c r="H9" s="172">
        <v>1.0</v>
      </c>
      <c r="I9" s="172">
        <v>1.0</v>
      </c>
      <c r="J9" s="198">
        <v>4.0</v>
      </c>
      <c r="K9" s="198">
        <v>4.0</v>
      </c>
      <c r="L9" s="198">
        <v>1.0</v>
      </c>
      <c r="M9" s="198">
        <v>2.0</v>
      </c>
      <c r="N9" s="198">
        <v>4.0</v>
      </c>
      <c r="O9" s="148"/>
      <c r="P9" s="148"/>
      <c r="Q9" s="23">
        <f t="shared" si="1"/>
        <v>25</v>
      </c>
      <c r="R9" s="16">
        <f t="shared" ref="R9:R10" si="4">AVERAGE(C9:N9)</f>
        <v>2.083333333</v>
      </c>
      <c r="S9" s="17">
        <f t="shared" si="3"/>
        <v>0.06053268765</v>
      </c>
    </row>
    <row r="10">
      <c r="A10" s="9">
        <v>8.0</v>
      </c>
      <c r="B10" s="9" t="s">
        <v>246</v>
      </c>
      <c r="C10" s="172">
        <v>4.0</v>
      </c>
      <c r="D10" s="172">
        <v>3.0</v>
      </c>
      <c r="E10" s="172">
        <v>4.0</v>
      </c>
      <c r="F10" s="172">
        <v>7.0</v>
      </c>
      <c r="G10" s="172">
        <v>2.0</v>
      </c>
      <c r="H10" s="172">
        <v>2.0</v>
      </c>
      <c r="I10" s="172">
        <v>2.0</v>
      </c>
      <c r="J10" s="198">
        <v>4.0</v>
      </c>
      <c r="K10" s="198">
        <v>5.0</v>
      </c>
      <c r="L10" s="198">
        <v>2.0</v>
      </c>
      <c r="M10" s="198">
        <v>2.0</v>
      </c>
      <c r="N10" s="198">
        <v>3.0</v>
      </c>
      <c r="O10" s="148"/>
      <c r="P10" s="148"/>
      <c r="Q10" s="23">
        <f t="shared" si="1"/>
        <v>40</v>
      </c>
      <c r="R10" s="16">
        <f t="shared" si="4"/>
        <v>3.333333333</v>
      </c>
      <c r="S10" s="17">
        <f t="shared" si="3"/>
        <v>0.09685230024</v>
      </c>
    </row>
    <row r="11">
      <c r="A11" s="9">
        <v>9.0</v>
      </c>
      <c r="B11" s="9" t="s">
        <v>109</v>
      </c>
      <c r="C11" s="197">
        <v>1.0</v>
      </c>
      <c r="D11" s="197">
        <v>2.0</v>
      </c>
      <c r="E11" s="197">
        <v>1.0</v>
      </c>
      <c r="F11" s="197">
        <v>2.0</v>
      </c>
      <c r="G11" s="197">
        <v>2.0</v>
      </c>
      <c r="H11" s="172">
        <v>1.0</v>
      </c>
      <c r="I11" s="172">
        <v>3.0</v>
      </c>
      <c r="J11" s="198">
        <v>4.0</v>
      </c>
      <c r="K11" s="198">
        <v>6.0</v>
      </c>
      <c r="L11" s="198">
        <v>4.0</v>
      </c>
      <c r="M11" s="198">
        <v>9.0</v>
      </c>
      <c r="N11" s="148"/>
      <c r="O11" s="148"/>
      <c r="P11" s="148"/>
      <c r="Q11" s="23">
        <f t="shared" si="1"/>
        <v>35</v>
      </c>
      <c r="R11" s="16">
        <f>AVERAGE(C11:M11)</f>
        <v>3.181818182</v>
      </c>
      <c r="S11" s="17">
        <f t="shared" si="3"/>
        <v>0.08474576271</v>
      </c>
    </row>
    <row r="12">
      <c r="A12" s="9">
        <v>10.0</v>
      </c>
      <c r="B12" s="9" t="s">
        <v>247</v>
      </c>
      <c r="C12" s="197">
        <v>5.0</v>
      </c>
      <c r="D12" s="197">
        <v>3.0</v>
      </c>
      <c r="E12" s="197">
        <v>1.0</v>
      </c>
      <c r="F12" s="197">
        <v>2.0</v>
      </c>
      <c r="G12" s="197">
        <v>3.0</v>
      </c>
      <c r="H12" s="197">
        <v>5.0</v>
      </c>
      <c r="I12" s="197">
        <v>9.0</v>
      </c>
      <c r="J12" s="198">
        <v>1.0</v>
      </c>
      <c r="K12" s="198">
        <v>2.0</v>
      </c>
      <c r="L12" s="198">
        <v>2.0</v>
      </c>
      <c r="M12" s="148"/>
      <c r="N12" s="148"/>
      <c r="O12" s="148"/>
      <c r="P12" s="148"/>
      <c r="Q12" s="23">
        <f t="shared" si="1"/>
        <v>33</v>
      </c>
      <c r="R12" s="16">
        <f>AVERAGE(C12:L12)</f>
        <v>3.3</v>
      </c>
      <c r="S12" s="17">
        <f t="shared" si="3"/>
        <v>0.0799031477</v>
      </c>
    </row>
    <row r="13">
      <c r="A13" s="9">
        <v>11.0</v>
      </c>
      <c r="B13" s="9" t="s">
        <v>56</v>
      </c>
      <c r="C13" s="172">
        <v>3.0</v>
      </c>
      <c r="D13" s="172">
        <v>0.0</v>
      </c>
      <c r="E13" s="172">
        <v>1.0</v>
      </c>
      <c r="F13" s="172">
        <v>5.0</v>
      </c>
      <c r="G13" s="172">
        <v>3.0</v>
      </c>
      <c r="H13" s="197">
        <v>0.0</v>
      </c>
      <c r="I13" s="197">
        <v>1.0</v>
      </c>
      <c r="J13" s="198">
        <v>1.0</v>
      </c>
      <c r="K13" s="198">
        <v>0.0</v>
      </c>
      <c r="L13" s="148"/>
      <c r="M13" s="148"/>
      <c r="N13" s="148"/>
      <c r="O13" s="148"/>
      <c r="P13" s="148"/>
      <c r="Q13" s="23">
        <f t="shared" si="1"/>
        <v>14</v>
      </c>
      <c r="R13" s="16">
        <f>AVERAGE(C13:K13)</f>
        <v>1.555555556</v>
      </c>
      <c r="S13" s="17">
        <f t="shared" si="3"/>
        <v>0.03389830508</v>
      </c>
    </row>
    <row r="14">
      <c r="A14" s="9">
        <v>12.0</v>
      </c>
      <c r="B14" s="9" t="s">
        <v>248</v>
      </c>
      <c r="C14" s="197">
        <v>0.0</v>
      </c>
      <c r="D14" s="197">
        <v>0.0</v>
      </c>
      <c r="E14" s="197">
        <v>1.0</v>
      </c>
      <c r="F14" s="197">
        <v>0.0</v>
      </c>
      <c r="G14" s="197">
        <v>2.0</v>
      </c>
      <c r="H14" s="197">
        <v>7.0</v>
      </c>
      <c r="I14" s="197">
        <v>5.0</v>
      </c>
      <c r="J14" s="198">
        <v>7.0</v>
      </c>
      <c r="K14" s="148"/>
      <c r="L14" s="148"/>
      <c r="M14" s="148"/>
      <c r="N14" s="148"/>
      <c r="O14" s="148"/>
      <c r="P14" s="148"/>
      <c r="Q14" s="23">
        <f t="shared" si="1"/>
        <v>22</v>
      </c>
      <c r="R14" s="16">
        <f>AVERAGE(C14:J14)</f>
        <v>2.75</v>
      </c>
      <c r="S14" s="17">
        <f t="shared" si="3"/>
        <v>0.05326876513</v>
      </c>
    </row>
    <row r="15">
      <c r="A15" s="9">
        <v>13.0</v>
      </c>
      <c r="B15" s="9" t="s">
        <v>140</v>
      </c>
      <c r="C15" s="172">
        <v>1.0</v>
      </c>
      <c r="D15" s="172">
        <v>0.0</v>
      </c>
      <c r="E15" s="172">
        <v>1.0</v>
      </c>
      <c r="F15" s="172">
        <v>0.0</v>
      </c>
      <c r="G15" s="172">
        <v>0.0</v>
      </c>
      <c r="H15" s="197">
        <v>1.0</v>
      </c>
      <c r="I15" s="197">
        <v>1.0</v>
      </c>
      <c r="J15" s="148"/>
      <c r="K15" s="148"/>
      <c r="L15" s="148"/>
      <c r="M15" s="148"/>
      <c r="N15" s="148"/>
      <c r="O15" s="148"/>
      <c r="P15" s="148"/>
      <c r="Q15" s="23">
        <f t="shared" si="1"/>
        <v>4</v>
      </c>
      <c r="R15" s="16">
        <f>AVERAGE(C15:I15)</f>
        <v>0.5714285714</v>
      </c>
      <c r="S15" s="17">
        <f t="shared" si="3"/>
        <v>0.009685230024</v>
      </c>
    </row>
    <row r="16">
      <c r="A16" s="9">
        <v>14.0</v>
      </c>
      <c r="B16" s="9" t="s">
        <v>249</v>
      </c>
      <c r="C16" s="172">
        <v>5.0</v>
      </c>
      <c r="D16" s="172">
        <v>1.0</v>
      </c>
      <c r="E16" s="172">
        <v>1.0</v>
      </c>
      <c r="F16" s="172">
        <v>0.0</v>
      </c>
      <c r="G16" s="172">
        <v>4.0</v>
      </c>
      <c r="H16" s="197">
        <v>2.0</v>
      </c>
      <c r="I16" s="92"/>
      <c r="J16" s="148"/>
      <c r="K16" s="148"/>
      <c r="L16" s="148"/>
      <c r="M16" s="148"/>
      <c r="N16" s="148"/>
      <c r="O16" s="148"/>
      <c r="P16" s="148"/>
      <c r="Q16" s="23">
        <f t="shared" si="1"/>
        <v>13</v>
      </c>
      <c r="R16" s="16">
        <f>AVERAGE(C16:H16)</f>
        <v>2.166666667</v>
      </c>
      <c r="S16" s="17">
        <f t="shared" si="3"/>
        <v>0.03147699758</v>
      </c>
    </row>
    <row r="17">
      <c r="A17" s="9">
        <v>15.0</v>
      </c>
      <c r="B17" s="9" t="s">
        <v>250</v>
      </c>
      <c r="C17" s="197">
        <v>2.0</v>
      </c>
      <c r="D17" s="197">
        <v>4.0</v>
      </c>
      <c r="E17" s="197">
        <v>1.0</v>
      </c>
      <c r="F17" s="197">
        <v>1.0</v>
      </c>
      <c r="G17" s="197">
        <v>6.0</v>
      </c>
      <c r="H17" s="148"/>
      <c r="I17" s="148"/>
      <c r="J17" s="148"/>
      <c r="K17" s="148"/>
      <c r="L17" s="148"/>
      <c r="M17" s="148"/>
      <c r="N17" s="148"/>
      <c r="O17" s="148"/>
      <c r="P17" s="148"/>
      <c r="Q17" s="23">
        <f t="shared" si="1"/>
        <v>14</v>
      </c>
      <c r="R17" s="16">
        <f>AVERAGE(C17:G17)</f>
        <v>2.8</v>
      </c>
      <c r="S17" s="17">
        <f t="shared" si="3"/>
        <v>0.03389830508</v>
      </c>
    </row>
    <row r="18">
      <c r="A18" s="9">
        <v>16.0</v>
      </c>
      <c r="B18" s="9" t="s">
        <v>251</v>
      </c>
      <c r="C18" s="172">
        <v>2.0</v>
      </c>
      <c r="D18" s="172">
        <v>2.0</v>
      </c>
      <c r="E18" s="172">
        <v>6.0</v>
      </c>
      <c r="F18" s="172">
        <v>2.0</v>
      </c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23">
        <f t="shared" si="1"/>
        <v>12</v>
      </c>
      <c r="R18" s="16">
        <f t="shared" ref="R18:R19" si="5">AVERAGE(C18:F18)</f>
        <v>3</v>
      </c>
      <c r="S18" s="17">
        <f t="shared" si="3"/>
        <v>0.02905569007</v>
      </c>
    </row>
    <row r="19">
      <c r="A19" s="9">
        <v>17.0</v>
      </c>
      <c r="B19" s="9" t="s">
        <v>252</v>
      </c>
      <c r="C19" s="172">
        <v>4.0</v>
      </c>
      <c r="D19" s="172">
        <v>2.0</v>
      </c>
      <c r="E19" s="172">
        <v>4.0</v>
      </c>
      <c r="F19" s="172">
        <v>2.0</v>
      </c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23">
        <f t="shared" si="1"/>
        <v>12</v>
      </c>
      <c r="R19" s="16">
        <f t="shared" si="5"/>
        <v>3</v>
      </c>
      <c r="S19" s="17">
        <f t="shared" si="3"/>
        <v>0.02905569007</v>
      </c>
    </row>
    <row r="20">
      <c r="A20" s="9">
        <v>18.0</v>
      </c>
      <c r="B20" s="9" t="s">
        <v>253</v>
      </c>
      <c r="C20" s="172">
        <v>0.0</v>
      </c>
      <c r="D20" s="172">
        <v>0.0</v>
      </c>
      <c r="E20" s="172">
        <v>1.0</v>
      </c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23">
        <f t="shared" si="1"/>
        <v>1</v>
      </c>
      <c r="R20" s="16">
        <f>AVERAGE(C20:E20)</f>
        <v>0.3333333333</v>
      </c>
      <c r="S20" s="17">
        <f t="shared" si="3"/>
        <v>0.002421307506</v>
      </c>
    </row>
    <row r="21">
      <c r="A21" s="9">
        <v>19.0</v>
      </c>
      <c r="B21" s="9" t="s">
        <v>254</v>
      </c>
      <c r="C21" s="172">
        <v>1.0</v>
      </c>
      <c r="D21" s="172">
        <v>2.0</v>
      </c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23">
        <f t="shared" si="1"/>
        <v>3</v>
      </c>
      <c r="R21" s="16">
        <f>AVERAGE(C21:D21)</f>
        <v>1.5</v>
      </c>
      <c r="S21" s="17">
        <f t="shared" si="3"/>
        <v>0.007263922518</v>
      </c>
    </row>
    <row r="22">
      <c r="A22" s="9">
        <v>20.0</v>
      </c>
      <c r="B22" s="9" t="s">
        <v>255</v>
      </c>
      <c r="C22" s="197">
        <v>9.0</v>
      </c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23">
        <f t="shared" si="1"/>
        <v>9</v>
      </c>
      <c r="R22" s="16">
        <f>AVERAGE(C22)</f>
        <v>9</v>
      </c>
      <c r="S22" s="17">
        <f t="shared" si="3"/>
        <v>0.02179176755</v>
      </c>
    </row>
    <row r="23">
      <c r="A23" s="4" t="s">
        <v>40</v>
      </c>
      <c r="B23" s="3"/>
      <c r="C23" s="23">
        <f t="shared" ref="C23:Q23" si="6">SUM(C3:C22)</f>
        <v>54</v>
      </c>
      <c r="D23" s="23">
        <f t="shared" si="6"/>
        <v>26</v>
      </c>
      <c r="E23" s="23">
        <f t="shared" si="6"/>
        <v>30</v>
      </c>
      <c r="F23" s="23">
        <f t="shared" si="6"/>
        <v>31</v>
      </c>
      <c r="G23" s="23">
        <f t="shared" si="6"/>
        <v>30</v>
      </c>
      <c r="H23" s="23">
        <f t="shared" si="6"/>
        <v>24</v>
      </c>
      <c r="I23" s="23">
        <f t="shared" si="6"/>
        <v>31</v>
      </c>
      <c r="J23" s="23">
        <f t="shared" si="6"/>
        <v>34</v>
      </c>
      <c r="K23" s="23">
        <f t="shared" si="6"/>
        <v>26</v>
      </c>
      <c r="L23" s="23">
        <f t="shared" si="6"/>
        <v>23</v>
      </c>
      <c r="M23" s="23">
        <f t="shared" si="6"/>
        <v>28</v>
      </c>
      <c r="N23" s="23">
        <f t="shared" si="6"/>
        <v>25</v>
      </c>
      <c r="O23" s="23">
        <f t="shared" si="6"/>
        <v>21</v>
      </c>
      <c r="P23" s="23">
        <f t="shared" si="6"/>
        <v>30</v>
      </c>
      <c r="Q23" s="23">
        <f t="shared" si="6"/>
        <v>413</v>
      </c>
      <c r="R23" s="16"/>
      <c r="S23" s="23"/>
    </row>
    <row r="24">
      <c r="A24" s="35" t="s">
        <v>18</v>
      </c>
      <c r="B24" s="3"/>
      <c r="C24" s="16">
        <f>AVERAGE(C3:C22)</f>
        <v>2.7</v>
      </c>
      <c r="D24" s="16">
        <f>AVERAGE(D3:D21)</f>
        <v>1.368421053</v>
      </c>
      <c r="E24" s="16">
        <f>AVERAGE(E3:E20)</f>
        <v>1.666666667</v>
      </c>
      <c r="F24" s="16">
        <f>AVERAGE(F3:F19)</f>
        <v>1.823529412</v>
      </c>
      <c r="G24" s="16">
        <f>AVERAGE(G3:G17)</f>
        <v>2</v>
      </c>
      <c r="H24" s="16">
        <f>AVERAGE(H3:H16)</f>
        <v>1.714285714</v>
      </c>
      <c r="I24" s="16">
        <f>AVERAGE(I3:I15)</f>
        <v>2.384615385</v>
      </c>
      <c r="J24" s="16">
        <f>AVERAGE(J3:J14)</f>
        <v>2.833333333</v>
      </c>
      <c r="K24" s="16">
        <f>AVERAGE(K3:K13)</f>
        <v>2.363636364</v>
      </c>
      <c r="L24" s="16">
        <f>AVERAGE(L3:L12)</f>
        <v>2.3</v>
      </c>
      <c r="M24" s="16">
        <f>AVERAGE(M3:M11)</f>
        <v>3.111111111</v>
      </c>
      <c r="N24" s="16">
        <f>AVERAGE(N3:N10)</f>
        <v>3.125</v>
      </c>
      <c r="O24" s="16">
        <f>AVERAGE(O3:O8)</f>
        <v>3.5</v>
      </c>
      <c r="P24" s="16">
        <f>AVERAGE(P3:P7)</f>
        <v>6</v>
      </c>
      <c r="Q24" s="16"/>
      <c r="R24" s="16"/>
      <c r="S24" s="16"/>
    </row>
    <row r="25">
      <c r="A25" s="4" t="s">
        <v>41</v>
      </c>
      <c r="B25" s="3"/>
      <c r="C25" s="40" t="str">
        <f>HYPERLINK("https://docs.google.com/document/d/1K7lfA5Z0MVhqmYYelUNuxf_n3YA5iohzf6emlz74QM4/edit?usp=sharing","Link")</f>
        <v>Link</v>
      </c>
      <c r="D25" s="40" t="str">
        <f>HYPERLINK("https://docs.google.com/document/d/1xnYgwRICbL0hYH3tOL5ElzC2jEo_8yPjIqMTz65FBw8/edit?usp=sharing","Link")</f>
        <v>Link</v>
      </c>
      <c r="E25" s="40" t="str">
        <f>HYPERLINK("https://docs.google.com/document/d/1uYDTzYjYlJZ6pl9PuzGz83l3-qwMA_ImwN7GQBB65rU/edit?usp=sharing","Link")</f>
        <v>Link</v>
      </c>
      <c r="F25" s="40" t="str">
        <f>HYPERLINK("https://docs.google.com/document/d/1ZJ3qAhwL0klYohEu-hYgPzKugVcNdpSpUx04UcSb_Wg/edit?usp=sharing","Link")</f>
        <v>Link</v>
      </c>
      <c r="G25" s="40" t="str">
        <f>HYPERLINK("https://docs.google.com/document/d/1-y991SCrGKevK6EujEEW9jzXSihGSDYV6pLW3OWWAxY/edit?usp=sharing","Link")</f>
        <v>Link</v>
      </c>
      <c r="H25" s="40" t="str">
        <f>HYPERLINK("https://docs.google.com/document/d/19-LFsMjChXsaAs0DBqvWMTBVfcKgWpgT1LNAZ77bdGU/edit?usp=sharing","Link")</f>
        <v>Link</v>
      </c>
      <c r="I25" s="40" t="str">
        <f>HYPERLINK("https://docs.google.com/document/d/1RRWtomJLqU7BDnYr11FDPwHPXDEBktkm_mZPGIlqN8c/edit?usp=sharing","Link")</f>
        <v>Link</v>
      </c>
      <c r="J25" s="40" t="str">
        <f>HYPERLINK("https://docs.google.com/document/d/1GeyMKIQoC9MMdBP0EqT91dQn8gTPkN0kofsMWmnPPBs/edit?usp=sharing","Link")</f>
        <v>Link</v>
      </c>
      <c r="K25" s="40" t="str">
        <f>HYPERLINK("https://docs.google.com/document/d/1qJYT9MoUFGIBc7PC50wEcfpTuos0GU6eG-fNIDkl-5Q/edit?usp=sharing","Link")</f>
        <v>Link</v>
      </c>
      <c r="L25" s="40" t="str">
        <f>HYPERLINK("https://docs.google.com/document/d/1fbN9zHDq-mqawO5ZEF388duhPnJaqP2xf3_am0wgSl8/edit?usp=sharing","Link")</f>
        <v>Link</v>
      </c>
      <c r="M25" s="40" t="str">
        <f>HYPERLINK("https://docs.google.com/document/d/1e1JSGOLDi5nzP3dD7vWFV-ImDh1RalcOKd8vVv158KY/edit?usp=sharing","Link")</f>
        <v>Link</v>
      </c>
      <c r="N25" s="40" t="str">
        <f>HYPERLINK("https://docs.google.com/document/d/1_CN0GKGPPkbPyTq8SudoJyNildJkYQu8LambkRuI1d4/edit?usp=sharing","Link")</f>
        <v>Link</v>
      </c>
      <c r="O25" s="40" t="str">
        <f>HYPERLINK("https://docs.google.com/document/d/1HJkFqWDY-rg_yxvjBqnzYMo-mQTpri9cMStnp5AqtNs/edit?usp=sharing","Link")</f>
        <v>Link</v>
      </c>
      <c r="P25" s="40" t="str">
        <f>HYPERLINK("https://docs.google.com/document/d/1v1OGr-bH83jznZLRR-WHOTaGuF8wMBSX1_r19r_tuyg/edit?usp=sharing","Link")</f>
        <v>Link</v>
      </c>
      <c r="Q25" s="83" t="str">
        <f>HYPERLINK("https://docs.google.com/document/d/1DV-RMjWpVbICApcw9a_LUHs_mtc0d7MqbkiFdn-qIgI/edit?usp=sharing","Season Transcript")</f>
        <v>Season Transcript</v>
      </c>
      <c r="R25" s="3"/>
      <c r="S25" s="40" t="str">
        <f>HYPERLINK("https://docs.google.com/document/d/1NcmULifVxUS5_fnA34LjheBPO5X3sIHpj8ujnciwjaQ/edit?usp=sharing","Differences")</f>
        <v>Differences</v>
      </c>
    </row>
    <row r="26"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  <c r="S26" s="199"/>
    </row>
    <row r="27">
      <c r="A27" s="200" t="s">
        <v>256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201"/>
    </row>
    <row r="28">
      <c r="A28" s="174" t="s">
        <v>257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201"/>
    </row>
    <row r="29">
      <c r="A29" s="202" t="s">
        <v>258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201"/>
    </row>
  </sheetData>
  <mergeCells count="10">
    <mergeCell ref="A27:B27"/>
    <mergeCell ref="A28:B28"/>
    <mergeCell ref="A29:B29"/>
    <mergeCell ref="A1:S1"/>
    <mergeCell ref="A2:B2"/>
    <mergeCell ref="A23:B23"/>
    <mergeCell ref="A24:B24"/>
    <mergeCell ref="A25:B25"/>
    <mergeCell ref="Q25:R25"/>
    <mergeCell ref="A26:B26"/>
  </mergeCell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259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17</v>
      </c>
      <c r="R2" s="7" t="s">
        <v>18</v>
      </c>
      <c r="S2" s="8" t="s">
        <v>19</v>
      </c>
    </row>
    <row r="3">
      <c r="A3" s="9">
        <v>1.0</v>
      </c>
      <c r="B3" s="9" t="s">
        <v>25</v>
      </c>
      <c r="C3" s="156">
        <v>3.0</v>
      </c>
      <c r="D3" s="156">
        <v>3.0</v>
      </c>
      <c r="E3" s="156">
        <v>2.0</v>
      </c>
      <c r="F3" s="156">
        <v>4.0</v>
      </c>
      <c r="G3" s="158">
        <v>4.0</v>
      </c>
      <c r="H3" s="158">
        <v>2.0</v>
      </c>
      <c r="I3" s="59">
        <v>2.0</v>
      </c>
      <c r="J3" s="60">
        <v>1.0</v>
      </c>
      <c r="K3" s="60">
        <v>1.0</v>
      </c>
      <c r="L3" s="60">
        <v>2.0</v>
      </c>
      <c r="M3" s="60">
        <v>2.0</v>
      </c>
      <c r="N3" s="60">
        <v>1.0</v>
      </c>
      <c r="O3" s="60">
        <v>5.0</v>
      </c>
      <c r="P3" s="61">
        <v>5.0</v>
      </c>
      <c r="Q3" s="23">
        <f t="shared" ref="Q3:Q20" si="1">SUM(C3:P3)</f>
        <v>37</v>
      </c>
      <c r="R3" s="16">
        <f t="shared" ref="R3:R6" si="2">AVERAGE(C3:P3)</f>
        <v>2.642857143</v>
      </c>
      <c r="S3" s="17">
        <f t="shared" ref="S3:S20" si="3">Q3/Q$21</f>
        <v>0.08505747126</v>
      </c>
    </row>
    <row r="4">
      <c r="A4" s="9">
        <v>2.0</v>
      </c>
      <c r="B4" s="9" t="s">
        <v>260</v>
      </c>
      <c r="C4" s="203">
        <v>4.0</v>
      </c>
      <c r="D4" s="203">
        <v>3.0</v>
      </c>
      <c r="E4" s="203">
        <v>2.0</v>
      </c>
      <c r="F4" s="203">
        <v>2.0</v>
      </c>
      <c r="G4" s="203">
        <v>2.0</v>
      </c>
      <c r="H4" s="203">
        <v>1.0</v>
      </c>
      <c r="I4" s="55">
        <v>5.0</v>
      </c>
      <c r="J4" s="56">
        <v>4.0</v>
      </c>
      <c r="K4" s="56">
        <v>8.0</v>
      </c>
      <c r="L4" s="56">
        <v>3.0</v>
      </c>
      <c r="M4" s="56">
        <v>5.0</v>
      </c>
      <c r="N4" s="56">
        <v>7.0</v>
      </c>
      <c r="O4" s="56">
        <v>6.0</v>
      </c>
      <c r="P4" s="57">
        <v>6.0</v>
      </c>
      <c r="Q4" s="23">
        <f t="shared" si="1"/>
        <v>58</v>
      </c>
      <c r="R4" s="16">
        <f t="shared" si="2"/>
        <v>4.142857143</v>
      </c>
      <c r="S4" s="17">
        <f t="shared" si="3"/>
        <v>0.1333333333</v>
      </c>
    </row>
    <row r="5">
      <c r="A5" s="9">
        <v>2.0</v>
      </c>
      <c r="B5" s="9" t="s">
        <v>56</v>
      </c>
      <c r="C5" s="203">
        <v>8.0</v>
      </c>
      <c r="D5" s="203">
        <v>0.0</v>
      </c>
      <c r="E5" s="203">
        <v>0.0</v>
      </c>
      <c r="F5" s="203">
        <v>0.0</v>
      </c>
      <c r="G5" s="203">
        <v>0.0</v>
      </c>
      <c r="H5" s="203">
        <v>0.0</v>
      </c>
      <c r="I5" s="55">
        <v>4.0</v>
      </c>
      <c r="J5" s="56">
        <v>2.0</v>
      </c>
      <c r="K5" s="56">
        <v>2.0</v>
      </c>
      <c r="L5" s="56">
        <v>7.0</v>
      </c>
      <c r="M5" s="56">
        <v>1.0</v>
      </c>
      <c r="N5" s="56">
        <v>1.0</v>
      </c>
      <c r="O5" s="56">
        <v>5.0</v>
      </c>
      <c r="P5" s="57">
        <v>10.0</v>
      </c>
      <c r="Q5" s="23">
        <f t="shared" si="1"/>
        <v>40</v>
      </c>
      <c r="R5" s="16">
        <f t="shared" si="2"/>
        <v>2.857142857</v>
      </c>
      <c r="S5" s="17">
        <f t="shared" si="3"/>
        <v>0.09195402299</v>
      </c>
    </row>
    <row r="6">
      <c r="A6" s="9">
        <v>4.0</v>
      </c>
      <c r="B6" s="9" t="s">
        <v>109</v>
      </c>
      <c r="C6" s="156">
        <v>5.0</v>
      </c>
      <c r="D6" s="156">
        <v>4.0</v>
      </c>
      <c r="E6" s="156">
        <v>4.0</v>
      </c>
      <c r="F6" s="156">
        <v>7.0</v>
      </c>
      <c r="G6" s="203">
        <v>6.0</v>
      </c>
      <c r="H6" s="203">
        <v>0.0</v>
      </c>
      <c r="I6" s="55">
        <v>4.0</v>
      </c>
      <c r="J6" s="56">
        <v>5.0</v>
      </c>
      <c r="K6" s="56">
        <v>1.0</v>
      </c>
      <c r="L6" s="56">
        <v>6.0</v>
      </c>
      <c r="M6" s="56">
        <v>4.0</v>
      </c>
      <c r="N6" s="56">
        <v>6.0</v>
      </c>
      <c r="O6" s="56">
        <v>9.0</v>
      </c>
      <c r="P6" s="159">
        <v>5.0</v>
      </c>
      <c r="Q6" s="23">
        <f t="shared" si="1"/>
        <v>66</v>
      </c>
      <c r="R6" s="16">
        <f t="shared" si="2"/>
        <v>4.714285714</v>
      </c>
      <c r="S6" s="17">
        <f t="shared" si="3"/>
        <v>0.1517241379</v>
      </c>
    </row>
    <row r="7">
      <c r="A7" s="9">
        <v>5.0</v>
      </c>
      <c r="B7" s="9" t="s">
        <v>159</v>
      </c>
      <c r="C7" s="203">
        <v>1.0</v>
      </c>
      <c r="D7" s="203">
        <v>2.0</v>
      </c>
      <c r="E7" s="203">
        <v>3.0</v>
      </c>
      <c r="F7" s="203">
        <v>2.0</v>
      </c>
      <c r="G7" s="203">
        <v>0.0</v>
      </c>
      <c r="H7" s="203">
        <v>1.0</v>
      </c>
      <c r="I7" s="55">
        <v>0.0</v>
      </c>
      <c r="J7" s="56">
        <v>0.0</v>
      </c>
      <c r="K7" s="56">
        <v>2.0</v>
      </c>
      <c r="L7" s="56">
        <v>3.0</v>
      </c>
      <c r="M7" s="56">
        <v>7.0</v>
      </c>
      <c r="N7" s="56">
        <v>3.0</v>
      </c>
      <c r="O7" s="160">
        <v>6.0</v>
      </c>
      <c r="P7" s="161"/>
      <c r="Q7" s="23">
        <f t="shared" si="1"/>
        <v>30</v>
      </c>
      <c r="R7" s="16">
        <f>AVERAGE(C7:O7)</f>
        <v>2.307692308</v>
      </c>
      <c r="S7" s="17">
        <f t="shared" si="3"/>
        <v>0.06896551724</v>
      </c>
    </row>
    <row r="8">
      <c r="A8" s="9">
        <v>6.0</v>
      </c>
      <c r="B8" s="9" t="s">
        <v>261</v>
      </c>
      <c r="C8" s="158">
        <v>0.0</v>
      </c>
      <c r="D8" s="158">
        <v>0.0</v>
      </c>
      <c r="E8" s="158">
        <v>0.0</v>
      </c>
      <c r="F8" s="158">
        <v>1.0</v>
      </c>
      <c r="G8" s="158">
        <v>0.0</v>
      </c>
      <c r="H8" s="158">
        <v>4.0</v>
      </c>
      <c r="I8" s="55">
        <v>0.0</v>
      </c>
      <c r="J8" s="56">
        <v>0.0</v>
      </c>
      <c r="K8" s="56">
        <v>1.0</v>
      </c>
      <c r="L8" s="56">
        <v>0.0</v>
      </c>
      <c r="M8" s="56">
        <v>0.0</v>
      </c>
      <c r="N8" s="162">
        <v>2.0</v>
      </c>
      <c r="O8" s="69"/>
      <c r="P8" s="67"/>
      <c r="Q8" s="23">
        <f t="shared" si="1"/>
        <v>8</v>
      </c>
      <c r="R8" s="16">
        <f>AVERAGE(C8:N8)</f>
        <v>0.6666666667</v>
      </c>
      <c r="S8" s="17">
        <f t="shared" si="3"/>
        <v>0.0183908046</v>
      </c>
    </row>
    <row r="9">
      <c r="A9" s="9">
        <v>7.0</v>
      </c>
      <c r="B9" s="9" t="s">
        <v>262</v>
      </c>
      <c r="C9" s="158">
        <v>3.0</v>
      </c>
      <c r="D9" s="158">
        <v>5.0</v>
      </c>
      <c r="E9" s="158">
        <v>1.0</v>
      </c>
      <c r="F9" s="158">
        <v>2.0</v>
      </c>
      <c r="G9" s="158">
        <v>7.0</v>
      </c>
      <c r="H9" s="158">
        <v>5.0</v>
      </c>
      <c r="I9" s="55">
        <v>5.0</v>
      </c>
      <c r="J9" s="56">
        <v>5.0</v>
      </c>
      <c r="K9" s="56">
        <v>10.0</v>
      </c>
      <c r="L9" s="56">
        <v>2.0</v>
      </c>
      <c r="M9" s="162">
        <v>4.0</v>
      </c>
      <c r="N9" s="69"/>
      <c r="O9" s="69"/>
      <c r="P9" s="67"/>
      <c r="Q9" s="23">
        <f t="shared" si="1"/>
        <v>49</v>
      </c>
      <c r="R9" s="16">
        <f>AVERAGE(C9:M9)</f>
        <v>4.454545455</v>
      </c>
      <c r="S9" s="17">
        <f t="shared" si="3"/>
        <v>0.1126436782</v>
      </c>
    </row>
    <row r="10">
      <c r="A10" s="9">
        <v>8.0</v>
      </c>
      <c r="B10" s="9" t="s">
        <v>263</v>
      </c>
      <c r="C10" s="203">
        <v>2.0</v>
      </c>
      <c r="D10" s="203">
        <v>0.0</v>
      </c>
      <c r="E10" s="203">
        <v>3.0</v>
      </c>
      <c r="F10" s="203">
        <v>3.0</v>
      </c>
      <c r="G10" s="203">
        <v>1.0</v>
      </c>
      <c r="H10" s="203">
        <v>1.0</v>
      </c>
      <c r="I10" s="55">
        <v>1.0</v>
      </c>
      <c r="J10" s="56">
        <v>6.0</v>
      </c>
      <c r="K10" s="56">
        <v>1.0</v>
      </c>
      <c r="L10" s="162">
        <v>3.0</v>
      </c>
      <c r="M10" s="69"/>
      <c r="N10" s="69"/>
      <c r="O10" s="69"/>
      <c r="P10" s="67"/>
      <c r="Q10" s="23">
        <f t="shared" si="1"/>
        <v>21</v>
      </c>
      <c r="R10" s="16">
        <f>AVERAGE(C10:L10)</f>
        <v>2.1</v>
      </c>
      <c r="S10" s="17">
        <f t="shared" si="3"/>
        <v>0.04827586207</v>
      </c>
    </row>
    <row r="11">
      <c r="A11" s="9">
        <v>9.0</v>
      </c>
      <c r="B11" s="9" t="s">
        <v>264</v>
      </c>
      <c r="C11" s="203">
        <v>0.0</v>
      </c>
      <c r="D11" s="203">
        <v>0.0</v>
      </c>
      <c r="E11" s="203">
        <v>1.0</v>
      </c>
      <c r="F11" s="203">
        <v>0.0</v>
      </c>
      <c r="G11" s="203">
        <v>0.0</v>
      </c>
      <c r="H11" s="203">
        <v>3.0</v>
      </c>
      <c r="I11" s="55">
        <v>1.0</v>
      </c>
      <c r="J11" s="56">
        <v>1.0</v>
      </c>
      <c r="K11" s="162">
        <v>2.0</v>
      </c>
      <c r="L11" s="69"/>
      <c r="M11" s="69"/>
      <c r="N11" s="69"/>
      <c r="O11" s="69"/>
      <c r="P11" s="67"/>
      <c r="Q11" s="23">
        <f t="shared" si="1"/>
        <v>8</v>
      </c>
      <c r="R11" s="16">
        <f>AVERAGE(C11:K11)</f>
        <v>0.8888888889</v>
      </c>
      <c r="S11" s="17">
        <f t="shared" si="3"/>
        <v>0.0183908046</v>
      </c>
    </row>
    <row r="12">
      <c r="A12" s="9">
        <v>10.0</v>
      </c>
      <c r="B12" s="9" t="s">
        <v>107</v>
      </c>
      <c r="C12" s="158">
        <v>4.0</v>
      </c>
      <c r="D12" s="158">
        <v>2.0</v>
      </c>
      <c r="E12" s="158">
        <v>5.0</v>
      </c>
      <c r="F12" s="158">
        <v>2.0</v>
      </c>
      <c r="G12" s="158">
        <v>2.0</v>
      </c>
      <c r="H12" s="158">
        <v>5.0</v>
      </c>
      <c r="I12" s="55">
        <v>4.0</v>
      </c>
      <c r="J12" s="162">
        <v>4.0</v>
      </c>
      <c r="K12" s="69"/>
      <c r="L12" s="69"/>
      <c r="M12" s="69"/>
      <c r="N12" s="69"/>
      <c r="O12" s="69"/>
      <c r="P12" s="67"/>
      <c r="Q12" s="23">
        <f t="shared" si="1"/>
        <v>28</v>
      </c>
      <c r="R12" s="16">
        <f>AVERAGE(C12:J12)</f>
        <v>3.5</v>
      </c>
      <c r="S12" s="17">
        <f t="shared" si="3"/>
        <v>0.06436781609</v>
      </c>
    </row>
    <row r="13">
      <c r="A13" s="9">
        <v>11.0</v>
      </c>
      <c r="B13" s="9" t="s">
        <v>265</v>
      </c>
      <c r="C13" s="203">
        <v>6.0</v>
      </c>
      <c r="D13" s="203">
        <v>4.0</v>
      </c>
      <c r="E13" s="203">
        <v>2.0</v>
      </c>
      <c r="F13" s="203">
        <v>3.0</v>
      </c>
      <c r="G13" s="203">
        <v>1.0</v>
      </c>
      <c r="H13" s="203">
        <v>2.0</v>
      </c>
      <c r="I13" s="163">
        <v>3.0</v>
      </c>
      <c r="J13" s="69"/>
      <c r="K13" s="69"/>
      <c r="L13" s="69"/>
      <c r="M13" s="69"/>
      <c r="N13" s="69"/>
      <c r="O13" s="69"/>
      <c r="P13" s="67"/>
      <c r="Q13" s="23">
        <f t="shared" si="1"/>
        <v>21</v>
      </c>
      <c r="R13" s="16">
        <f>AVERAGE(C13:I13)</f>
        <v>3</v>
      </c>
      <c r="S13" s="17">
        <f t="shared" si="3"/>
        <v>0.04827586207</v>
      </c>
    </row>
    <row r="14">
      <c r="A14" s="9">
        <v>12.0</v>
      </c>
      <c r="B14" s="9" t="s">
        <v>227</v>
      </c>
      <c r="C14" s="158">
        <v>1.0</v>
      </c>
      <c r="D14" s="158">
        <v>0.0</v>
      </c>
      <c r="E14" s="158">
        <v>0.0</v>
      </c>
      <c r="F14" s="158">
        <v>0.0</v>
      </c>
      <c r="G14" s="158">
        <v>3.0</v>
      </c>
      <c r="H14" s="165">
        <v>7.0</v>
      </c>
      <c r="I14" s="76"/>
      <c r="J14" s="76"/>
      <c r="K14" s="76"/>
      <c r="L14" s="76"/>
      <c r="M14" s="76"/>
      <c r="N14" s="76"/>
      <c r="O14" s="76"/>
      <c r="P14" s="77"/>
      <c r="Q14" s="23">
        <f t="shared" si="1"/>
        <v>11</v>
      </c>
      <c r="R14" s="16">
        <f>AVERAGE(C14:H14)</f>
        <v>1.833333333</v>
      </c>
      <c r="S14" s="17">
        <f t="shared" si="3"/>
        <v>0.02528735632</v>
      </c>
    </row>
    <row r="15">
      <c r="A15" s="9">
        <v>13.0</v>
      </c>
      <c r="B15" s="9" t="s">
        <v>266</v>
      </c>
      <c r="C15" s="158">
        <v>2.0</v>
      </c>
      <c r="D15" s="158">
        <v>0.0</v>
      </c>
      <c r="E15" s="158">
        <v>0.0</v>
      </c>
      <c r="F15" s="158">
        <v>1.0</v>
      </c>
      <c r="G15" s="204">
        <v>3.0</v>
      </c>
      <c r="H15" s="69"/>
      <c r="I15" s="76"/>
      <c r="J15" s="76"/>
      <c r="K15" s="76"/>
      <c r="L15" s="76"/>
      <c r="M15" s="76"/>
      <c r="N15" s="76"/>
      <c r="O15" s="76"/>
      <c r="P15" s="77"/>
      <c r="Q15" s="23">
        <f t="shared" si="1"/>
        <v>6</v>
      </c>
      <c r="R15" s="16">
        <f t="shared" ref="R15:R16" si="4">AVERAGE(C15:G15)</f>
        <v>1.2</v>
      </c>
      <c r="S15" s="17">
        <f t="shared" si="3"/>
        <v>0.01379310345</v>
      </c>
    </row>
    <row r="16">
      <c r="A16" s="9">
        <v>14.0</v>
      </c>
      <c r="B16" s="9" t="s">
        <v>267</v>
      </c>
      <c r="C16" s="158">
        <v>2.0</v>
      </c>
      <c r="D16" s="158">
        <v>0.0</v>
      </c>
      <c r="E16" s="158">
        <v>1.0</v>
      </c>
      <c r="F16" s="158">
        <v>1.0</v>
      </c>
      <c r="G16" s="165">
        <v>2.0</v>
      </c>
      <c r="H16" s="69"/>
      <c r="I16" s="76"/>
      <c r="J16" s="76"/>
      <c r="K16" s="76"/>
      <c r="L16" s="76"/>
      <c r="M16" s="76"/>
      <c r="N16" s="76"/>
      <c r="O16" s="76"/>
      <c r="P16" s="77"/>
      <c r="Q16" s="23">
        <f t="shared" si="1"/>
        <v>6</v>
      </c>
      <c r="R16" s="16">
        <f t="shared" si="4"/>
        <v>1.2</v>
      </c>
      <c r="S16" s="17">
        <f t="shared" si="3"/>
        <v>0.01379310345</v>
      </c>
    </row>
    <row r="17">
      <c r="A17" s="9">
        <v>15.0</v>
      </c>
      <c r="B17" s="9" t="s">
        <v>268</v>
      </c>
      <c r="C17" s="156">
        <v>7.0</v>
      </c>
      <c r="D17" s="156">
        <v>4.0</v>
      </c>
      <c r="E17" s="156">
        <v>5.0</v>
      </c>
      <c r="F17" s="164">
        <v>5.0</v>
      </c>
      <c r="G17" s="69"/>
      <c r="H17" s="69"/>
      <c r="I17" s="76"/>
      <c r="J17" s="76"/>
      <c r="K17" s="76"/>
      <c r="L17" s="76"/>
      <c r="M17" s="76"/>
      <c r="N17" s="76"/>
      <c r="O17" s="76"/>
      <c r="P17" s="77"/>
      <c r="Q17" s="23">
        <f t="shared" si="1"/>
        <v>21</v>
      </c>
      <c r="R17" s="16">
        <f>AVERAGE(C17:F17)</f>
        <v>5.25</v>
      </c>
      <c r="S17" s="17">
        <f t="shared" si="3"/>
        <v>0.04827586207</v>
      </c>
    </row>
    <row r="18">
      <c r="A18" s="9">
        <v>16.0</v>
      </c>
      <c r="B18" s="9" t="s">
        <v>269</v>
      </c>
      <c r="C18" s="156">
        <v>3.0</v>
      </c>
      <c r="D18" s="156">
        <v>1.0</v>
      </c>
      <c r="E18" s="164">
        <v>5.0</v>
      </c>
      <c r="F18" s="69"/>
      <c r="G18" s="69"/>
      <c r="H18" s="69"/>
      <c r="I18" s="76"/>
      <c r="J18" s="76"/>
      <c r="K18" s="76"/>
      <c r="L18" s="76"/>
      <c r="M18" s="76"/>
      <c r="N18" s="76"/>
      <c r="O18" s="76"/>
      <c r="P18" s="77"/>
      <c r="Q18" s="23">
        <f t="shared" si="1"/>
        <v>9</v>
      </c>
      <c r="R18" s="16">
        <f>AVERAGE(C18:E18)</f>
        <v>3</v>
      </c>
      <c r="S18" s="17">
        <f t="shared" si="3"/>
        <v>0.02068965517</v>
      </c>
    </row>
    <row r="19">
      <c r="A19" s="9">
        <v>17.0</v>
      </c>
      <c r="B19" s="9" t="s">
        <v>270</v>
      </c>
      <c r="C19" s="156">
        <v>1.0</v>
      </c>
      <c r="D19" s="164">
        <v>6.0</v>
      </c>
      <c r="E19" s="69"/>
      <c r="F19" s="69"/>
      <c r="G19" s="69"/>
      <c r="H19" s="69"/>
      <c r="I19" s="76"/>
      <c r="J19" s="76"/>
      <c r="K19" s="76"/>
      <c r="L19" s="76"/>
      <c r="M19" s="76"/>
      <c r="N19" s="76"/>
      <c r="O19" s="76"/>
      <c r="P19" s="77"/>
      <c r="Q19" s="23">
        <f t="shared" si="1"/>
        <v>7</v>
      </c>
      <c r="R19" s="16">
        <f>AVERAGE(C19:D19)</f>
        <v>3.5</v>
      </c>
      <c r="S19" s="17">
        <f t="shared" si="3"/>
        <v>0.01609195402</v>
      </c>
    </row>
    <row r="20">
      <c r="A20" s="9">
        <v>18.0</v>
      </c>
      <c r="B20" s="9" t="s">
        <v>271</v>
      </c>
      <c r="C20" s="205">
        <v>9.0</v>
      </c>
      <c r="D20" s="119"/>
      <c r="E20" s="119"/>
      <c r="F20" s="119"/>
      <c r="G20" s="119"/>
      <c r="H20" s="119"/>
      <c r="I20" s="79"/>
      <c r="J20" s="79"/>
      <c r="K20" s="79"/>
      <c r="L20" s="79"/>
      <c r="M20" s="79"/>
      <c r="N20" s="79"/>
      <c r="O20" s="79"/>
      <c r="P20" s="80"/>
      <c r="Q20" s="23">
        <f t="shared" si="1"/>
        <v>9</v>
      </c>
      <c r="R20" s="16">
        <f>AVERAGE(C20)</f>
        <v>9</v>
      </c>
      <c r="S20" s="17">
        <f t="shared" si="3"/>
        <v>0.02068965517</v>
      </c>
    </row>
    <row r="21">
      <c r="A21" s="4" t="s">
        <v>40</v>
      </c>
      <c r="B21" s="3"/>
      <c r="C21" s="23">
        <f t="shared" ref="C21:Q21" si="5">SUM(C3:C20)</f>
        <v>61</v>
      </c>
      <c r="D21" s="23">
        <f t="shared" si="5"/>
        <v>34</v>
      </c>
      <c r="E21" s="23">
        <f t="shared" si="5"/>
        <v>34</v>
      </c>
      <c r="F21" s="23">
        <f t="shared" si="5"/>
        <v>33</v>
      </c>
      <c r="G21" s="23">
        <f t="shared" si="5"/>
        <v>31</v>
      </c>
      <c r="H21" s="23">
        <f t="shared" si="5"/>
        <v>31</v>
      </c>
      <c r="I21" s="23">
        <f t="shared" si="5"/>
        <v>29</v>
      </c>
      <c r="J21" s="23">
        <f t="shared" si="5"/>
        <v>28</v>
      </c>
      <c r="K21" s="23">
        <f t="shared" si="5"/>
        <v>28</v>
      </c>
      <c r="L21" s="23">
        <f t="shared" si="5"/>
        <v>26</v>
      </c>
      <c r="M21" s="23">
        <f t="shared" si="5"/>
        <v>23</v>
      </c>
      <c r="N21" s="23">
        <f t="shared" si="5"/>
        <v>20</v>
      </c>
      <c r="O21" s="23">
        <f t="shared" si="5"/>
        <v>31</v>
      </c>
      <c r="P21" s="23">
        <f t="shared" si="5"/>
        <v>26</v>
      </c>
      <c r="Q21" s="23">
        <f t="shared" si="5"/>
        <v>435</v>
      </c>
      <c r="R21" s="16"/>
      <c r="S21" s="82"/>
    </row>
    <row r="22">
      <c r="A22" s="35" t="s">
        <v>18</v>
      </c>
      <c r="B22" s="3"/>
      <c r="C22" s="16">
        <f>AVERAGE(C3:C20)</f>
        <v>3.388888889</v>
      </c>
      <c r="D22" s="16">
        <f>AVERAGE(D3:D19)</f>
        <v>2</v>
      </c>
      <c r="E22" s="16">
        <f>AVERAGE(E3:E18)</f>
        <v>2.125</v>
      </c>
      <c r="F22" s="16">
        <f>AVERAGE(F3:F17)</f>
        <v>2.2</v>
      </c>
      <c r="G22" s="16">
        <f>AVERAGE(G3:G16)</f>
        <v>2.214285714</v>
      </c>
      <c r="H22" s="16">
        <f>AVERAGE(H3:H14)</f>
        <v>2.583333333</v>
      </c>
      <c r="I22" s="16">
        <f>AVERAGE(I3:I13)</f>
        <v>2.636363636</v>
      </c>
      <c r="J22" s="16">
        <f>AVERAGE(J3:J12)</f>
        <v>2.8</v>
      </c>
      <c r="K22" s="16">
        <f>AVERAGE(K3:K11)</f>
        <v>3.111111111</v>
      </c>
      <c r="L22" s="16">
        <f>AVERAGE(L3:L10)</f>
        <v>3.25</v>
      </c>
      <c r="M22" s="16">
        <f>AVERAGE(M3:M9)</f>
        <v>3.285714286</v>
      </c>
      <c r="N22" s="16">
        <f>AVERAGE(N3:N8)</f>
        <v>3.333333333</v>
      </c>
      <c r="O22" s="16">
        <f>AVERAGE(O3:O7)</f>
        <v>6.2</v>
      </c>
      <c r="P22" s="16">
        <f>AVERAGE(P3:P6)</f>
        <v>6.5</v>
      </c>
      <c r="Q22" s="16"/>
      <c r="R22" s="16"/>
      <c r="S22" s="82"/>
    </row>
    <row r="23">
      <c r="A23" s="4" t="s">
        <v>41</v>
      </c>
      <c r="B23" s="3"/>
      <c r="C23" s="40" t="str">
        <f>HYPERLINK("https://docs.google.com/document/d/11WlBqVwX734sxP_KjVVWqPJ9n-O621MXI0t7XUe6yIg/edit?usp=sharing","Link")</f>
        <v>Link</v>
      </c>
      <c r="D23" s="40" t="str">
        <f>HYPERLINK("https://docs.google.com/document/d/1rNiGVVv_hncm5CzAQoGpaApOmThC7Xi75xe6r_yLemk/edit?usp=sharing","Link")</f>
        <v>Link</v>
      </c>
      <c r="E23" s="40" t="str">
        <f>HYPERLINK("https://docs.google.com/document/d/1FIc0po0apmiARmcMaVrFyVfC4YItbWFKtlWi04ETpN0/edit?usp=sharing","Link")</f>
        <v>Link</v>
      </c>
      <c r="F23" s="40" t="str">
        <f>HYPERLINK("https://docs.google.com/document/d/1aqpPUjVAfQgvFriEI4urWdYA0Yo8GNuqXQIuuPsa1gk/edit?usp=sharing","Link")</f>
        <v>Link</v>
      </c>
      <c r="G23" s="40" t="str">
        <f>HYPERLINK("https://docs.google.com/document/d/1U8oauxWS7aUTLDBnQO2y3MSo9j8GDW708ljpLRRB9oI/edit?usp=sharing","Link")</f>
        <v>Link</v>
      </c>
      <c r="H23" s="40" t="str">
        <f>HYPERLINK("https://docs.google.com/document/d/1EBb8iJbXpF9JEuT4VQpyuopKdnFsGYnhl487or2VWsE/edit?usp=sharing","Link")</f>
        <v>Link</v>
      </c>
      <c r="I23" s="40" t="str">
        <f>HYPERLINK("https://docs.google.com/document/d/1g4hSYhyCSbXSBC9xpqwrrkYVOKNbkqGu6L8H49TQN4E/edit?usp=sharing","Link")</f>
        <v>Link</v>
      </c>
      <c r="J23" s="40" t="str">
        <f>HYPERLINK("https://docs.google.com/document/d/1bLIqvUbHOXbtCFTiAyqCrOQiqsuGcHBZGLNBsk487RY/edit?usp=sharing","Link")</f>
        <v>Link</v>
      </c>
      <c r="K23" s="40" t="str">
        <f>HYPERLINK("https://docs.google.com/document/d/1Q11mwN3kOXSHu0PM3FjkUIV_8mOMS9SaujrMcwUIaG8/edit?usp=sharing","Link")</f>
        <v>Link</v>
      </c>
      <c r="L23" s="40" t="str">
        <f>HYPERLINK("https://docs.google.com/document/d/1FU1fWx8O3IUhQTj4_hBZqJBBgeE34TIn7nWqjbuhsq8/edit?usp=sharing","Link")</f>
        <v>Link</v>
      </c>
      <c r="M23" s="40" t="str">
        <f>HYPERLINK("https://docs.google.com/document/d/1hhmS4DjZjGzc9F0czkK5ifQohPhyhoQvbYV8DEYXUEw/edit?usp=sharing","Link")</f>
        <v>Link</v>
      </c>
      <c r="N23" s="40" t="str">
        <f>HYPERLINK("https://docs.google.com/document/d/195GVunXTA-gFatoqNBKW0hufmqXKm54tiP6WQnamF-k/edit?usp=sharing","Link")</f>
        <v>Link</v>
      </c>
      <c r="O23" s="40" t="str">
        <f>HYPERLINK("https://docs.google.com/document/d/1VVD6axT4NFijDZZ3NkD49PqTmsBUa8dtgjpVZHCSaeI/edit?usp=sharing","Link")</f>
        <v>Link</v>
      </c>
      <c r="P23" s="40" t="str">
        <f>HYPERLINK("https://docs.google.com/document/d/1etJBPwz8Xl_QVD7lXatmC9Adf2BbMqNF0CJfqZyFALI/edit?usp=sharing","Link")</f>
        <v>Link</v>
      </c>
      <c r="Q23" s="83" t="str">
        <f>HYPERLINK("https://docs.google.com/document/d/1Sc9lKzHyYkl5LLSavxxAaaYq-FwceUep5jW6LyCLnQg/edit?usp=sharing","Season Transcript")</f>
        <v>Season Transcript</v>
      </c>
      <c r="R23" s="3"/>
      <c r="S23" s="40" t="str">
        <f>HYPERLINK("https://docs.google.com/document/d/1HEhp9VX9l5y1tMrKO70W7v7dxIRmaqgUrfCA5DYOOcA/edit?usp=sharing","Differences")</f>
        <v>Differences</v>
      </c>
    </row>
    <row r="24"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  <c r="S24" s="150"/>
    </row>
    <row r="25">
      <c r="A25" s="169" t="s">
        <v>272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152"/>
    </row>
    <row r="26">
      <c r="A26" s="168" t="s">
        <v>273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152"/>
    </row>
    <row r="27">
      <c r="A27" s="206" t="s">
        <v>274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152"/>
    </row>
    <row r="28">
      <c r="A28" s="51" t="s">
        <v>275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152"/>
    </row>
  </sheetData>
  <mergeCells count="11">
    <mergeCell ref="A25:B25"/>
    <mergeCell ref="A26:B26"/>
    <mergeCell ref="A27:B27"/>
    <mergeCell ref="A28:B28"/>
    <mergeCell ref="A1:S1"/>
    <mergeCell ref="A2:B2"/>
    <mergeCell ref="A21:B21"/>
    <mergeCell ref="A22:B22"/>
    <mergeCell ref="A23:B23"/>
    <mergeCell ref="Q23:R23"/>
    <mergeCell ref="A24:B24"/>
  </mergeCell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276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17</v>
      </c>
      <c r="R2" s="7" t="s">
        <v>18</v>
      </c>
      <c r="S2" s="8" t="s">
        <v>19</v>
      </c>
    </row>
    <row r="3">
      <c r="A3" s="9">
        <v>1.0</v>
      </c>
      <c r="B3" s="9" t="s">
        <v>28</v>
      </c>
      <c r="C3" s="207">
        <v>2.0</v>
      </c>
      <c r="D3" s="207">
        <v>0.0</v>
      </c>
      <c r="E3" s="207">
        <v>2.0</v>
      </c>
      <c r="F3" s="207">
        <v>2.0</v>
      </c>
      <c r="G3" s="207">
        <v>4.0</v>
      </c>
      <c r="H3" s="207">
        <v>2.0</v>
      </c>
      <c r="I3" s="59">
        <v>1.0</v>
      </c>
      <c r="J3" s="60">
        <v>6.0</v>
      </c>
      <c r="K3" s="60">
        <v>5.0</v>
      </c>
      <c r="L3" s="60">
        <v>1.0</v>
      </c>
      <c r="M3" s="60">
        <v>6.0</v>
      </c>
      <c r="N3" s="60">
        <v>7.0</v>
      </c>
      <c r="O3" s="60">
        <v>7.0</v>
      </c>
      <c r="P3" s="61">
        <v>8.0</v>
      </c>
      <c r="Q3" s="23">
        <f t="shared" ref="Q3:Q20" si="1">SUM(C3:P3)</f>
        <v>53</v>
      </c>
      <c r="R3" s="16">
        <f t="shared" ref="R3:R7" si="2">AVERAGE(C3:P3)</f>
        <v>3.785714286</v>
      </c>
      <c r="S3" s="17">
        <f t="shared" ref="S3:S20" si="3">Q3/Q$21</f>
        <v>0.1387434555</v>
      </c>
    </row>
    <row r="4">
      <c r="A4" s="9">
        <v>2.0</v>
      </c>
      <c r="B4" s="9" t="s">
        <v>277</v>
      </c>
      <c r="C4" s="207">
        <v>9.0</v>
      </c>
      <c r="D4" s="207">
        <v>7.0</v>
      </c>
      <c r="E4" s="207">
        <v>1.0</v>
      </c>
      <c r="F4" s="207">
        <v>3.0</v>
      </c>
      <c r="G4" s="207">
        <v>2.0</v>
      </c>
      <c r="H4" s="207">
        <v>2.0</v>
      </c>
      <c r="I4" s="55">
        <v>1.0</v>
      </c>
      <c r="J4" s="56">
        <v>1.0</v>
      </c>
      <c r="K4" s="56">
        <v>3.0</v>
      </c>
      <c r="L4" s="56">
        <v>0.0</v>
      </c>
      <c r="M4" s="56">
        <v>4.0</v>
      </c>
      <c r="N4" s="56">
        <v>3.0</v>
      </c>
      <c r="O4" s="56">
        <v>3.0</v>
      </c>
      <c r="P4" s="57">
        <v>3.0</v>
      </c>
      <c r="Q4" s="23">
        <f t="shared" si="1"/>
        <v>42</v>
      </c>
      <c r="R4" s="16">
        <f t="shared" si="2"/>
        <v>3</v>
      </c>
      <c r="S4" s="17">
        <f t="shared" si="3"/>
        <v>0.109947644</v>
      </c>
    </row>
    <row r="5">
      <c r="A5" s="9">
        <v>3.0</v>
      </c>
      <c r="B5" s="9" t="s">
        <v>55</v>
      </c>
      <c r="C5" s="207">
        <v>3.0</v>
      </c>
      <c r="D5" s="207">
        <v>1.0</v>
      </c>
      <c r="E5" s="207">
        <v>7.0</v>
      </c>
      <c r="F5" s="207">
        <v>1.0</v>
      </c>
      <c r="G5" s="207">
        <v>0.0</v>
      </c>
      <c r="H5" s="207">
        <v>0.0</v>
      </c>
      <c r="I5" s="55">
        <v>4.0</v>
      </c>
      <c r="J5" s="56">
        <v>3.0</v>
      </c>
      <c r="K5" s="56">
        <v>3.0</v>
      </c>
      <c r="L5" s="56">
        <v>2.0</v>
      </c>
      <c r="M5" s="56">
        <v>1.0</v>
      </c>
      <c r="N5" s="56">
        <v>4.0</v>
      </c>
      <c r="O5" s="56">
        <v>6.0</v>
      </c>
      <c r="P5" s="57">
        <v>3.0</v>
      </c>
      <c r="Q5" s="23">
        <f t="shared" si="1"/>
        <v>38</v>
      </c>
      <c r="R5" s="16">
        <f t="shared" si="2"/>
        <v>2.714285714</v>
      </c>
      <c r="S5" s="17">
        <f t="shared" si="3"/>
        <v>0.09947643979</v>
      </c>
    </row>
    <row r="6">
      <c r="A6" s="9">
        <v>4.0</v>
      </c>
      <c r="B6" s="9" t="s">
        <v>278</v>
      </c>
      <c r="C6" s="207">
        <v>1.0</v>
      </c>
      <c r="D6" s="207">
        <v>1.0</v>
      </c>
      <c r="E6" s="207">
        <v>0.0</v>
      </c>
      <c r="F6" s="207">
        <v>1.0</v>
      </c>
      <c r="G6" s="172">
        <v>1.0</v>
      </c>
      <c r="H6" s="172">
        <v>4.0</v>
      </c>
      <c r="I6" s="55">
        <v>0.0</v>
      </c>
      <c r="J6" s="56">
        <v>1.0</v>
      </c>
      <c r="K6" s="56">
        <v>0.0</v>
      </c>
      <c r="L6" s="56">
        <v>0.0</v>
      </c>
      <c r="M6" s="56">
        <v>1.0</v>
      </c>
      <c r="N6" s="56">
        <v>1.0</v>
      </c>
      <c r="O6" s="56">
        <v>0.0</v>
      </c>
      <c r="P6" s="57">
        <v>5.0</v>
      </c>
      <c r="Q6" s="23">
        <f t="shared" si="1"/>
        <v>16</v>
      </c>
      <c r="R6" s="16">
        <f t="shared" si="2"/>
        <v>1.142857143</v>
      </c>
      <c r="S6" s="17">
        <f t="shared" si="3"/>
        <v>0.04188481675</v>
      </c>
    </row>
    <row r="7">
      <c r="A7" s="9">
        <v>5.0</v>
      </c>
      <c r="B7" s="9" t="s">
        <v>279</v>
      </c>
      <c r="C7" s="207">
        <v>6.0</v>
      </c>
      <c r="D7" s="207">
        <v>2.0</v>
      </c>
      <c r="E7" s="207">
        <v>0.0</v>
      </c>
      <c r="F7" s="207">
        <v>1.0</v>
      </c>
      <c r="G7" s="172">
        <v>5.0</v>
      </c>
      <c r="H7" s="172">
        <v>6.0</v>
      </c>
      <c r="I7" s="55">
        <v>1.0</v>
      </c>
      <c r="J7" s="56">
        <v>0.0</v>
      </c>
      <c r="K7" s="56">
        <v>2.0</v>
      </c>
      <c r="L7" s="56">
        <v>2.0</v>
      </c>
      <c r="M7" s="56">
        <v>1.0</v>
      </c>
      <c r="N7" s="56">
        <v>4.0</v>
      </c>
      <c r="O7" s="56">
        <v>8.0</v>
      </c>
      <c r="P7" s="159">
        <v>3.0</v>
      </c>
      <c r="Q7" s="23">
        <f t="shared" si="1"/>
        <v>41</v>
      </c>
      <c r="R7" s="16">
        <f t="shared" si="2"/>
        <v>2.928571429</v>
      </c>
      <c r="S7" s="17">
        <f t="shared" si="3"/>
        <v>0.1073298429</v>
      </c>
    </row>
    <row r="8">
      <c r="A8" s="9">
        <v>6.0</v>
      </c>
      <c r="B8" s="9" t="s">
        <v>280</v>
      </c>
      <c r="C8" s="172">
        <v>1.0</v>
      </c>
      <c r="D8" s="172">
        <v>0.0</v>
      </c>
      <c r="E8" s="172">
        <v>0.0</v>
      </c>
      <c r="F8" s="172">
        <v>2.0</v>
      </c>
      <c r="G8" s="172">
        <v>0.0</v>
      </c>
      <c r="H8" s="172">
        <v>1.0</v>
      </c>
      <c r="I8" s="55">
        <v>3.0</v>
      </c>
      <c r="J8" s="56">
        <v>1.0</v>
      </c>
      <c r="K8" s="56">
        <v>2.0</v>
      </c>
      <c r="L8" s="56">
        <v>0.0</v>
      </c>
      <c r="M8" s="56">
        <v>1.0</v>
      </c>
      <c r="N8" s="56">
        <v>1.0</v>
      </c>
      <c r="O8" s="160">
        <v>6.0</v>
      </c>
      <c r="P8" s="161"/>
      <c r="Q8" s="23">
        <f t="shared" si="1"/>
        <v>18</v>
      </c>
      <c r="R8" s="16">
        <f>AVERAGE(C8:O8)</f>
        <v>1.384615385</v>
      </c>
      <c r="S8" s="17">
        <f t="shared" si="3"/>
        <v>0.04712041885</v>
      </c>
    </row>
    <row r="9">
      <c r="A9" s="9">
        <v>7.0</v>
      </c>
      <c r="B9" s="9" t="s">
        <v>230</v>
      </c>
      <c r="C9" s="207">
        <v>0.0</v>
      </c>
      <c r="D9" s="207">
        <v>1.0</v>
      </c>
      <c r="E9" s="207">
        <v>1.0</v>
      </c>
      <c r="F9" s="207">
        <v>1.0</v>
      </c>
      <c r="G9" s="207">
        <v>0.0</v>
      </c>
      <c r="H9" s="207">
        <v>2.0</v>
      </c>
      <c r="I9" s="55">
        <v>0.0</v>
      </c>
      <c r="J9" s="56">
        <v>0.0</v>
      </c>
      <c r="K9" s="56">
        <v>2.0</v>
      </c>
      <c r="L9" s="56">
        <v>0.0</v>
      </c>
      <c r="M9" s="56">
        <v>4.0</v>
      </c>
      <c r="N9" s="162">
        <v>4.0</v>
      </c>
      <c r="O9" s="69"/>
      <c r="P9" s="67"/>
      <c r="Q9" s="23">
        <f t="shared" si="1"/>
        <v>15</v>
      </c>
      <c r="R9" s="16">
        <f>AVERAGE(C9:N9)</f>
        <v>1.25</v>
      </c>
      <c r="S9" s="17">
        <f t="shared" si="3"/>
        <v>0.03926701571</v>
      </c>
    </row>
    <row r="10">
      <c r="A10" s="9">
        <v>8.0</v>
      </c>
      <c r="B10" s="9" t="s">
        <v>96</v>
      </c>
      <c r="C10" s="172">
        <v>3.0</v>
      </c>
      <c r="D10" s="172">
        <v>1.0</v>
      </c>
      <c r="E10" s="172">
        <v>3.0</v>
      </c>
      <c r="F10" s="172">
        <v>1.0</v>
      </c>
      <c r="G10" s="207">
        <v>1.0</v>
      </c>
      <c r="H10" s="207">
        <v>2.0</v>
      </c>
      <c r="I10" s="55">
        <v>5.0</v>
      </c>
      <c r="J10" s="56">
        <v>3.0</v>
      </c>
      <c r="K10" s="56">
        <v>7.0</v>
      </c>
      <c r="L10" s="56">
        <v>14.0</v>
      </c>
      <c r="M10" s="162">
        <v>9.0</v>
      </c>
      <c r="N10" s="69"/>
      <c r="O10" s="69"/>
      <c r="P10" s="67"/>
      <c r="Q10" s="23">
        <f t="shared" si="1"/>
        <v>49</v>
      </c>
      <c r="R10" s="16">
        <f>AVERAGE(C10:M10)</f>
        <v>4.454545455</v>
      </c>
      <c r="S10" s="17">
        <f t="shared" si="3"/>
        <v>0.1282722513</v>
      </c>
    </row>
    <row r="11">
      <c r="A11" s="9">
        <v>9.0</v>
      </c>
      <c r="B11" s="9" t="s">
        <v>281</v>
      </c>
      <c r="C11" s="172">
        <v>1.0</v>
      </c>
      <c r="D11" s="172">
        <v>0.0</v>
      </c>
      <c r="E11" s="172">
        <v>0.0</v>
      </c>
      <c r="F11" s="172">
        <v>1.0</v>
      </c>
      <c r="G11" s="172">
        <v>0.0</v>
      </c>
      <c r="H11" s="172">
        <v>1.0</v>
      </c>
      <c r="I11" s="55">
        <v>0.0</v>
      </c>
      <c r="J11" s="56">
        <v>1.0</v>
      </c>
      <c r="K11" s="56">
        <v>0.0</v>
      </c>
      <c r="L11" s="162">
        <v>0.0</v>
      </c>
      <c r="M11" s="69"/>
      <c r="N11" s="69"/>
      <c r="O11" s="69"/>
      <c r="P11" s="67"/>
      <c r="Q11" s="23">
        <f t="shared" si="1"/>
        <v>4</v>
      </c>
      <c r="R11" s="16">
        <f>AVERAGE(C11:L11)</f>
        <v>0.4</v>
      </c>
      <c r="S11" s="17">
        <f t="shared" si="3"/>
        <v>0.01047120419</v>
      </c>
    </row>
    <row r="12">
      <c r="A12" s="9">
        <v>10.0</v>
      </c>
      <c r="B12" s="9" t="s">
        <v>122</v>
      </c>
      <c r="C12" s="172">
        <v>3.0</v>
      </c>
      <c r="D12" s="172">
        <v>1.0</v>
      </c>
      <c r="E12" s="172">
        <v>1.0</v>
      </c>
      <c r="F12" s="172">
        <v>1.0</v>
      </c>
      <c r="G12" s="207">
        <v>1.0</v>
      </c>
      <c r="H12" s="207">
        <v>1.0</v>
      </c>
      <c r="I12" s="55">
        <v>1.0</v>
      </c>
      <c r="J12" s="56">
        <v>4.0</v>
      </c>
      <c r="K12" s="162">
        <v>6.0</v>
      </c>
      <c r="L12" s="69"/>
      <c r="M12" s="69"/>
      <c r="N12" s="69"/>
      <c r="O12" s="69"/>
      <c r="P12" s="67"/>
      <c r="Q12" s="23">
        <f t="shared" si="1"/>
        <v>19</v>
      </c>
      <c r="R12" s="16">
        <f>AVERAGE(C12:K12)</f>
        <v>2.111111111</v>
      </c>
      <c r="S12" s="17">
        <f t="shared" si="3"/>
        <v>0.0497382199</v>
      </c>
    </row>
    <row r="13">
      <c r="A13" s="9">
        <v>11.0</v>
      </c>
      <c r="B13" s="9" t="s">
        <v>56</v>
      </c>
      <c r="C13" s="172">
        <v>3.0</v>
      </c>
      <c r="D13" s="172">
        <v>3.0</v>
      </c>
      <c r="E13" s="172">
        <v>0.0</v>
      </c>
      <c r="F13" s="172">
        <v>2.0</v>
      </c>
      <c r="G13" s="207">
        <v>0.0</v>
      </c>
      <c r="H13" s="207">
        <v>0.0</v>
      </c>
      <c r="I13" s="55">
        <v>2.0</v>
      </c>
      <c r="J13" s="162">
        <v>2.0</v>
      </c>
      <c r="K13" s="69"/>
      <c r="L13" s="69"/>
      <c r="M13" s="69"/>
      <c r="N13" s="69"/>
      <c r="O13" s="69"/>
      <c r="P13" s="67"/>
      <c r="Q13" s="23">
        <f t="shared" si="1"/>
        <v>12</v>
      </c>
      <c r="R13" s="16">
        <f>AVERAGE(C13:J13)</f>
        <v>1.5</v>
      </c>
      <c r="S13" s="17">
        <f t="shared" si="3"/>
        <v>0.03141361257</v>
      </c>
    </row>
    <row r="14">
      <c r="A14" s="9">
        <v>12.0</v>
      </c>
      <c r="B14" s="9" t="s">
        <v>282</v>
      </c>
      <c r="C14" s="172">
        <v>3.0</v>
      </c>
      <c r="D14" s="172">
        <v>1.0</v>
      </c>
      <c r="E14" s="172">
        <v>1.0</v>
      </c>
      <c r="F14" s="172">
        <v>1.0</v>
      </c>
      <c r="G14" s="172">
        <v>3.0</v>
      </c>
      <c r="H14" s="172">
        <v>4.0</v>
      </c>
      <c r="I14" s="163">
        <v>4.0</v>
      </c>
      <c r="J14" s="69"/>
      <c r="K14" s="69"/>
      <c r="L14" s="69"/>
      <c r="M14" s="69"/>
      <c r="N14" s="69"/>
      <c r="O14" s="69"/>
      <c r="P14" s="67"/>
      <c r="Q14" s="23">
        <f t="shared" si="1"/>
        <v>17</v>
      </c>
      <c r="R14" s="16">
        <f>AVERAGE(C14:I14)</f>
        <v>2.428571429</v>
      </c>
      <c r="S14" s="17">
        <f t="shared" si="3"/>
        <v>0.0445026178</v>
      </c>
    </row>
    <row r="15">
      <c r="A15" s="9">
        <v>13.0</v>
      </c>
      <c r="B15" s="9" t="s">
        <v>233</v>
      </c>
      <c r="C15" s="172">
        <v>6.0</v>
      </c>
      <c r="D15" s="172">
        <v>4.0</v>
      </c>
      <c r="E15" s="172">
        <v>3.0</v>
      </c>
      <c r="F15" s="172">
        <v>3.0</v>
      </c>
      <c r="G15" s="172">
        <v>7.0</v>
      </c>
      <c r="H15" s="208">
        <v>6.0</v>
      </c>
      <c r="I15" s="76"/>
      <c r="J15" s="76"/>
      <c r="K15" s="76"/>
      <c r="L15" s="76"/>
      <c r="M15" s="76"/>
      <c r="N15" s="76"/>
      <c r="O15" s="76"/>
      <c r="P15" s="77"/>
      <c r="Q15" s="23">
        <f t="shared" si="1"/>
        <v>29</v>
      </c>
      <c r="R15" s="16">
        <f>AVERAGE(C15:H15)</f>
        <v>4.833333333</v>
      </c>
      <c r="S15" s="17">
        <f t="shared" si="3"/>
        <v>0.07591623037</v>
      </c>
    </row>
    <row r="16">
      <c r="A16" s="9">
        <v>14.0</v>
      </c>
      <c r="B16" s="9" t="s">
        <v>166</v>
      </c>
      <c r="C16" s="207">
        <v>1.0</v>
      </c>
      <c r="D16" s="207">
        <v>2.0</v>
      </c>
      <c r="E16" s="207">
        <v>0.0</v>
      </c>
      <c r="F16" s="207">
        <v>1.0</v>
      </c>
      <c r="G16" s="208">
        <v>2.0</v>
      </c>
      <c r="H16" s="76"/>
      <c r="I16" s="76"/>
      <c r="J16" s="76"/>
      <c r="K16" s="76"/>
      <c r="L16" s="76"/>
      <c r="M16" s="76"/>
      <c r="N16" s="76"/>
      <c r="O16" s="76"/>
      <c r="P16" s="77"/>
      <c r="Q16" s="23">
        <f t="shared" si="1"/>
        <v>6</v>
      </c>
      <c r="R16" s="16">
        <f>AVERAGE(C16:G16)</f>
        <v>1.2</v>
      </c>
      <c r="S16" s="17">
        <f t="shared" si="3"/>
        <v>0.01570680628</v>
      </c>
    </row>
    <row r="17">
      <c r="A17" s="9">
        <v>15.0</v>
      </c>
      <c r="B17" s="9" t="s">
        <v>283</v>
      </c>
      <c r="C17" s="172">
        <v>0.0</v>
      </c>
      <c r="D17" s="172">
        <v>1.0</v>
      </c>
      <c r="E17" s="172">
        <v>1.0</v>
      </c>
      <c r="F17" s="208">
        <v>5.0</v>
      </c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23">
        <f t="shared" si="1"/>
        <v>7</v>
      </c>
      <c r="R17" s="16">
        <f>AVERAGE(C17:F17)</f>
        <v>1.75</v>
      </c>
      <c r="S17" s="17">
        <f t="shared" si="3"/>
        <v>0.01832460733</v>
      </c>
    </row>
    <row r="18">
      <c r="A18" s="9">
        <v>16.0</v>
      </c>
      <c r="B18" s="9" t="s">
        <v>249</v>
      </c>
      <c r="C18" s="172">
        <v>4.0</v>
      </c>
      <c r="D18" s="172">
        <v>0.0</v>
      </c>
      <c r="E18" s="208">
        <v>4.0</v>
      </c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7"/>
      <c r="Q18" s="23">
        <f t="shared" si="1"/>
        <v>8</v>
      </c>
      <c r="R18" s="16">
        <f>AVERAGE(C18:E18)</f>
        <v>2.666666667</v>
      </c>
      <c r="S18" s="17">
        <f t="shared" si="3"/>
        <v>0.02094240838</v>
      </c>
    </row>
    <row r="19">
      <c r="A19" s="9">
        <v>17.0</v>
      </c>
      <c r="B19" s="9" t="s">
        <v>183</v>
      </c>
      <c r="C19" s="207">
        <v>1.0</v>
      </c>
      <c r="D19" s="209">
        <v>5.0</v>
      </c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23">
        <f t="shared" si="1"/>
        <v>6</v>
      </c>
      <c r="R19" s="16">
        <f>AVERAGE(C19:D19)</f>
        <v>3</v>
      </c>
      <c r="S19" s="17">
        <f t="shared" si="3"/>
        <v>0.01570680628</v>
      </c>
    </row>
    <row r="20">
      <c r="A20" s="9">
        <v>18.0</v>
      </c>
      <c r="B20" s="9" t="s">
        <v>284</v>
      </c>
      <c r="C20" s="210">
        <v>2.0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80"/>
      <c r="Q20" s="23">
        <f t="shared" si="1"/>
        <v>2</v>
      </c>
      <c r="R20" s="16">
        <f>AVERAGE(C20)</f>
        <v>2</v>
      </c>
      <c r="S20" s="17">
        <f t="shared" si="3"/>
        <v>0.005235602094</v>
      </c>
    </row>
    <row r="21">
      <c r="A21" s="4" t="s">
        <v>40</v>
      </c>
      <c r="B21" s="3"/>
      <c r="C21" s="23">
        <f t="shared" ref="C21:Q21" si="4">SUM(C3:C20)</f>
        <v>49</v>
      </c>
      <c r="D21" s="23">
        <f t="shared" si="4"/>
        <v>30</v>
      </c>
      <c r="E21" s="23">
        <f t="shared" si="4"/>
        <v>24</v>
      </c>
      <c r="F21" s="23">
        <f t="shared" si="4"/>
        <v>26</v>
      </c>
      <c r="G21" s="23">
        <f t="shared" si="4"/>
        <v>26</v>
      </c>
      <c r="H21" s="23">
        <f t="shared" si="4"/>
        <v>31</v>
      </c>
      <c r="I21" s="23">
        <f t="shared" si="4"/>
        <v>22</v>
      </c>
      <c r="J21" s="23">
        <f t="shared" si="4"/>
        <v>22</v>
      </c>
      <c r="K21" s="23">
        <f t="shared" si="4"/>
        <v>30</v>
      </c>
      <c r="L21" s="23">
        <f t="shared" si="4"/>
        <v>19</v>
      </c>
      <c r="M21" s="23">
        <f t="shared" si="4"/>
        <v>27</v>
      </c>
      <c r="N21" s="23">
        <f t="shared" si="4"/>
        <v>24</v>
      </c>
      <c r="O21" s="23">
        <f t="shared" si="4"/>
        <v>30</v>
      </c>
      <c r="P21" s="23">
        <f t="shared" si="4"/>
        <v>22</v>
      </c>
      <c r="Q21" s="23">
        <f t="shared" si="4"/>
        <v>382</v>
      </c>
      <c r="R21" s="16"/>
      <c r="S21" s="82"/>
    </row>
    <row r="22">
      <c r="A22" s="35" t="s">
        <v>18</v>
      </c>
      <c r="B22" s="3"/>
      <c r="C22" s="16">
        <f>AVERAGE(C3:C20)</f>
        <v>2.722222222</v>
      </c>
      <c r="D22" s="16">
        <f>AVERAGE(D3:D19)</f>
        <v>1.764705882</v>
      </c>
      <c r="E22" s="16">
        <f>AVERAGE(E3:E18)</f>
        <v>1.5</v>
      </c>
      <c r="F22" s="16">
        <f>AVERAGE(F3:F17)</f>
        <v>1.733333333</v>
      </c>
      <c r="G22" s="16">
        <f>AVERAGE(G3:G16)</f>
        <v>1.857142857</v>
      </c>
      <c r="H22" s="16">
        <f>AVERAGE(H3:H15)</f>
        <v>2.384615385</v>
      </c>
      <c r="I22" s="16">
        <f>AVERAGE(I3:I14)</f>
        <v>1.833333333</v>
      </c>
      <c r="J22" s="16">
        <f>AVERAGE(J3:J13)</f>
        <v>2</v>
      </c>
      <c r="K22" s="16">
        <f>AVERAGE(K3:K12)</f>
        <v>3</v>
      </c>
      <c r="L22" s="16">
        <f>AVERAGE(L3:L11)</f>
        <v>2.111111111</v>
      </c>
      <c r="M22" s="16">
        <f>AVERAGE(M3:M10)</f>
        <v>3.375</v>
      </c>
      <c r="N22" s="16">
        <f>AVERAGE(N3:N9)</f>
        <v>3.428571429</v>
      </c>
      <c r="O22" s="16">
        <f>AVERAGE(O3:O8)</f>
        <v>5</v>
      </c>
      <c r="P22" s="16">
        <f>AVERAGE(P3:P7)</f>
        <v>4.4</v>
      </c>
      <c r="Q22" s="16"/>
      <c r="R22" s="16"/>
      <c r="S22" s="82"/>
    </row>
    <row r="23">
      <c r="A23" s="4" t="s">
        <v>41</v>
      </c>
      <c r="B23" s="3"/>
      <c r="C23" s="40" t="str">
        <f>HYPERLINK("https://docs.google.com/document/d/1Mrdy_86Es8cTXsqkGcHhJ4qLp8uFM-9q0LQuxxGoV0A/edit?usp=sharing","Link")</f>
        <v>Link</v>
      </c>
      <c r="D23" s="40" t="str">
        <f>HYPERLINK("https://docs.google.com/document/d/1G7gXFXVPKPb78PojH6hdr7RBEYCDgmI36xjTNVYwk5w/edit?usp=sharing","Link")</f>
        <v>Link</v>
      </c>
      <c r="E23" s="40" t="str">
        <f>HYPERLINK("https://docs.google.com/document/d/1agRcooUrAnxHuZP-sC_QXhAVQAZFTA_XMcNNrgUVNrM/edit?usp=sharing","Link")</f>
        <v>Link</v>
      </c>
      <c r="F23" s="40" t="str">
        <f>HYPERLINK("https://docs.google.com/document/d/1Rdjfet31PF4t5owGBUQiAvX9zMw7jRgKHHGcTEuiXlE/edit?usp=sharing","Link")</f>
        <v>Link</v>
      </c>
      <c r="G23" s="40" t="str">
        <f>HYPERLINK("https://docs.google.com/document/d/1GcKg1WboTJmRQM50gPWv7xPLfBrFg9s2B0CpAfeRplk/edit?usp=sharing","Link")</f>
        <v>Link</v>
      </c>
      <c r="H23" s="40" t="str">
        <f>HYPERLINK("https://docs.google.com/document/d/1JyMRweh-IClvNHbH_7_hR_pWwQNQ8euxdNBBXBtMvsY/edit?usp=sharing","Link")</f>
        <v>Link</v>
      </c>
      <c r="I23" s="40" t="str">
        <f>HYPERLINK("https://docs.google.com/document/d/1sl8oJ6idyLUmSuieXMUfdQWGT4ADhQ5DZfkXdVRCi5M/edit?usp=sharing","Link")</f>
        <v>Link</v>
      </c>
      <c r="J23" s="40" t="str">
        <f>HYPERLINK("https://docs.google.com/document/d/1YWaNbCEhUn5bPhxnCGYiNiEN8DNUL3fsugFnDyneEl0/edit?usp=sharing","Link")</f>
        <v>Link</v>
      </c>
      <c r="K23" s="40" t="str">
        <f>HYPERLINK("https://docs.google.com/document/d/1hhIx75O93omtbRteLbyd91xhsj4DTQrLHGYUOqb80R4/edit?usp=sharing","Link")</f>
        <v>Link</v>
      </c>
      <c r="L23" s="40" t="str">
        <f>HYPERLINK("https://docs.google.com/document/d/1-Ymuq5pC204UlGJoeyo2Z0L-gIYHKT4EVs-YULrkUeY/edit?usp=sharing","Link")</f>
        <v>Link</v>
      </c>
      <c r="M23" s="40" t="str">
        <f>HYPERLINK("https://docs.google.com/document/d/1h6YXEVEhMPMf2jHYGt_i7jt_quDeypDO6ZJLfg_GqB4/edit?usp=sharing","Link")</f>
        <v>Link</v>
      </c>
      <c r="N23" s="40" t="str">
        <f>HYPERLINK("https://docs.google.com/document/d/1sgvDaCRa92ctp_1cY_XelcZFJrYpw19ZIB-D5F_ZgT8/edit?usp=sharing","Link")</f>
        <v>Link</v>
      </c>
      <c r="O23" s="40" t="str">
        <f>HYPERLINK("https://docs.google.com/document/d/1-vZ6SR_dI985g-gWV4ERUyPuB8UqWmOSLIiyFv5FZGw/edit?usp=sharing","Link")</f>
        <v>Link</v>
      </c>
      <c r="P23" s="40" t="str">
        <f>HYPERLINK("https://docs.google.com/document/d/1-gbakZXzcP2E9GkywKI2FXTDwmu1zImaPMny0FyY0CY/edit?usp=sharing","Link")</f>
        <v>Link</v>
      </c>
      <c r="Q23" s="83" t="str">
        <f>HYPERLINK("https://docs.google.com/document/d/1KC1rmz4IzUjxmkbiRLOjY2wkEbTxjrIp5qtQ1LJSbzc/edit?usp=sharing","Season Transcript")</f>
        <v>Season Transcript</v>
      </c>
      <c r="R23" s="3"/>
      <c r="S23" s="40" t="str">
        <f>HYPERLINK("https://docs.google.com/document/d/1TO_RXFTQ6Aoyyoa3ofPzYRUZ7Y4fKGsKJMiD4xaKiPM/edit?usp=sharing","Differences")</f>
        <v>Differences</v>
      </c>
    </row>
    <row r="24"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  <c r="S24" s="150"/>
    </row>
    <row r="25">
      <c r="A25" s="211" t="s">
        <v>285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152"/>
    </row>
    <row r="26">
      <c r="A26" s="174" t="s">
        <v>286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152"/>
    </row>
    <row r="27">
      <c r="A27" s="51" t="s">
        <v>287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152"/>
    </row>
  </sheetData>
  <mergeCells count="10">
    <mergeCell ref="A25:B25"/>
    <mergeCell ref="A26:B26"/>
    <mergeCell ref="A27:B27"/>
    <mergeCell ref="A1:S1"/>
    <mergeCell ref="A2:B2"/>
    <mergeCell ref="A21:B21"/>
    <mergeCell ref="A22:B22"/>
    <mergeCell ref="A23:B23"/>
    <mergeCell ref="Q23:R23"/>
    <mergeCell ref="A24:B24"/>
  </mergeCells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288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7" t="s">
        <v>18</v>
      </c>
      <c r="S2" s="8" t="s">
        <v>19</v>
      </c>
    </row>
    <row r="3">
      <c r="A3" s="9">
        <v>1.0</v>
      </c>
      <c r="B3" s="9" t="s">
        <v>29</v>
      </c>
      <c r="C3" s="156">
        <v>2.0</v>
      </c>
      <c r="D3" s="156">
        <v>1.0</v>
      </c>
      <c r="E3" s="156">
        <v>1.0</v>
      </c>
      <c r="F3" s="156">
        <v>1.0</v>
      </c>
      <c r="G3" s="156">
        <v>0.0</v>
      </c>
      <c r="H3" s="156">
        <v>2.0</v>
      </c>
      <c r="I3" s="156">
        <v>1.0</v>
      </c>
      <c r="J3" s="203">
        <v>1.0</v>
      </c>
      <c r="K3" s="203">
        <v>1.0</v>
      </c>
      <c r="L3" s="203">
        <v>2.0</v>
      </c>
      <c r="M3" s="203">
        <v>2.0</v>
      </c>
      <c r="N3" s="203">
        <v>2.0</v>
      </c>
      <c r="O3" s="203">
        <v>3.0</v>
      </c>
      <c r="P3" s="203">
        <v>6.0</v>
      </c>
      <c r="Q3" s="212">
        <f t="shared" ref="Q3:Q20" si="1">SUM(C3:P3)</f>
        <v>25</v>
      </c>
      <c r="R3" s="213">
        <f t="shared" ref="R3:R8" si="2">AVERAGE(C3:P3)</f>
        <v>1.785714286</v>
      </c>
      <c r="S3" s="214">
        <f t="shared" ref="S3:S20" si="3">Q3/Q$21</f>
        <v>0.06234413965</v>
      </c>
    </row>
    <row r="4">
      <c r="A4" s="9">
        <v>2.0</v>
      </c>
      <c r="B4" s="9" t="s">
        <v>289</v>
      </c>
      <c r="C4" s="156">
        <v>8.0</v>
      </c>
      <c r="D4" s="156">
        <v>9.0</v>
      </c>
      <c r="E4" s="156">
        <v>4.0</v>
      </c>
      <c r="F4" s="156">
        <v>1.0</v>
      </c>
      <c r="G4" s="156">
        <v>6.0</v>
      </c>
      <c r="H4" s="156">
        <v>7.0</v>
      </c>
      <c r="I4" s="156">
        <v>5.0</v>
      </c>
      <c r="J4" s="203">
        <v>1.0</v>
      </c>
      <c r="K4" s="203">
        <v>3.0</v>
      </c>
      <c r="L4" s="203">
        <v>2.0</v>
      </c>
      <c r="M4" s="203">
        <v>7.0</v>
      </c>
      <c r="N4" s="203">
        <v>7.0</v>
      </c>
      <c r="O4" s="203">
        <v>8.0</v>
      </c>
      <c r="P4" s="203">
        <v>10.0</v>
      </c>
      <c r="Q4" s="212">
        <f t="shared" si="1"/>
        <v>78</v>
      </c>
      <c r="R4" s="213">
        <f t="shared" si="2"/>
        <v>5.571428571</v>
      </c>
      <c r="S4" s="214">
        <f t="shared" si="3"/>
        <v>0.1945137157</v>
      </c>
    </row>
    <row r="5">
      <c r="A5" s="9">
        <v>3.0</v>
      </c>
      <c r="B5" s="9" t="s">
        <v>290</v>
      </c>
      <c r="C5" s="156">
        <v>0.0</v>
      </c>
      <c r="D5" s="156">
        <v>0.0</v>
      </c>
      <c r="E5" s="156">
        <v>0.0</v>
      </c>
      <c r="F5" s="156">
        <v>0.0</v>
      </c>
      <c r="G5" s="156">
        <v>3.0</v>
      </c>
      <c r="H5" s="156">
        <v>3.0</v>
      </c>
      <c r="I5" s="156">
        <v>0.0</v>
      </c>
      <c r="J5" s="203">
        <v>0.0</v>
      </c>
      <c r="K5" s="203">
        <v>2.0</v>
      </c>
      <c r="L5" s="203">
        <v>1.0</v>
      </c>
      <c r="M5" s="203">
        <v>2.0</v>
      </c>
      <c r="N5" s="203">
        <v>1.0</v>
      </c>
      <c r="O5" s="203">
        <v>7.0</v>
      </c>
      <c r="P5" s="203">
        <v>6.0</v>
      </c>
      <c r="Q5" s="212">
        <f t="shared" si="1"/>
        <v>25</v>
      </c>
      <c r="R5" s="213">
        <f t="shared" si="2"/>
        <v>1.785714286</v>
      </c>
      <c r="S5" s="214">
        <f t="shared" si="3"/>
        <v>0.06234413965</v>
      </c>
    </row>
    <row r="6">
      <c r="A6" s="9">
        <v>4.0</v>
      </c>
      <c r="B6" s="9" t="s">
        <v>105</v>
      </c>
      <c r="C6" s="188">
        <v>9.0</v>
      </c>
      <c r="D6" s="188">
        <v>3.0</v>
      </c>
      <c r="E6" s="188">
        <v>3.0</v>
      </c>
      <c r="F6" s="188">
        <v>1.0</v>
      </c>
      <c r="G6" s="188">
        <v>2.0</v>
      </c>
      <c r="H6" s="188">
        <v>5.0</v>
      </c>
      <c r="I6" s="188">
        <v>5.0</v>
      </c>
      <c r="J6" s="203">
        <v>3.0</v>
      </c>
      <c r="K6" s="203">
        <v>6.0</v>
      </c>
      <c r="L6" s="190">
        <v>1.0</v>
      </c>
      <c r="M6" s="190">
        <v>2.0</v>
      </c>
      <c r="N6" s="190">
        <v>1.0</v>
      </c>
      <c r="O6" s="190">
        <v>0.0</v>
      </c>
      <c r="P6" s="203">
        <v>7.0</v>
      </c>
      <c r="Q6" s="212">
        <f t="shared" si="1"/>
        <v>48</v>
      </c>
      <c r="R6" s="213">
        <f t="shared" si="2"/>
        <v>3.428571429</v>
      </c>
      <c r="S6" s="214">
        <f t="shared" si="3"/>
        <v>0.1197007481</v>
      </c>
    </row>
    <row r="7">
      <c r="A7" s="9">
        <v>5.0</v>
      </c>
      <c r="B7" s="9" t="s">
        <v>291</v>
      </c>
      <c r="C7" s="156">
        <v>2.0</v>
      </c>
      <c r="D7" s="156">
        <v>0.0</v>
      </c>
      <c r="E7" s="156">
        <v>0.0</v>
      </c>
      <c r="F7" s="156">
        <v>0.0</v>
      </c>
      <c r="G7" s="156">
        <v>0.0</v>
      </c>
      <c r="H7" s="156">
        <v>3.0</v>
      </c>
      <c r="I7" s="156">
        <v>0.0</v>
      </c>
      <c r="J7" s="203">
        <v>0.0</v>
      </c>
      <c r="K7" s="203">
        <v>0.0</v>
      </c>
      <c r="L7" s="203">
        <v>0.0</v>
      </c>
      <c r="M7" s="203">
        <v>1.0</v>
      </c>
      <c r="N7" s="203">
        <v>1.0</v>
      </c>
      <c r="O7" s="203">
        <v>0.0</v>
      </c>
      <c r="P7" s="203">
        <v>1.0</v>
      </c>
      <c r="Q7" s="212">
        <f t="shared" si="1"/>
        <v>8</v>
      </c>
      <c r="R7" s="213">
        <f t="shared" si="2"/>
        <v>0.5714285714</v>
      </c>
      <c r="S7" s="214">
        <f t="shared" si="3"/>
        <v>0.01995012469</v>
      </c>
    </row>
    <row r="8">
      <c r="A8" s="9">
        <v>6.0</v>
      </c>
      <c r="B8" s="9" t="s">
        <v>250</v>
      </c>
      <c r="C8" s="156">
        <v>6.0</v>
      </c>
      <c r="D8" s="156">
        <v>5.0</v>
      </c>
      <c r="E8" s="156">
        <v>5.0</v>
      </c>
      <c r="F8" s="156">
        <v>2.0</v>
      </c>
      <c r="G8" s="156">
        <v>2.0</v>
      </c>
      <c r="H8" s="156">
        <v>2.0</v>
      </c>
      <c r="I8" s="156">
        <v>1.0</v>
      </c>
      <c r="J8" s="203">
        <v>0.0</v>
      </c>
      <c r="K8" s="203">
        <v>0.0</v>
      </c>
      <c r="L8" s="203">
        <v>0.0</v>
      </c>
      <c r="M8" s="203">
        <v>0.0</v>
      </c>
      <c r="N8" s="203">
        <v>2.0</v>
      </c>
      <c r="O8" s="203">
        <v>5.0</v>
      </c>
      <c r="P8" s="190">
        <v>1.0</v>
      </c>
      <c r="Q8" s="212">
        <f t="shared" si="1"/>
        <v>31</v>
      </c>
      <c r="R8" s="213">
        <f t="shared" si="2"/>
        <v>2.214285714</v>
      </c>
      <c r="S8" s="214">
        <f t="shared" si="3"/>
        <v>0.07730673317</v>
      </c>
    </row>
    <row r="9">
      <c r="A9" s="9">
        <v>7.0</v>
      </c>
      <c r="B9" s="9" t="s">
        <v>292</v>
      </c>
      <c r="C9" s="156">
        <v>1.0</v>
      </c>
      <c r="D9" s="156">
        <v>1.0</v>
      </c>
      <c r="E9" s="156">
        <v>0.0</v>
      </c>
      <c r="F9" s="156">
        <v>4.0</v>
      </c>
      <c r="G9" s="156">
        <v>0.0</v>
      </c>
      <c r="H9" s="156">
        <v>2.0</v>
      </c>
      <c r="I9" s="156">
        <v>2.0</v>
      </c>
      <c r="J9" s="203">
        <v>0.0</v>
      </c>
      <c r="K9" s="203">
        <v>0.0</v>
      </c>
      <c r="L9" s="203">
        <v>0.0</v>
      </c>
      <c r="M9" s="203">
        <v>4.0</v>
      </c>
      <c r="N9" s="203">
        <v>4.0</v>
      </c>
      <c r="O9" s="190">
        <v>0.0</v>
      </c>
      <c r="P9" s="148"/>
      <c r="Q9" s="212">
        <f t="shared" si="1"/>
        <v>18</v>
      </c>
      <c r="R9" s="213">
        <f>AVERAGE(C9:O9)</f>
        <v>1.384615385</v>
      </c>
      <c r="S9" s="214">
        <f t="shared" si="3"/>
        <v>0.04488778055</v>
      </c>
    </row>
    <row r="10">
      <c r="A10" s="9">
        <v>8.0</v>
      </c>
      <c r="B10" s="9" t="s">
        <v>240</v>
      </c>
      <c r="C10" s="188">
        <v>8.0</v>
      </c>
      <c r="D10" s="188">
        <v>3.0</v>
      </c>
      <c r="E10" s="188">
        <v>3.0</v>
      </c>
      <c r="F10" s="188">
        <v>3.0</v>
      </c>
      <c r="G10" s="188">
        <v>4.0</v>
      </c>
      <c r="H10" s="188">
        <v>2.0</v>
      </c>
      <c r="I10" s="188">
        <v>9.0</v>
      </c>
      <c r="J10" s="203">
        <v>8.0</v>
      </c>
      <c r="K10" s="203">
        <v>1.0</v>
      </c>
      <c r="L10" s="203">
        <v>8.0</v>
      </c>
      <c r="M10" s="203">
        <v>10.0</v>
      </c>
      <c r="N10" s="190">
        <v>2.0</v>
      </c>
      <c r="O10" s="148"/>
      <c r="P10" s="148"/>
      <c r="Q10" s="212">
        <f t="shared" si="1"/>
        <v>61</v>
      </c>
      <c r="R10" s="213">
        <f>AVERAGE(C10:N10)</f>
        <v>5.083333333</v>
      </c>
      <c r="S10" s="214">
        <f t="shared" si="3"/>
        <v>0.1521197007</v>
      </c>
    </row>
    <row r="11">
      <c r="A11" s="9">
        <v>9.0</v>
      </c>
      <c r="B11" s="9" t="s">
        <v>293</v>
      </c>
      <c r="C11" s="188">
        <v>0.0</v>
      </c>
      <c r="D11" s="188">
        <v>0.0</v>
      </c>
      <c r="E11" s="188">
        <v>0.0</v>
      </c>
      <c r="F11" s="188">
        <v>0.0</v>
      </c>
      <c r="G11" s="188">
        <v>2.0</v>
      </c>
      <c r="H11" s="188">
        <v>0.0</v>
      </c>
      <c r="I11" s="188">
        <v>0.0</v>
      </c>
      <c r="J11" s="203">
        <v>0.0</v>
      </c>
      <c r="K11" s="203">
        <v>0.0</v>
      </c>
      <c r="L11" s="203">
        <v>2.0</v>
      </c>
      <c r="M11" s="190">
        <v>0.0</v>
      </c>
      <c r="N11" s="148"/>
      <c r="O11" s="148"/>
      <c r="P11" s="148"/>
      <c r="Q11" s="212">
        <f t="shared" si="1"/>
        <v>4</v>
      </c>
      <c r="R11" s="213">
        <f t="shared" ref="R11:R12" si="4">AVERAGE(C11:M11)</f>
        <v>0.3636363636</v>
      </c>
      <c r="S11" s="214">
        <f t="shared" si="3"/>
        <v>0.009975062344</v>
      </c>
    </row>
    <row r="12">
      <c r="A12" s="9">
        <v>10.0</v>
      </c>
      <c r="B12" s="9" t="s">
        <v>241</v>
      </c>
      <c r="C12" s="188">
        <v>7.0</v>
      </c>
      <c r="D12" s="188">
        <v>0.0</v>
      </c>
      <c r="E12" s="188">
        <v>0.0</v>
      </c>
      <c r="F12" s="188">
        <v>4.0</v>
      </c>
      <c r="G12" s="188">
        <v>1.0</v>
      </c>
      <c r="H12" s="188">
        <v>1.0</v>
      </c>
      <c r="I12" s="188">
        <v>0.0</v>
      </c>
      <c r="J12" s="203">
        <v>5.0</v>
      </c>
      <c r="K12" s="203">
        <v>2.0</v>
      </c>
      <c r="L12" s="203">
        <v>3.0</v>
      </c>
      <c r="M12" s="190">
        <v>0.0</v>
      </c>
      <c r="N12" s="148"/>
      <c r="O12" s="148"/>
      <c r="P12" s="148"/>
      <c r="Q12" s="212">
        <f t="shared" si="1"/>
        <v>23</v>
      </c>
      <c r="R12" s="213">
        <f t="shared" si="4"/>
        <v>2.090909091</v>
      </c>
      <c r="S12" s="214">
        <f t="shared" si="3"/>
        <v>0.05735660848</v>
      </c>
    </row>
    <row r="13">
      <c r="A13" s="9">
        <v>11.0</v>
      </c>
      <c r="B13" s="9" t="s">
        <v>157</v>
      </c>
      <c r="C13" s="188">
        <v>0.0</v>
      </c>
      <c r="D13" s="188">
        <v>2.0</v>
      </c>
      <c r="E13" s="188">
        <v>1.0</v>
      </c>
      <c r="F13" s="188">
        <v>0.0</v>
      </c>
      <c r="G13" s="188">
        <v>1.0</v>
      </c>
      <c r="H13" s="188">
        <v>1.0</v>
      </c>
      <c r="I13" s="188">
        <v>1.0</v>
      </c>
      <c r="J13" s="203">
        <v>1.0</v>
      </c>
      <c r="K13" s="190">
        <v>0.0</v>
      </c>
      <c r="L13" s="190">
        <v>0.0</v>
      </c>
      <c r="M13" s="148"/>
      <c r="N13" s="148"/>
      <c r="O13" s="148"/>
      <c r="P13" s="148"/>
      <c r="Q13" s="212">
        <f t="shared" si="1"/>
        <v>7</v>
      </c>
      <c r="R13" s="213">
        <f t="shared" ref="R13:R14" si="5">AVERAGE(C13:L13)</f>
        <v>0.7</v>
      </c>
      <c r="S13" s="214">
        <f t="shared" si="3"/>
        <v>0.0174563591</v>
      </c>
    </row>
    <row r="14">
      <c r="A14" s="9">
        <v>12.0</v>
      </c>
      <c r="B14" s="9" t="s">
        <v>294</v>
      </c>
      <c r="C14" s="188">
        <v>4.0</v>
      </c>
      <c r="D14" s="188">
        <v>2.0</v>
      </c>
      <c r="E14" s="188">
        <v>2.0</v>
      </c>
      <c r="F14" s="188">
        <v>2.0</v>
      </c>
      <c r="G14" s="188">
        <v>4.0</v>
      </c>
      <c r="H14" s="188">
        <v>2.0</v>
      </c>
      <c r="I14" s="188">
        <v>1.0</v>
      </c>
      <c r="J14" s="203">
        <v>3.0</v>
      </c>
      <c r="K14" s="203">
        <v>4.0</v>
      </c>
      <c r="L14" s="190">
        <v>1.0</v>
      </c>
      <c r="M14" s="148"/>
      <c r="N14" s="148"/>
      <c r="O14" s="148"/>
      <c r="P14" s="148"/>
      <c r="Q14" s="212">
        <f t="shared" si="1"/>
        <v>25</v>
      </c>
      <c r="R14" s="213">
        <f t="shared" si="5"/>
        <v>2.5</v>
      </c>
      <c r="S14" s="214">
        <f t="shared" si="3"/>
        <v>0.06234413965</v>
      </c>
    </row>
    <row r="15">
      <c r="A15" s="9">
        <v>13.0</v>
      </c>
      <c r="B15" s="9" t="s">
        <v>295</v>
      </c>
      <c r="C15" s="156">
        <v>2.0</v>
      </c>
      <c r="D15" s="156">
        <v>7.0</v>
      </c>
      <c r="E15" s="190">
        <v>3.0</v>
      </c>
      <c r="F15" s="190">
        <v>1.0</v>
      </c>
      <c r="G15" s="190">
        <v>0.0</v>
      </c>
      <c r="H15" s="190">
        <v>0.0</v>
      </c>
      <c r="I15" s="190">
        <v>0.0</v>
      </c>
      <c r="J15" s="190">
        <v>0.0</v>
      </c>
      <c r="K15" s="148"/>
      <c r="L15" s="148"/>
      <c r="M15" s="148"/>
      <c r="N15" s="148"/>
      <c r="O15" s="148"/>
      <c r="P15" s="148"/>
      <c r="Q15" s="212">
        <f t="shared" si="1"/>
        <v>13</v>
      </c>
      <c r="R15" s="213">
        <f>AVERAGE(C15:J15)</f>
        <v>1.625</v>
      </c>
      <c r="S15" s="214">
        <f t="shared" si="3"/>
        <v>0.03241895262</v>
      </c>
    </row>
    <row r="16">
      <c r="A16" s="9">
        <v>14.0</v>
      </c>
      <c r="B16" s="9" t="s">
        <v>296</v>
      </c>
      <c r="C16" s="156">
        <v>2.0</v>
      </c>
      <c r="D16" s="156">
        <v>2.0</v>
      </c>
      <c r="E16" s="156">
        <v>2.0</v>
      </c>
      <c r="F16" s="156">
        <v>2.0</v>
      </c>
      <c r="G16" s="156">
        <v>0.0</v>
      </c>
      <c r="H16" s="156">
        <v>2.0</v>
      </c>
      <c r="I16" s="190">
        <v>0.0</v>
      </c>
      <c r="J16" s="148"/>
      <c r="K16" s="148"/>
      <c r="L16" s="148"/>
      <c r="M16" s="148"/>
      <c r="N16" s="148"/>
      <c r="O16" s="148"/>
      <c r="P16" s="148"/>
      <c r="Q16" s="212">
        <f t="shared" si="1"/>
        <v>10</v>
      </c>
      <c r="R16" s="213">
        <f>AVERAGE(C16:I16)</f>
        <v>1.428571429</v>
      </c>
      <c r="S16" s="214">
        <f t="shared" si="3"/>
        <v>0.02493765586</v>
      </c>
    </row>
    <row r="17">
      <c r="A17" s="9">
        <v>15.0</v>
      </c>
      <c r="B17" s="9" t="s">
        <v>297</v>
      </c>
      <c r="C17" s="188">
        <v>1.0</v>
      </c>
      <c r="D17" s="188">
        <v>0.0</v>
      </c>
      <c r="E17" s="188">
        <v>2.0</v>
      </c>
      <c r="F17" s="188">
        <v>0.0</v>
      </c>
      <c r="G17" s="188">
        <v>2.0</v>
      </c>
      <c r="H17" s="190">
        <v>0.0</v>
      </c>
      <c r="I17" s="148"/>
      <c r="J17" s="148"/>
      <c r="K17" s="148"/>
      <c r="L17" s="148"/>
      <c r="M17" s="148"/>
      <c r="N17" s="148"/>
      <c r="O17" s="148"/>
      <c r="P17" s="148"/>
      <c r="Q17" s="212">
        <f t="shared" si="1"/>
        <v>5</v>
      </c>
      <c r="R17" s="213">
        <f>AVERAGE(C17:H17)</f>
        <v>0.8333333333</v>
      </c>
      <c r="S17" s="214">
        <f t="shared" si="3"/>
        <v>0.01246882793</v>
      </c>
    </row>
    <row r="18">
      <c r="A18" s="9">
        <v>16.0</v>
      </c>
      <c r="B18" s="9" t="s">
        <v>298</v>
      </c>
      <c r="C18" s="156">
        <v>2.0</v>
      </c>
      <c r="D18" s="156">
        <v>0.0</v>
      </c>
      <c r="E18" s="156">
        <v>0.0</v>
      </c>
      <c r="F18" s="156">
        <v>6.0</v>
      </c>
      <c r="G18" s="190">
        <v>1.0</v>
      </c>
      <c r="H18" s="148"/>
      <c r="I18" s="148"/>
      <c r="J18" s="148"/>
      <c r="K18" s="148"/>
      <c r="L18" s="148"/>
      <c r="M18" s="148"/>
      <c r="N18" s="148"/>
      <c r="O18" s="148"/>
      <c r="P18" s="148"/>
      <c r="Q18" s="212">
        <f t="shared" si="1"/>
        <v>9</v>
      </c>
      <c r="R18" s="213">
        <f>AVERAGE(C18:G18)</f>
        <v>1.8</v>
      </c>
      <c r="S18" s="214">
        <f t="shared" si="3"/>
        <v>0.02244389027</v>
      </c>
    </row>
    <row r="19">
      <c r="A19" s="9">
        <v>17.0</v>
      </c>
      <c r="B19" s="9" t="s">
        <v>299</v>
      </c>
      <c r="C19" s="188">
        <v>2.0</v>
      </c>
      <c r="D19" s="188">
        <v>0.0</v>
      </c>
      <c r="E19" s="188">
        <v>4.0</v>
      </c>
      <c r="F19" s="190">
        <v>0.0</v>
      </c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212">
        <f t="shared" si="1"/>
        <v>6</v>
      </c>
      <c r="R19" s="213">
        <f>AVERAGE(C19:F19)</f>
        <v>1.5</v>
      </c>
      <c r="S19" s="214">
        <f t="shared" si="3"/>
        <v>0.01496259352</v>
      </c>
    </row>
    <row r="20">
      <c r="A20" s="9">
        <v>18.0</v>
      </c>
      <c r="B20" s="9" t="s">
        <v>300</v>
      </c>
      <c r="C20" s="188">
        <v>3.0</v>
      </c>
      <c r="D20" s="190">
        <v>2.0</v>
      </c>
      <c r="E20" s="190">
        <v>0.0</v>
      </c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212">
        <f t="shared" si="1"/>
        <v>5</v>
      </c>
      <c r="R20" s="213">
        <f>AVERAGE(C20:E20)</f>
        <v>1.666666667</v>
      </c>
      <c r="S20" s="214">
        <f t="shared" si="3"/>
        <v>0.01246882793</v>
      </c>
    </row>
    <row r="21">
      <c r="A21" s="4" t="s">
        <v>40</v>
      </c>
      <c r="B21" s="3"/>
      <c r="C21" s="23">
        <f t="shared" ref="C21:Q21" si="6">SUM(C3:C20)</f>
        <v>59</v>
      </c>
      <c r="D21" s="23">
        <f t="shared" si="6"/>
        <v>37</v>
      </c>
      <c r="E21" s="23">
        <f t="shared" si="6"/>
        <v>30</v>
      </c>
      <c r="F21" s="23">
        <f t="shared" si="6"/>
        <v>27</v>
      </c>
      <c r="G21" s="23">
        <f t="shared" si="6"/>
        <v>28</v>
      </c>
      <c r="H21" s="23">
        <f t="shared" si="6"/>
        <v>32</v>
      </c>
      <c r="I21" s="23">
        <f t="shared" si="6"/>
        <v>25</v>
      </c>
      <c r="J21" s="23">
        <f t="shared" si="6"/>
        <v>22</v>
      </c>
      <c r="K21" s="23">
        <f t="shared" si="6"/>
        <v>19</v>
      </c>
      <c r="L21" s="23">
        <f t="shared" si="6"/>
        <v>20</v>
      </c>
      <c r="M21" s="23">
        <f t="shared" si="6"/>
        <v>28</v>
      </c>
      <c r="N21" s="23">
        <f t="shared" si="6"/>
        <v>20</v>
      </c>
      <c r="O21" s="23">
        <f t="shared" si="6"/>
        <v>23</v>
      </c>
      <c r="P21" s="23">
        <f t="shared" si="6"/>
        <v>31</v>
      </c>
      <c r="Q21" s="212">
        <f t="shared" si="6"/>
        <v>401</v>
      </c>
      <c r="R21" s="213"/>
      <c r="S21" s="215"/>
    </row>
    <row r="22">
      <c r="A22" s="35" t="s">
        <v>18</v>
      </c>
      <c r="B22" s="3"/>
      <c r="C22" s="16">
        <f t="shared" ref="C22:E22" si="7">AVERAGE(C3:C20)</f>
        <v>3.277777778</v>
      </c>
      <c r="D22" s="16">
        <f t="shared" si="7"/>
        <v>2.055555556</v>
      </c>
      <c r="E22" s="16">
        <f t="shared" si="7"/>
        <v>1.666666667</v>
      </c>
      <c r="F22" s="16">
        <f>AVERAGE(F3:F19)</f>
        <v>1.588235294</v>
      </c>
      <c r="G22" s="16">
        <f>AVERAGE(G3:G18)</f>
        <v>1.75</v>
      </c>
      <c r="H22" s="16">
        <f>AVERAGE(H3:H17)</f>
        <v>2.133333333</v>
      </c>
      <c r="I22" s="16">
        <f>AVERAGE(I3:I16)</f>
        <v>1.785714286</v>
      </c>
      <c r="J22" s="16">
        <f>AVERAGE(J3:J15)</f>
        <v>1.692307692</v>
      </c>
      <c r="K22" s="16">
        <f t="shared" ref="K22:L22" si="8">AVERAGE(K3:K14)</f>
        <v>1.583333333</v>
      </c>
      <c r="L22" s="16">
        <f t="shared" si="8"/>
        <v>1.666666667</v>
      </c>
      <c r="M22" s="16">
        <f>AVERAGE(M3:M12)</f>
        <v>2.8</v>
      </c>
      <c r="N22" s="16">
        <f>AVERAGE(N3:N10)</f>
        <v>2.5</v>
      </c>
      <c r="O22" s="16">
        <f>AVERAGE(O3:O9)</f>
        <v>3.285714286</v>
      </c>
      <c r="P22" s="16">
        <f>AVERAGE(P3:P8)</f>
        <v>5.166666667</v>
      </c>
      <c r="Q22" s="16"/>
      <c r="R22" s="16"/>
      <c r="S22" s="82"/>
    </row>
    <row r="23">
      <c r="A23" s="4" t="s">
        <v>41</v>
      </c>
      <c r="B23" s="3"/>
      <c r="C23" s="40" t="str">
        <f>HYPERLINK("https://docs.google.com/document/d/1UjaQc4EPB7lyk-jSyINGNKpSCzn0LYxigDKzqxjMzG8/edit?usp=sharing","Link")</f>
        <v>Link</v>
      </c>
      <c r="D23" s="40" t="str">
        <f>HYPERLINK("https://docs.google.com/document/d/1Mcazg_2Wu6HmTzhjDtfmPu7zCDHWXEjwU918iBd3olQ/edit?usp=sharing","Link")</f>
        <v>Link</v>
      </c>
      <c r="E23" s="40" t="str">
        <f>HYPERLINK("https://docs.google.com/document/d/1QmknS5t2FtmvFn_uBlCMcrl1Z_GkEQ7ZZtyxTBWvjz4/edit?usp=sharing","Link")</f>
        <v>Link</v>
      </c>
      <c r="F23" s="40" t="str">
        <f>HYPERLINK("https://docs.google.com/document/d/1FQKEQqLcbLSmFVlBRt3jXcZcW9HwCsbXeh9qIICTwJU/edit?usp=sharing","Link")</f>
        <v>Link</v>
      </c>
      <c r="G23" s="40" t="str">
        <f>HYPERLINK("https://docs.google.com/document/d/1W_sV-3GXiY5_KhBW51yl1ts5c5A4hXHOTNvfNIewXnM/edit?usp=sharing","Link")</f>
        <v>Link</v>
      </c>
      <c r="H23" s="40" t="str">
        <f>HYPERLINK("https://docs.google.com/document/d/1gWfYJuQbN90wgx0Cu-wO_F5gKiw8hQH_zgHWgD-P2vg/edit?usp=sharing","Link")</f>
        <v>Link</v>
      </c>
      <c r="I23" s="40" t="str">
        <f>HYPERLINK("https://docs.google.com/document/d/1SowqkvU60Iu8KGNDd4Y4LIv9fQXelOAR9msjJvbBL_M/edit?usp=sharing","Link")</f>
        <v>Link</v>
      </c>
      <c r="J23" s="40" t="str">
        <f>HYPERLINK("https://docs.google.com/document/d/1gNKa5bcPTvDLCY_4YUpA4EHd6oj9FTY1F74tnwgpdl4/edit?usp=sharing","Link")</f>
        <v>Link</v>
      </c>
      <c r="K23" s="40" t="str">
        <f>HYPERLINK("https://docs.google.com/document/d/10kNuAoQpSiwNM9FxVMr4fNCoSi9q64L-l3MCiugVsqQ/edit?usp=sharing","Link")</f>
        <v>Link</v>
      </c>
      <c r="L23" s="40" t="str">
        <f>HYPERLINK("https://docs.google.com/document/d/1J8_z_u9Mw4e08bqE2sQGc8okmYPFTzDkYZk0PnDXWqw/edit?usp=sharing","Link")</f>
        <v>Link</v>
      </c>
      <c r="M23" s="40" t="str">
        <f>HYPERLINK("https://docs.google.com/document/d/13GxGxxNKSY8Sa2C0pqPC7ymU94l1l3rbbj2GW4ovZvQ/edit?usp=sharing","Link")</f>
        <v>Link</v>
      </c>
      <c r="N23" s="40" t="str">
        <f>HYPERLINK("https://docs.google.com/document/d/1iLvLQPJXzJB7t1GNaF671lYIpfv26NP2n0RaXOAdbTw/edit?usp=sharing","Link")</f>
        <v>Link</v>
      </c>
      <c r="O23" s="40" t="str">
        <f>HYPERLINK("https://docs.google.com/document/d/1JvwL5MfCxFTGdK-ov8J1kGEhdAKBjzzjJv84vfxdMXA/edit?usp=sharing","Link")</f>
        <v>Link</v>
      </c>
      <c r="P23" s="40" t="str">
        <f>HYPERLINK("https://docs.google.com/document/d/1RVaxjEPch83rkNxZFsOgregTYVNkEImTCR9V9tr0nsY/edit?usp=sharing","Link")</f>
        <v>Link</v>
      </c>
      <c r="Q23" s="83" t="str">
        <f>HYPERLINK("https://docs.google.com/document/d/1fh6zwNOCQtqW7Ea-CSIErlOVS96mb9F78zgDcNMHgs0/edit?usp=sharing","Season Transcript")</f>
        <v>Season Transcript</v>
      </c>
      <c r="R23" s="3"/>
      <c r="S23" s="40" t="str">
        <f>HYPERLINK("https://docs.google.com/document/d/1w37BMsWEHvU_bwkNH_D0oSgNrrxTi3_N6UqtBbgbg8I/edit?usp=sharing","Differences")</f>
        <v>Differences</v>
      </c>
    </row>
    <row r="24"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  <c r="S24" s="150"/>
    </row>
    <row r="25">
      <c r="A25" s="194" t="s">
        <v>301</v>
      </c>
      <c r="C25" s="195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152"/>
    </row>
    <row r="26">
      <c r="A26" s="169" t="s">
        <v>302</v>
      </c>
      <c r="C26" s="19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152"/>
    </row>
    <row r="27">
      <c r="A27" s="206" t="s">
        <v>303</v>
      </c>
      <c r="C27" s="193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152"/>
    </row>
    <row r="28">
      <c r="A28" s="106" t="s">
        <v>238</v>
      </c>
      <c r="C28" s="193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152"/>
    </row>
  </sheetData>
  <mergeCells count="11">
    <mergeCell ref="A25:B25"/>
    <mergeCell ref="A26:B26"/>
    <mergeCell ref="A27:B27"/>
    <mergeCell ref="A28:B28"/>
    <mergeCell ref="A1:S1"/>
    <mergeCell ref="A2:B2"/>
    <mergeCell ref="A21:B21"/>
    <mergeCell ref="A22:B22"/>
    <mergeCell ref="A23:B23"/>
    <mergeCell ref="Q23:R23"/>
    <mergeCell ref="A24:B24"/>
  </mergeCells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304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17</v>
      </c>
      <c r="R2" s="7" t="s">
        <v>18</v>
      </c>
      <c r="S2" s="8" t="s">
        <v>19</v>
      </c>
    </row>
    <row r="3">
      <c r="A3" s="9">
        <v>1.0</v>
      </c>
      <c r="B3" s="9" t="s">
        <v>36</v>
      </c>
      <c r="C3" s="216">
        <v>1.0</v>
      </c>
      <c r="D3" s="216">
        <v>12.0</v>
      </c>
      <c r="E3" s="216">
        <v>8.0</v>
      </c>
      <c r="F3" s="216">
        <v>8.0</v>
      </c>
      <c r="G3" s="216">
        <v>5.0</v>
      </c>
      <c r="H3" s="216">
        <v>3.0</v>
      </c>
      <c r="I3" s="216">
        <v>8.0</v>
      </c>
      <c r="J3" s="59">
        <v>5.0</v>
      </c>
      <c r="K3" s="60">
        <v>8.0</v>
      </c>
      <c r="L3" s="60">
        <v>3.0</v>
      </c>
      <c r="M3" s="60">
        <v>4.0</v>
      </c>
      <c r="N3" s="60">
        <v>6.0</v>
      </c>
      <c r="O3" s="60">
        <v>12.0</v>
      </c>
      <c r="P3" s="61">
        <v>14.0</v>
      </c>
      <c r="Q3" s="212">
        <f t="shared" ref="Q3:Q20" si="1">SUM(C3:P3)</f>
        <v>97</v>
      </c>
      <c r="R3" s="213">
        <f t="shared" ref="R3:R10" si="2">AVERAGE(C3:P3)</f>
        <v>6.928571429</v>
      </c>
      <c r="S3" s="214">
        <f t="shared" ref="S3:S20" si="3">Q3/Q$21</f>
        <v>0.2287735849</v>
      </c>
    </row>
    <row r="4">
      <c r="A4" s="9">
        <v>2.0</v>
      </c>
      <c r="B4" s="9" t="s">
        <v>247</v>
      </c>
      <c r="C4" s="216">
        <v>4.0</v>
      </c>
      <c r="D4" s="216">
        <v>1.0</v>
      </c>
      <c r="E4" s="216">
        <v>0.0</v>
      </c>
      <c r="F4" s="216">
        <v>5.0</v>
      </c>
      <c r="G4" s="216">
        <v>4.0</v>
      </c>
      <c r="H4" s="216">
        <v>3.0</v>
      </c>
      <c r="I4" s="216">
        <v>5.0</v>
      </c>
      <c r="J4" s="55">
        <v>2.0</v>
      </c>
      <c r="K4" s="56">
        <v>1.0</v>
      </c>
      <c r="L4" s="56">
        <v>4.0</v>
      </c>
      <c r="M4" s="56">
        <v>4.0</v>
      </c>
      <c r="N4" s="56">
        <v>3.0</v>
      </c>
      <c r="O4" s="56">
        <v>0.0</v>
      </c>
      <c r="P4" s="57">
        <v>5.0</v>
      </c>
      <c r="Q4" s="212">
        <f t="shared" si="1"/>
        <v>41</v>
      </c>
      <c r="R4" s="213">
        <f t="shared" si="2"/>
        <v>2.928571429</v>
      </c>
      <c r="S4" s="214">
        <f t="shared" si="3"/>
        <v>0.09669811321</v>
      </c>
    </row>
    <row r="5">
      <c r="A5" s="9">
        <v>3.0</v>
      </c>
      <c r="B5" s="9" t="s">
        <v>21</v>
      </c>
      <c r="C5" s="216">
        <v>1.0</v>
      </c>
      <c r="D5" s="216">
        <v>1.0</v>
      </c>
      <c r="E5" s="216">
        <v>0.0</v>
      </c>
      <c r="F5" s="216">
        <v>2.0</v>
      </c>
      <c r="G5" s="216">
        <v>0.0</v>
      </c>
      <c r="H5" s="216">
        <v>0.0</v>
      </c>
      <c r="I5" s="216">
        <v>0.0</v>
      </c>
      <c r="J5" s="55">
        <v>0.0</v>
      </c>
      <c r="K5" s="56">
        <v>0.0</v>
      </c>
      <c r="L5" s="56">
        <v>0.0</v>
      </c>
      <c r="M5" s="56">
        <v>0.0</v>
      </c>
      <c r="N5" s="56">
        <v>3.0</v>
      </c>
      <c r="O5" s="56">
        <v>2.0</v>
      </c>
      <c r="P5" s="57">
        <v>5.0</v>
      </c>
      <c r="Q5" s="212">
        <f t="shared" si="1"/>
        <v>14</v>
      </c>
      <c r="R5" s="213">
        <f t="shared" si="2"/>
        <v>1</v>
      </c>
      <c r="S5" s="214">
        <f t="shared" si="3"/>
        <v>0.03301886792</v>
      </c>
    </row>
    <row r="6">
      <c r="A6" s="9">
        <v>4.0</v>
      </c>
      <c r="B6" s="9" t="s">
        <v>77</v>
      </c>
      <c r="C6" s="216">
        <v>1.0</v>
      </c>
      <c r="D6" s="216">
        <v>0.0</v>
      </c>
      <c r="E6" s="216">
        <v>0.0</v>
      </c>
      <c r="F6" s="216">
        <v>1.0</v>
      </c>
      <c r="G6" s="216">
        <v>3.0</v>
      </c>
      <c r="H6" s="216">
        <v>3.0</v>
      </c>
      <c r="I6" s="216">
        <v>0.0</v>
      </c>
      <c r="J6" s="55">
        <v>0.0</v>
      </c>
      <c r="K6" s="56">
        <v>0.0</v>
      </c>
      <c r="L6" s="56">
        <v>1.0</v>
      </c>
      <c r="M6" s="56">
        <v>1.0</v>
      </c>
      <c r="N6" s="56">
        <v>5.0</v>
      </c>
      <c r="O6" s="112">
        <v>4.0</v>
      </c>
      <c r="P6" s="57">
        <v>4.0</v>
      </c>
      <c r="Q6" s="212">
        <f t="shared" si="1"/>
        <v>23</v>
      </c>
      <c r="R6" s="213">
        <f t="shared" si="2"/>
        <v>1.642857143</v>
      </c>
      <c r="S6" s="214">
        <f t="shared" si="3"/>
        <v>0.05424528302</v>
      </c>
    </row>
    <row r="7">
      <c r="A7" s="9">
        <v>5.0</v>
      </c>
      <c r="B7" s="9" t="s">
        <v>101</v>
      </c>
      <c r="C7" s="216">
        <v>1.0</v>
      </c>
      <c r="D7" s="216">
        <v>2.0</v>
      </c>
      <c r="E7" s="216">
        <v>2.0</v>
      </c>
      <c r="F7" s="216">
        <v>0.0</v>
      </c>
      <c r="G7" s="216">
        <v>2.0</v>
      </c>
      <c r="H7" s="216">
        <v>1.0</v>
      </c>
      <c r="I7" s="216">
        <v>0.0</v>
      </c>
      <c r="J7" s="55">
        <v>3.0</v>
      </c>
      <c r="K7" s="56">
        <v>0.0</v>
      </c>
      <c r="L7" s="112">
        <v>1.0</v>
      </c>
      <c r="M7" s="112">
        <v>5.0</v>
      </c>
      <c r="N7" s="66">
        <v>2.0</v>
      </c>
      <c r="O7" s="190">
        <v>0.0</v>
      </c>
      <c r="P7" s="217">
        <v>5.0</v>
      </c>
      <c r="Q7" s="212">
        <f t="shared" si="1"/>
        <v>24</v>
      </c>
      <c r="R7" s="213">
        <f t="shared" si="2"/>
        <v>1.714285714</v>
      </c>
      <c r="S7" s="214">
        <f t="shared" si="3"/>
        <v>0.05660377358</v>
      </c>
    </row>
    <row r="8">
      <c r="A8" s="9">
        <v>6.0</v>
      </c>
      <c r="B8" s="9" t="s">
        <v>76</v>
      </c>
      <c r="C8" s="189">
        <v>3.0</v>
      </c>
      <c r="D8" s="189">
        <v>1.0</v>
      </c>
      <c r="E8" s="189">
        <v>1.0</v>
      </c>
      <c r="F8" s="189">
        <v>2.0</v>
      </c>
      <c r="G8" s="189">
        <v>2.0</v>
      </c>
      <c r="H8" s="189">
        <v>1.0</v>
      </c>
      <c r="I8" s="189">
        <v>3.0</v>
      </c>
      <c r="J8" s="55">
        <v>5.0</v>
      </c>
      <c r="K8" s="159">
        <v>3.0</v>
      </c>
      <c r="L8" s="190">
        <v>0.0</v>
      </c>
      <c r="M8" s="190">
        <v>1.0</v>
      </c>
      <c r="N8" s="190">
        <v>4.0</v>
      </c>
      <c r="O8" s="190">
        <v>0.0</v>
      </c>
      <c r="P8" s="190">
        <v>1.0</v>
      </c>
      <c r="Q8" s="212">
        <f t="shared" si="1"/>
        <v>27</v>
      </c>
      <c r="R8" s="213">
        <f t="shared" si="2"/>
        <v>1.928571429</v>
      </c>
      <c r="S8" s="214">
        <f t="shared" si="3"/>
        <v>0.06367924528</v>
      </c>
    </row>
    <row r="9">
      <c r="A9" s="9">
        <v>7.0</v>
      </c>
      <c r="B9" s="9" t="s">
        <v>249</v>
      </c>
      <c r="C9" s="216">
        <v>2.0</v>
      </c>
      <c r="D9" s="216">
        <v>2.0</v>
      </c>
      <c r="E9" s="190">
        <v>1.0</v>
      </c>
      <c r="F9" s="190">
        <v>2.0</v>
      </c>
      <c r="G9" s="190">
        <v>0.0</v>
      </c>
      <c r="H9" s="190">
        <v>3.0</v>
      </c>
      <c r="I9" s="190">
        <v>1.0</v>
      </c>
      <c r="J9" s="218">
        <v>9.0</v>
      </c>
      <c r="K9" s="190">
        <v>1.0</v>
      </c>
      <c r="L9" s="190">
        <v>4.0</v>
      </c>
      <c r="M9" s="190">
        <v>2.0</v>
      </c>
      <c r="N9" s="190">
        <v>2.0</v>
      </c>
      <c r="O9" s="190">
        <v>1.0</v>
      </c>
      <c r="P9" s="190">
        <v>2.0</v>
      </c>
      <c r="Q9" s="212">
        <f t="shared" si="1"/>
        <v>32</v>
      </c>
      <c r="R9" s="213">
        <f t="shared" si="2"/>
        <v>2.285714286</v>
      </c>
      <c r="S9" s="214">
        <f t="shared" si="3"/>
        <v>0.07547169811</v>
      </c>
    </row>
    <row r="10">
      <c r="A10" s="9">
        <v>8.0</v>
      </c>
      <c r="B10" s="9" t="s">
        <v>305</v>
      </c>
      <c r="C10" s="216">
        <v>0.0</v>
      </c>
      <c r="D10" s="216">
        <v>1.0</v>
      </c>
      <c r="E10" s="216">
        <v>0.0</v>
      </c>
      <c r="F10" s="216">
        <v>2.0</v>
      </c>
      <c r="G10" s="216">
        <v>1.0</v>
      </c>
      <c r="H10" s="216">
        <v>0.0</v>
      </c>
      <c r="I10" s="216">
        <v>1.0</v>
      </c>
      <c r="J10" s="55">
        <v>1.0</v>
      </c>
      <c r="K10" s="60">
        <v>1.0</v>
      </c>
      <c r="L10" s="60">
        <v>0.0</v>
      </c>
      <c r="M10" s="60">
        <v>2.0</v>
      </c>
      <c r="N10" s="219">
        <v>1.0</v>
      </c>
      <c r="O10" s="220">
        <v>4.0</v>
      </c>
      <c r="P10" s="221">
        <v>1.0</v>
      </c>
      <c r="Q10" s="212">
        <f t="shared" si="1"/>
        <v>15</v>
      </c>
      <c r="R10" s="213">
        <f t="shared" si="2"/>
        <v>1.071428571</v>
      </c>
      <c r="S10" s="214">
        <f t="shared" si="3"/>
        <v>0.03537735849</v>
      </c>
    </row>
    <row r="11">
      <c r="A11" s="9">
        <v>9.0</v>
      </c>
      <c r="B11" s="9" t="s">
        <v>306</v>
      </c>
      <c r="C11" s="189">
        <v>2.0</v>
      </c>
      <c r="D11" s="189">
        <v>3.0</v>
      </c>
      <c r="E11" s="189">
        <v>2.0</v>
      </c>
      <c r="F11" s="189">
        <v>3.0</v>
      </c>
      <c r="G11" s="189">
        <v>0.0</v>
      </c>
      <c r="H11" s="189">
        <v>1.0</v>
      </c>
      <c r="I11" s="189">
        <v>2.0</v>
      </c>
      <c r="J11" s="55">
        <v>0.0</v>
      </c>
      <c r="K11" s="56">
        <v>2.0</v>
      </c>
      <c r="L11" s="56">
        <v>0.0</v>
      </c>
      <c r="M11" s="57">
        <v>2.0</v>
      </c>
      <c r="N11" s="190">
        <v>2.0</v>
      </c>
      <c r="O11" s="222">
        <v>1.0</v>
      </c>
      <c r="P11" s="77"/>
      <c r="Q11" s="212">
        <f t="shared" si="1"/>
        <v>20</v>
      </c>
      <c r="R11" s="213">
        <f>AVERAGE(C11:O11)</f>
        <v>1.538461538</v>
      </c>
      <c r="S11" s="214">
        <f t="shared" si="3"/>
        <v>0.04716981132</v>
      </c>
    </row>
    <row r="12">
      <c r="A12" s="9">
        <v>10.0</v>
      </c>
      <c r="B12" s="9" t="s">
        <v>307</v>
      </c>
      <c r="C12" s="189">
        <v>0.0</v>
      </c>
      <c r="D12" s="189">
        <v>0.0</v>
      </c>
      <c r="E12" s="189">
        <v>4.0</v>
      </c>
      <c r="F12" s="189">
        <v>0.0</v>
      </c>
      <c r="G12" s="189">
        <v>2.0</v>
      </c>
      <c r="H12" s="189">
        <v>5.0</v>
      </c>
      <c r="I12" s="189">
        <v>2.0</v>
      </c>
      <c r="J12" s="55">
        <v>2.0</v>
      </c>
      <c r="K12" s="56">
        <v>0.0</v>
      </c>
      <c r="L12" s="56">
        <v>4.0</v>
      </c>
      <c r="M12" s="159">
        <v>3.0</v>
      </c>
      <c r="N12" s="222">
        <v>1.0</v>
      </c>
      <c r="O12" s="76"/>
      <c r="P12" s="77"/>
      <c r="Q12" s="212">
        <f t="shared" si="1"/>
        <v>23</v>
      </c>
      <c r="R12" s="213">
        <f>AVERAGE(C12:N12)</f>
        <v>1.916666667</v>
      </c>
      <c r="S12" s="214">
        <f t="shared" si="3"/>
        <v>0.05424528302</v>
      </c>
    </row>
    <row r="13">
      <c r="A13" s="9">
        <v>11.0</v>
      </c>
      <c r="B13" s="9" t="s">
        <v>199</v>
      </c>
      <c r="C13" s="189">
        <v>0.0</v>
      </c>
      <c r="D13" s="189">
        <v>0.0</v>
      </c>
      <c r="E13" s="189">
        <v>3.0</v>
      </c>
      <c r="F13" s="189">
        <v>2.0</v>
      </c>
      <c r="G13" s="189">
        <v>4.0</v>
      </c>
      <c r="H13" s="189">
        <v>1.0</v>
      </c>
      <c r="I13" s="189">
        <v>0.0</v>
      </c>
      <c r="J13" s="55">
        <v>2.0</v>
      </c>
      <c r="K13" s="56">
        <v>2.0</v>
      </c>
      <c r="L13" s="159">
        <v>3.0</v>
      </c>
      <c r="M13" s="222">
        <v>0.0</v>
      </c>
      <c r="N13" s="76"/>
      <c r="O13" s="76"/>
      <c r="P13" s="77"/>
      <c r="Q13" s="212">
        <f t="shared" si="1"/>
        <v>17</v>
      </c>
      <c r="R13" s="213">
        <f>AVERAGE(C13:M13)</f>
        <v>1.545454545</v>
      </c>
      <c r="S13" s="214">
        <f t="shared" si="3"/>
        <v>0.04009433962</v>
      </c>
    </row>
    <row r="14">
      <c r="A14" s="9">
        <v>12.0</v>
      </c>
      <c r="B14" s="9" t="s">
        <v>120</v>
      </c>
      <c r="C14" s="189">
        <v>1.0</v>
      </c>
      <c r="D14" s="189">
        <v>0.0</v>
      </c>
      <c r="E14" s="189">
        <v>3.0</v>
      </c>
      <c r="F14" s="189">
        <v>2.0</v>
      </c>
      <c r="G14" s="189">
        <v>1.0</v>
      </c>
      <c r="H14" s="189">
        <v>2.0</v>
      </c>
      <c r="I14" s="189">
        <v>2.0</v>
      </c>
      <c r="J14" s="129">
        <v>0.0</v>
      </c>
      <c r="K14" s="66">
        <v>5.0</v>
      </c>
      <c r="L14" s="222">
        <v>2.0</v>
      </c>
      <c r="M14" s="76"/>
      <c r="N14" s="76"/>
      <c r="O14" s="76"/>
      <c r="P14" s="77"/>
      <c r="Q14" s="212">
        <f t="shared" si="1"/>
        <v>18</v>
      </c>
      <c r="R14" s="213">
        <f>AVERAGE(C14:L14)</f>
        <v>1.8</v>
      </c>
      <c r="S14" s="214">
        <f t="shared" si="3"/>
        <v>0.04245283019</v>
      </c>
    </row>
    <row r="15">
      <c r="A15" s="9">
        <v>13.0</v>
      </c>
      <c r="B15" s="9" t="s">
        <v>308</v>
      </c>
      <c r="C15" s="189">
        <v>0.0</v>
      </c>
      <c r="D15" s="189">
        <v>0.0</v>
      </c>
      <c r="E15" s="189">
        <v>0.0</v>
      </c>
      <c r="F15" s="189">
        <v>1.0</v>
      </c>
      <c r="G15" s="189">
        <v>2.0</v>
      </c>
      <c r="H15" s="189">
        <v>1.0</v>
      </c>
      <c r="I15" s="189">
        <v>5.0</v>
      </c>
      <c r="J15" s="222">
        <v>2.0</v>
      </c>
      <c r="K15" s="76"/>
      <c r="L15" s="76"/>
      <c r="M15" s="76"/>
      <c r="N15" s="76"/>
      <c r="O15" s="76"/>
      <c r="P15" s="77"/>
      <c r="Q15" s="212">
        <f t="shared" si="1"/>
        <v>11</v>
      </c>
      <c r="R15" s="213">
        <f>AVERAGE(C15:J15)</f>
        <v>1.375</v>
      </c>
      <c r="S15" s="214">
        <f t="shared" si="3"/>
        <v>0.02594339623</v>
      </c>
    </row>
    <row r="16">
      <c r="A16" s="9">
        <v>14.0</v>
      </c>
      <c r="B16" s="9" t="s">
        <v>63</v>
      </c>
      <c r="C16" s="189">
        <v>3.0</v>
      </c>
      <c r="D16" s="189">
        <v>0.0</v>
      </c>
      <c r="E16" s="189">
        <v>2.0</v>
      </c>
      <c r="F16" s="189">
        <v>1.0</v>
      </c>
      <c r="G16" s="189">
        <v>4.0</v>
      </c>
      <c r="H16" s="189">
        <v>5.0</v>
      </c>
      <c r="I16" s="222">
        <v>0.0</v>
      </c>
      <c r="J16" s="76"/>
      <c r="K16" s="76"/>
      <c r="L16" s="76"/>
      <c r="M16" s="76"/>
      <c r="N16" s="76"/>
      <c r="O16" s="76"/>
      <c r="P16" s="77"/>
      <c r="Q16" s="212">
        <f t="shared" si="1"/>
        <v>15</v>
      </c>
      <c r="R16" s="213">
        <f>AVERAGE(C16:I16)</f>
        <v>2.142857143</v>
      </c>
      <c r="S16" s="214">
        <f t="shared" si="3"/>
        <v>0.03537735849</v>
      </c>
    </row>
    <row r="17">
      <c r="A17" s="9">
        <v>15.0</v>
      </c>
      <c r="B17" s="9" t="s">
        <v>309</v>
      </c>
      <c r="C17" s="189">
        <v>0.0</v>
      </c>
      <c r="D17" s="189">
        <v>0.0</v>
      </c>
      <c r="E17" s="189">
        <v>0.0</v>
      </c>
      <c r="F17" s="189">
        <v>1.0</v>
      </c>
      <c r="G17" s="189">
        <v>3.0</v>
      </c>
      <c r="H17" s="222">
        <v>2.0</v>
      </c>
      <c r="I17" s="76"/>
      <c r="J17" s="76"/>
      <c r="K17" s="76"/>
      <c r="L17" s="76"/>
      <c r="M17" s="76"/>
      <c r="N17" s="76"/>
      <c r="O17" s="76"/>
      <c r="P17" s="77"/>
      <c r="Q17" s="212">
        <f t="shared" si="1"/>
        <v>6</v>
      </c>
      <c r="R17" s="213">
        <f>AVERAGE(C17:H17)</f>
        <v>1</v>
      </c>
      <c r="S17" s="214">
        <f t="shared" si="3"/>
        <v>0.0141509434</v>
      </c>
    </row>
    <row r="18">
      <c r="A18" s="9">
        <v>16.0</v>
      </c>
      <c r="B18" s="9" t="s">
        <v>310</v>
      </c>
      <c r="C18" s="216">
        <v>8.0</v>
      </c>
      <c r="D18" s="216">
        <v>2.0</v>
      </c>
      <c r="E18" s="216">
        <v>0.0</v>
      </c>
      <c r="F18" s="216">
        <v>3.0</v>
      </c>
      <c r="G18" s="222">
        <v>0.0</v>
      </c>
      <c r="H18" s="76"/>
      <c r="I18" s="76"/>
      <c r="J18" s="76"/>
      <c r="K18" s="76"/>
      <c r="L18" s="76"/>
      <c r="M18" s="76"/>
      <c r="N18" s="76"/>
      <c r="O18" s="76"/>
      <c r="P18" s="77"/>
      <c r="Q18" s="212">
        <f t="shared" si="1"/>
        <v>13</v>
      </c>
      <c r="R18" s="213">
        <f>AVERAGE(C18:G18)</f>
        <v>2.6</v>
      </c>
      <c r="S18" s="214">
        <f t="shared" si="3"/>
        <v>0.03066037736</v>
      </c>
    </row>
    <row r="19">
      <c r="A19" s="9">
        <v>17.0</v>
      </c>
      <c r="B19" s="9" t="s">
        <v>268</v>
      </c>
      <c r="C19" s="216">
        <v>3.0</v>
      </c>
      <c r="D19" s="216">
        <v>5.0</v>
      </c>
      <c r="E19" s="216">
        <v>5.0</v>
      </c>
      <c r="F19" s="222">
        <v>3.0</v>
      </c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212">
        <f t="shared" si="1"/>
        <v>16</v>
      </c>
      <c r="R19" s="213">
        <f>AVERAGE(C19:F19)</f>
        <v>4</v>
      </c>
      <c r="S19" s="214">
        <f t="shared" si="3"/>
        <v>0.03773584906</v>
      </c>
    </row>
    <row r="20">
      <c r="A20" s="9">
        <v>18.0</v>
      </c>
      <c r="B20" s="9" t="s">
        <v>255</v>
      </c>
      <c r="C20" s="216">
        <v>7.0</v>
      </c>
      <c r="D20" s="190">
        <v>4.0</v>
      </c>
      <c r="E20" s="223">
        <v>1.0</v>
      </c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80"/>
      <c r="Q20" s="212">
        <f t="shared" si="1"/>
        <v>12</v>
      </c>
      <c r="R20" s="213">
        <f>AVERAGE(C20:E20)</f>
        <v>4</v>
      </c>
      <c r="S20" s="214">
        <f t="shared" si="3"/>
        <v>0.02830188679</v>
      </c>
    </row>
    <row r="21">
      <c r="A21" s="4" t="s">
        <v>40</v>
      </c>
      <c r="B21" s="3"/>
      <c r="C21" s="23">
        <f t="shared" ref="C21:Q21" si="4">SUM(C3:C20)</f>
        <v>37</v>
      </c>
      <c r="D21" s="23">
        <f t="shared" si="4"/>
        <v>34</v>
      </c>
      <c r="E21" s="23">
        <f t="shared" si="4"/>
        <v>32</v>
      </c>
      <c r="F21" s="23">
        <f t="shared" si="4"/>
        <v>38</v>
      </c>
      <c r="G21" s="23">
        <f t="shared" si="4"/>
        <v>33</v>
      </c>
      <c r="H21" s="23">
        <f t="shared" si="4"/>
        <v>31</v>
      </c>
      <c r="I21" s="23">
        <f t="shared" si="4"/>
        <v>29</v>
      </c>
      <c r="J21" s="23">
        <f t="shared" si="4"/>
        <v>31</v>
      </c>
      <c r="K21" s="23">
        <f t="shared" si="4"/>
        <v>23</v>
      </c>
      <c r="L21" s="23">
        <f t="shared" si="4"/>
        <v>22</v>
      </c>
      <c r="M21" s="23">
        <f t="shared" si="4"/>
        <v>24</v>
      </c>
      <c r="N21" s="23">
        <f t="shared" si="4"/>
        <v>29</v>
      </c>
      <c r="O21" s="23">
        <f t="shared" si="4"/>
        <v>24</v>
      </c>
      <c r="P21" s="23">
        <f t="shared" si="4"/>
        <v>37</v>
      </c>
      <c r="Q21" s="212">
        <f t="shared" si="4"/>
        <v>424</v>
      </c>
      <c r="R21" s="213"/>
      <c r="S21" s="82"/>
    </row>
    <row r="22">
      <c r="A22" s="35" t="s">
        <v>18</v>
      </c>
      <c r="B22" s="3"/>
      <c r="C22" s="16">
        <f t="shared" ref="C22:E22" si="5">AVERAGE(C3:C20)</f>
        <v>2.055555556</v>
      </c>
      <c r="D22" s="16">
        <f t="shared" si="5"/>
        <v>1.888888889</v>
      </c>
      <c r="E22" s="16">
        <f t="shared" si="5"/>
        <v>1.777777778</v>
      </c>
      <c r="F22" s="16">
        <f>AVERAGE(F3:F19)</f>
        <v>2.235294118</v>
      </c>
      <c r="G22" s="16">
        <f>AVERAGE(G3:G18)</f>
        <v>2.0625</v>
      </c>
      <c r="H22" s="16">
        <f>AVERAGE(H3:H17)</f>
        <v>2.066666667</v>
      </c>
      <c r="I22" s="16">
        <f>AVERAGE(I3:I16)</f>
        <v>2.071428571</v>
      </c>
      <c r="J22" s="16">
        <f>AVERAGE(J3:J15)</f>
        <v>2.384615385</v>
      </c>
      <c r="K22" s="16">
        <f t="shared" ref="K22:L22" si="6">AVERAGE(K3:K14)</f>
        <v>1.916666667</v>
      </c>
      <c r="L22" s="16">
        <f t="shared" si="6"/>
        <v>1.833333333</v>
      </c>
      <c r="M22" s="16">
        <f>AVERAGE(M3:M13)</f>
        <v>2.181818182</v>
      </c>
      <c r="N22" s="16">
        <f>AVERAGE(N3:N12)</f>
        <v>2.9</v>
      </c>
      <c r="O22" s="16">
        <f>AVERAGE(O3:O11)</f>
        <v>2.666666667</v>
      </c>
      <c r="P22" s="16">
        <f>AVERAGE(P3:P10)</f>
        <v>4.625</v>
      </c>
      <c r="Q22" s="16"/>
      <c r="R22" s="16"/>
      <c r="S22" s="82"/>
    </row>
    <row r="23">
      <c r="A23" s="4" t="s">
        <v>41</v>
      </c>
      <c r="B23" s="3"/>
      <c r="C23" s="40" t="str">
        <f>HYPERLINK("https://docs.google.com/document/d/12cAud8FTSgBcqboKcj2oAf2RgFbVYOqMHoA2J4QJG6Y/edit?usp=sharing","Link")</f>
        <v>Link</v>
      </c>
      <c r="D23" s="40" t="str">
        <f>HYPERLINK("https://docs.google.com/document/d/1uJ5XMlJEh44Ia4gKFyo5xaannqIq60UgaXkpDld-LAw/edit?usp=sharing","Link")</f>
        <v>Link</v>
      </c>
      <c r="E23" s="40" t="str">
        <f>HYPERLINK("https://docs.google.com/document/d/1JyfZXMZ-5HVJOBw6o_yTlIh07hZF3YFLnGwa8RVh70Q/edit?usp=sharing","Link")</f>
        <v>Link</v>
      </c>
      <c r="F23" s="40" t="str">
        <f>HYPERLINK("https://docs.google.com/document/d/1VrNtrnYT3lBQ0geR5C_K7qwnZ3Y5YBIiGlUe4UQ-2do/edit?usp=sharing","Link")</f>
        <v>Link</v>
      </c>
      <c r="G23" s="40" t="str">
        <f>HYPERLINK("https://docs.google.com/document/d/1B9ictritVz6GhgY9t56PMPkViKOsGoLvZO_o4gcsym4/edit?usp=sharing","Link")</f>
        <v>Link</v>
      </c>
      <c r="H23" s="40" t="str">
        <f>HYPERLINK("https://docs.google.com/document/d/14Eip8DDH1g0NlS4TrwRVTDej5dwwyw_cDaXkPyTCkG8/edit?usp=sharing","Link")</f>
        <v>Link</v>
      </c>
      <c r="I23" s="40" t="str">
        <f>HYPERLINK("https://docs.google.com/document/d/1QTuNHU6_4ztaQ5sppyy4Y47JsLScCepK6wIzq06WvAg/edit?usp=sharing","Link")</f>
        <v>Link</v>
      </c>
      <c r="J23" s="40" t="str">
        <f>HYPERLINK("https://docs.google.com/document/d/1-2pZ-bzrr_71uMMytZRSkIX4WJO41OTHxCpX_oL1lAE/edit?usp=sharing","Link")</f>
        <v>Link</v>
      </c>
      <c r="K23" s="40" t="str">
        <f>HYPERLINK("https://docs.google.com/document/d/1__hWCP1sAntR7ldo0oIpk1jKMKEtTNL2fPIq1ewusYY/edit?usp=sharing","Link")</f>
        <v>Link</v>
      </c>
      <c r="L23" s="40" t="str">
        <f>HYPERLINK("https://docs.google.com/document/d/1cZV9aNhVHt8yqQH2ya2rU2aK_VpaUzitC0KpcR4crho/edit?usp=sharing","Link")</f>
        <v>Link</v>
      </c>
      <c r="M23" s="40" t="str">
        <f>HYPERLINK("https://docs.google.com/document/d/1TDxZAASy4zLMdWN8VGXVC2ntDdbb54Fl4h7t_jjIyuw/edit?usp=sharing","Link")</f>
        <v>Link</v>
      </c>
      <c r="N23" s="40" t="str">
        <f>HYPERLINK("https://docs.google.com/document/d/1V592v81VjFYPZAD_Fh6-bQO_nqHY-7x0yW5VGUdMHn4/edit?usp=sharing","Link")</f>
        <v>Link</v>
      </c>
      <c r="O23" s="40" t="str">
        <f>HYPERLINK("https://docs.google.com/document/d/1nvy4cZ7jk3rinAAVZWdjaao8xUpRQey6avJiL2ZJEio/edit?usp=sharing","Link")</f>
        <v>Link</v>
      </c>
      <c r="P23" s="40" t="str">
        <f>HYPERLINK("https://docs.google.com/document/d/1aV9ellqXXVEzUCLR2AgZBFgPKfk45Uj3P7ej0PAnuEk/edit?usp=sharing","Link")</f>
        <v>Link</v>
      </c>
      <c r="Q23" s="83" t="str">
        <f>HYPERLINK("https://docs.google.com/document/d/11RYaZJTpEmsacQrUnjgLR8VXNcKfAnGeki3lvpmPyNw/edit?usp=sharing","Season Transcript")</f>
        <v>Season Transcript</v>
      </c>
      <c r="R23" s="3"/>
      <c r="S23" s="40" t="str">
        <f>HYPERLINK("https://docs.google.com/document/d/1fIXx3gwJAD0G38hSMNXbLs7d7mkiYfe2b941mDM8FnU/edit?usp=sharing","Differences")</f>
        <v>Differences</v>
      </c>
    </row>
    <row r="24"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  <c r="S24" s="150"/>
    </row>
    <row r="25">
      <c r="A25" s="224" t="s">
        <v>311</v>
      </c>
      <c r="C25" s="193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152"/>
    </row>
    <row r="26">
      <c r="A26" s="196" t="s">
        <v>312</v>
      </c>
      <c r="C26" s="19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152"/>
    </row>
    <row r="27">
      <c r="A27" s="51" t="s">
        <v>313</v>
      </c>
      <c r="C27" s="195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152"/>
    </row>
    <row r="28">
      <c r="A28" s="106" t="s">
        <v>238</v>
      </c>
      <c r="C28" s="193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152"/>
    </row>
  </sheetData>
  <mergeCells count="11">
    <mergeCell ref="A25:B25"/>
    <mergeCell ref="A26:B26"/>
    <mergeCell ref="A27:B27"/>
    <mergeCell ref="A28:B28"/>
    <mergeCell ref="A1:S1"/>
    <mergeCell ref="A2:B2"/>
    <mergeCell ref="A21:B21"/>
    <mergeCell ref="A22:B22"/>
    <mergeCell ref="A23:B23"/>
    <mergeCell ref="Q23:R23"/>
    <mergeCell ref="A24:B24"/>
  </mergeCells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314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7" t="s">
        <v>18</v>
      </c>
      <c r="S2" s="8" t="s">
        <v>19</v>
      </c>
    </row>
    <row r="3">
      <c r="A3" s="9">
        <v>1.0</v>
      </c>
      <c r="B3" s="9" t="s">
        <v>315</v>
      </c>
      <c r="C3" s="203">
        <v>3.0</v>
      </c>
      <c r="D3" s="203">
        <v>2.0</v>
      </c>
      <c r="E3" s="203">
        <v>1.0</v>
      </c>
      <c r="F3" s="203">
        <v>0.0</v>
      </c>
      <c r="G3" s="203">
        <v>1.0</v>
      </c>
      <c r="H3" s="203">
        <v>2.0</v>
      </c>
      <c r="I3" s="203">
        <v>1.0</v>
      </c>
      <c r="J3" s="225">
        <v>1.0</v>
      </c>
      <c r="K3" s="225">
        <v>1.0</v>
      </c>
      <c r="L3" s="225">
        <v>4.0</v>
      </c>
      <c r="M3" s="225">
        <v>3.0</v>
      </c>
      <c r="N3" s="225">
        <v>2.0</v>
      </c>
      <c r="O3" s="225">
        <v>5.0</v>
      </c>
      <c r="P3" s="225">
        <v>14.0</v>
      </c>
      <c r="Q3" s="23">
        <f t="shared" ref="Q3:Q22" si="1">SUM(C3:P3)</f>
        <v>40</v>
      </c>
      <c r="R3" s="16">
        <f t="shared" ref="R3:R7" si="2">AVERAGE(C3:P3)</f>
        <v>2.857142857</v>
      </c>
      <c r="S3" s="17">
        <f t="shared" ref="S3:S22" si="3">Q3/Q$23</f>
        <v>0.09615384615</v>
      </c>
    </row>
    <row r="4">
      <c r="A4" s="9">
        <v>2.0</v>
      </c>
      <c r="B4" s="9" t="s">
        <v>316</v>
      </c>
      <c r="C4" s="203">
        <v>2.0</v>
      </c>
      <c r="D4" s="203">
        <v>2.0</v>
      </c>
      <c r="E4" s="203">
        <v>0.0</v>
      </c>
      <c r="F4" s="203">
        <v>2.0</v>
      </c>
      <c r="G4" s="156">
        <v>0.0</v>
      </c>
      <c r="H4" s="156">
        <v>2.0</v>
      </c>
      <c r="I4" s="156">
        <v>2.0</v>
      </c>
      <c r="J4" s="225">
        <v>1.0</v>
      </c>
      <c r="K4" s="225">
        <v>2.0</v>
      </c>
      <c r="L4" s="225">
        <v>4.0</v>
      </c>
      <c r="M4" s="225">
        <v>3.0</v>
      </c>
      <c r="N4" s="225">
        <v>3.0</v>
      </c>
      <c r="O4" s="225">
        <v>6.0</v>
      </c>
      <c r="P4" s="225">
        <v>7.0</v>
      </c>
      <c r="Q4" s="23">
        <f t="shared" si="1"/>
        <v>36</v>
      </c>
      <c r="R4" s="16">
        <f t="shared" si="2"/>
        <v>2.571428571</v>
      </c>
      <c r="S4" s="17">
        <f t="shared" si="3"/>
        <v>0.08653846154</v>
      </c>
    </row>
    <row r="5">
      <c r="A5" s="9">
        <v>3.0</v>
      </c>
      <c r="B5" s="9" t="s">
        <v>317</v>
      </c>
      <c r="C5" s="203">
        <v>1.0</v>
      </c>
      <c r="D5" s="203">
        <v>2.0</v>
      </c>
      <c r="E5" s="203">
        <v>0.0</v>
      </c>
      <c r="F5" s="203">
        <v>0.0</v>
      </c>
      <c r="G5" s="203">
        <v>0.0</v>
      </c>
      <c r="H5" s="203">
        <v>2.0</v>
      </c>
      <c r="I5" s="203">
        <v>2.0</v>
      </c>
      <c r="J5" s="225">
        <v>2.0</v>
      </c>
      <c r="K5" s="225">
        <v>1.0</v>
      </c>
      <c r="L5" s="225">
        <v>2.0</v>
      </c>
      <c r="M5" s="225">
        <v>1.0</v>
      </c>
      <c r="N5" s="225">
        <v>7.0</v>
      </c>
      <c r="O5" s="225">
        <v>2.0</v>
      </c>
      <c r="P5" s="225">
        <v>9.0</v>
      </c>
      <c r="Q5" s="23">
        <f t="shared" si="1"/>
        <v>31</v>
      </c>
      <c r="R5" s="16">
        <f t="shared" si="2"/>
        <v>2.214285714</v>
      </c>
      <c r="S5" s="17">
        <f t="shared" si="3"/>
        <v>0.07451923077</v>
      </c>
    </row>
    <row r="6">
      <c r="A6" s="9">
        <v>4.0</v>
      </c>
      <c r="B6" s="9" t="s">
        <v>318</v>
      </c>
      <c r="C6" s="156">
        <v>2.0</v>
      </c>
      <c r="D6" s="156">
        <v>6.0</v>
      </c>
      <c r="E6" s="156">
        <v>0.0</v>
      </c>
      <c r="F6" s="156">
        <v>0.0</v>
      </c>
      <c r="G6" s="156">
        <v>5.0</v>
      </c>
      <c r="H6" s="156">
        <v>3.0</v>
      </c>
      <c r="I6" s="156">
        <v>2.0</v>
      </c>
      <c r="J6" s="225">
        <v>1.0</v>
      </c>
      <c r="K6" s="225">
        <v>0.0</v>
      </c>
      <c r="L6" s="225">
        <v>3.0</v>
      </c>
      <c r="M6" s="225">
        <v>2.0</v>
      </c>
      <c r="N6" s="225">
        <v>2.0</v>
      </c>
      <c r="O6" s="225">
        <v>2.0</v>
      </c>
      <c r="P6" s="225">
        <v>4.0</v>
      </c>
      <c r="Q6" s="23">
        <f t="shared" si="1"/>
        <v>32</v>
      </c>
      <c r="R6" s="16">
        <f t="shared" si="2"/>
        <v>2.285714286</v>
      </c>
      <c r="S6" s="17">
        <f t="shared" si="3"/>
        <v>0.07692307692</v>
      </c>
    </row>
    <row r="7">
      <c r="A7" s="9">
        <v>5.0</v>
      </c>
      <c r="B7" s="9" t="s">
        <v>177</v>
      </c>
      <c r="C7" s="156">
        <v>0.0</v>
      </c>
      <c r="D7" s="156">
        <v>3.0</v>
      </c>
      <c r="E7" s="156">
        <v>2.0</v>
      </c>
      <c r="F7" s="156">
        <v>1.0</v>
      </c>
      <c r="G7" s="156">
        <v>0.0</v>
      </c>
      <c r="H7" s="156">
        <v>1.0</v>
      </c>
      <c r="I7" s="156">
        <v>0.0</v>
      </c>
      <c r="J7" s="225">
        <v>0.0</v>
      </c>
      <c r="K7" s="225">
        <v>1.0</v>
      </c>
      <c r="L7" s="225">
        <v>1.0</v>
      </c>
      <c r="M7" s="225">
        <v>1.0</v>
      </c>
      <c r="N7" s="225">
        <v>1.0</v>
      </c>
      <c r="O7" s="225">
        <v>1.0</v>
      </c>
      <c r="P7" s="225">
        <v>1.0</v>
      </c>
      <c r="Q7" s="23">
        <f t="shared" si="1"/>
        <v>13</v>
      </c>
      <c r="R7" s="16">
        <f t="shared" si="2"/>
        <v>0.9285714286</v>
      </c>
      <c r="S7" s="17">
        <f t="shared" si="3"/>
        <v>0.03125</v>
      </c>
    </row>
    <row r="8">
      <c r="A8" s="9">
        <v>6.0</v>
      </c>
      <c r="B8" s="9" t="s">
        <v>319</v>
      </c>
      <c r="C8" s="156">
        <v>1.0</v>
      </c>
      <c r="D8" s="156">
        <v>0.0</v>
      </c>
      <c r="E8" s="156">
        <v>1.0</v>
      </c>
      <c r="F8" s="156">
        <v>2.0</v>
      </c>
      <c r="G8" s="203">
        <v>2.0</v>
      </c>
      <c r="H8" s="203">
        <v>1.0</v>
      </c>
      <c r="I8" s="203">
        <v>4.0</v>
      </c>
      <c r="J8" s="225">
        <v>3.0</v>
      </c>
      <c r="K8" s="225">
        <v>4.0</v>
      </c>
      <c r="L8" s="225">
        <v>6.0</v>
      </c>
      <c r="M8" s="225">
        <v>2.0</v>
      </c>
      <c r="N8" s="225">
        <v>5.0</v>
      </c>
      <c r="O8" s="225">
        <v>2.0</v>
      </c>
      <c r="P8" s="92"/>
      <c r="Q8" s="23">
        <f t="shared" si="1"/>
        <v>33</v>
      </c>
      <c r="R8" s="16">
        <f>AVERAGE(C8:O8)</f>
        <v>2.538461538</v>
      </c>
      <c r="S8" s="17">
        <f t="shared" si="3"/>
        <v>0.07932692308</v>
      </c>
    </row>
    <row r="9">
      <c r="A9" s="9">
        <v>7.0</v>
      </c>
      <c r="B9" s="9" t="s">
        <v>320</v>
      </c>
      <c r="C9" s="203">
        <v>0.0</v>
      </c>
      <c r="D9" s="203">
        <v>0.0</v>
      </c>
      <c r="E9" s="203">
        <v>0.0</v>
      </c>
      <c r="F9" s="203">
        <v>0.0</v>
      </c>
      <c r="G9" s="156">
        <v>3.0</v>
      </c>
      <c r="H9" s="156">
        <v>1.0</v>
      </c>
      <c r="I9" s="156">
        <v>0.0</v>
      </c>
      <c r="J9" s="225">
        <v>1.0</v>
      </c>
      <c r="K9" s="225">
        <v>2.0</v>
      </c>
      <c r="L9" s="225">
        <v>5.0</v>
      </c>
      <c r="M9" s="225">
        <v>2.0</v>
      </c>
      <c r="N9" s="225">
        <v>6.0</v>
      </c>
      <c r="O9" s="92"/>
      <c r="P9" s="92"/>
      <c r="Q9" s="23">
        <f t="shared" si="1"/>
        <v>20</v>
      </c>
      <c r="R9" s="16">
        <f>AVERAGE(C9:N9)</f>
        <v>1.666666667</v>
      </c>
      <c r="S9" s="17">
        <f t="shared" si="3"/>
        <v>0.04807692308</v>
      </c>
    </row>
    <row r="10">
      <c r="A10" s="9">
        <v>8.0</v>
      </c>
      <c r="B10" s="9" t="s">
        <v>321</v>
      </c>
      <c r="C10" s="203">
        <v>0.0</v>
      </c>
      <c r="D10" s="203">
        <v>0.0</v>
      </c>
      <c r="E10" s="203">
        <v>0.0</v>
      </c>
      <c r="F10" s="203">
        <v>0.0</v>
      </c>
      <c r="G10" s="203">
        <v>0.0</v>
      </c>
      <c r="H10" s="203">
        <v>0.0</v>
      </c>
      <c r="I10" s="203">
        <v>1.0</v>
      </c>
      <c r="J10" s="225">
        <v>0.0</v>
      </c>
      <c r="K10" s="225">
        <v>0.0</v>
      </c>
      <c r="L10" s="225">
        <v>0.0</v>
      </c>
      <c r="M10" s="225">
        <v>4.0</v>
      </c>
      <c r="N10" s="92"/>
      <c r="O10" s="92"/>
      <c r="P10" s="92"/>
      <c r="Q10" s="23">
        <f t="shared" si="1"/>
        <v>5</v>
      </c>
      <c r="R10" s="16">
        <f t="shared" ref="R10:R11" si="4">AVERAGE(C10:M10)</f>
        <v>0.4545454545</v>
      </c>
      <c r="S10" s="17">
        <f t="shared" si="3"/>
        <v>0.01201923077</v>
      </c>
    </row>
    <row r="11">
      <c r="A11" s="9">
        <v>9.0</v>
      </c>
      <c r="B11" s="9" t="s">
        <v>322</v>
      </c>
      <c r="C11" s="203">
        <v>2.0</v>
      </c>
      <c r="D11" s="203">
        <v>6.0</v>
      </c>
      <c r="E11" s="203">
        <v>7.0</v>
      </c>
      <c r="F11" s="203">
        <v>4.0</v>
      </c>
      <c r="G11" s="156">
        <v>6.0</v>
      </c>
      <c r="H11" s="156">
        <v>2.0</v>
      </c>
      <c r="I11" s="156">
        <v>3.0</v>
      </c>
      <c r="J11" s="225">
        <v>8.0</v>
      </c>
      <c r="K11" s="225">
        <v>3.0</v>
      </c>
      <c r="L11" s="225">
        <v>4.0</v>
      </c>
      <c r="M11" s="225">
        <v>5.0</v>
      </c>
      <c r="N11" s="92"/>
      <c r="O11" s="92"/>
      <c r="P11" s="92"/>
      <c r="Q11" s="23">
        <f t="shared" si="1"/>
        <v>50</v>
      </c>
      <c r="R11" s="16">
        <f t="shared" si="4"/>
        <v>4.545454545</v>
      </c>
      <c r="S11" s="17">
        <f t="shared" si="3"/>
        <v>0.1201923077</v>
      </c>
    </row>
    <row r="12">
      <c r="A12" s="9">
        <v>10.0</v>
      </c>
      <c r="B12" s="9" t="s">
        <v>245</v>
      </c>
      <c r="C12" s="203">
        <v>2.0</v>
      </c>
      <c r="D12" s="203">
        <v>2.0</v>
      </c>
      <c r="E12" s="203">
        <v>1.0</v>
      </c>
      <c r="F12" s="203">
        <v>2.0</v>
      </c>
      <c r="G12" s="203">
        <v>1.0</v>
      </c>
      <c r="H12" s="203">
        <v>5.0</v>
      </c>
      <c r="I12" s="203">
        <v>1.0</v>
      </c>
      <c r="J12" s="225">
        <v>5.0</v>
      </c>
      <c r="K12" s="225">
        <v>4.0</v>
      </c>
      <c r="L12" s="225">
        <v>4.0</v>
      </c>
      <c r="M12" s="92"/>
      <c r="N12" s="92"/>
      <c r="O12" s="92"/>
      <c r="P12" s="92"/>
      <c r="Q12" s="23">
        <f t="shared" si="1"/>
        <v>27</v>
      </c>
      <c r="R12" s="16">
        <f>AVERAGE(C12:L12)</f>
        <v>2.7</v>
      </c>
      <c r="S12" s="17">
        <f t="shared" si="3"/>
        <v>0.06490384615</v>
      </c>
    </row>
    <row r="13">
      <c r="A13" s="9">
        <v>11.0</v>
      </c>
      <c r="B13" s="9" t="s">
        <v>323</v>
      </c>
      <c r="C13" s="156">
        <v>3.0</v>
      </c>
      <c r="D13" s="156">
        <v>4.0</v>
      </c>
      <c r="E13" s="156">
        <v>8.0</v>
      </c>
      <c r="F13" s="156">
        <v>5.0</v>
      </c>
      <c r="G13" s="203">
        <v>4.0</v>
      </c>
      <c r="H13" s="203">
        <v>4.0</v>
      </c>
      <c r="I13" s="203">
        <v>3.0</v>
      </c>
      <c r="J13" s="225">
        <v>7.0</v>
      </c>
      <c r="K13" s="225">
        <v>4.0</v>
      </c>
      <c r="L13" s="92"/>
      <c r="M13" s="92"/>
      <c r="N13" s="92"/>
      <c r="O13" s="92"/>
      <c r="P13" s="92"/>
      <c r="Q13" s="23">
        <f t="shared" si="1"/>
        <v>42</v>
      </c>
      <c r="R13" s="16">
        <f>AVERAGE(C13:K13)</f>
        <v>4.666666667</v>
      </c>
      <c r="S13" s="17">
        <f t="shared" si="3"/>
        <v>0.1009615385</v>
      </c>
    </row>
    <row r="14">
      <c r="A14" s="9">
        <v>12.0</v>
      </c>
      <c r="B14" s="9" t="s">
        <v>324</v>
      </c>
      <c r="C14" s="203">
        <v>4.0</v>
      </c>
      <c r="D14" s="203">
        <v>3.0</v>
      </c>
      <c r="E14" s="203">
        <v>1.0</v>
      </c>
      <c r="F14" s="203">
        <v>2.0</v>
      </c>
      <c r="G14" s="156">
        <v>3.0</v>
      </c>
      <c r="H14" s="156">
        <v>1.0</v>
      </c>
      <c r="I14" s="156">
        <v>0.0</v>
      </c>
      <c r="J14" s="225">
        <v>4.0</v>
      </c>
      <c r="K14" s="92"/>
      <c r="L14" s="92"/>
      <c r="M14" s="92"/>
      <c r="N14" s="92"/>
      <c r="O14" s="92"/>
      <c r="P14" s="92"/>
      <c r="Q14" s="23">
        <f t="shared" si="1"/>
        <v>18</v>
      </c>
      <c r="R14" s="16">
        <f>AVERAGE(C14:J14)</f>
        <v>2.25</v>
      </c>
      <c r="S14" s="17">
        <f t="shared" si="3"/>
        <v>0.04326923077</v>
      </c>
    </row>
    <row r="15">
      <c r="A15" s="9">
        <v>13.0</v>
      </c>
      <c r="B15" s="9" t="s">
        <v>325</v>
      </c>
      <c r="C15" s="156">
        <v>0.0</v>
      </c>
      <c r="D15" s="156">
        <v>4.0</v>
      </c>
      <c r="E15" s="156">
        <v>4.0</v>
      </c>
      <c r="F15" s="156">
        <v>3.0</v>
      </c>
      <c r="G15" s="203">
        <v>0.0</v>
      </c>
      <c r="H15" s="203">
        <v>1.0</v>
      </c>
      <c r="I15" s="203">
        <v>2.0</v>
      </c>
      <c r="J15" s="148"/>
      <c r="K15" s="148"/>
      <c r="L15" s="148"/>
      <c r="M15" s="148"/>
      <c r="N15" s="148"/>
      <c r="O15" s="148"/>
      <c r="P15" s="148"/>
      <c r="Q15" s="23">
        <f t="shared" si="1"/>
        <v>14</v>
      </c>
      <c r="R15" s="16">
        <f>AVERAGE(C15:I15)</f>
        <v>2</v>
      </c>
      <c r="S15" s="17">
        <f t="shared" si="3"/>
        <v>0.03365384615</v>
      </c>
    </row>
    <row r="16">
      <c r="A16" s="9">
        <v>14.0</v>
      </c>
      <c r="B16" s="9" t="s">
        <v>326</v>
      </c>
      <c r="C16" s="156">
        <v>0.0</v>
      </c>
      <c r="D16" s="156">
        <v>0.0</v>
      </c>
      <c r="E16" s="156">
        <v>2.0</v>
      </c>
      <c r="F16" s="156">
        <v>1.0</v>
      </c>
      <c r="G16" s="156">
        <v>0.0</v>
      </c>
      <c r="H16" s="156">
        <v>3.0</v>
      </c>
      <c r="I16" s="148"/>
      <c r="J16" s="148"/>
      <c r="K16" s="148"/>
      <c r="L16" s="148"/>
      <c r="M16" s="148"/>
      <c r="N16" s="148"/>
      <c r="O16" s="148"/>
      <c r="P16" s="148"/>
      <c r="Q16" s="23">
        <f t="shared" si="1"/>
        <v>6</v>
      </c>
      <c r="R16" s="16">
        <f t="shared" ref="R16:R17" si="5">AVERAGE(C16:H16)</f>
        <v>1</v>
      </c>
      <c r="S16" s="17">
        <f t="shared" si="3"/>
        <v>0.01442307692</v>
      </c>
    </row>
    <row r="17">
      <c r="A17" s="9">
        <v>15.0</v>
      </c>
      <c r="B17" s="9" t="s">
        <v>327</v>
      </c>
      <c r="C17" s="203">
        <v>3.0</v>
      </c>
      <c r="D17" s="203">
        <v>0.0</v>
      </c>
      <c r="E17" s="203">
        <v>2.0</v>
      </c>
      <c r="F17" s="203">
        <v>1.0</v>
      </c>
      <c r="G17" s="203">
        <v>0.0</v>
      </c>
      <c r="H17" s="203">
        <v>1.0</v>
      </c>
      <c r="I17" s="148"/>
      <c r="J17" s="148"/>
      <c r="K17" s="148"/>
      <c r="L17" s="148"/>
      <c r="M17" s="148"/>
      <c r="N17" s="148"/>
      <c r="O17" s="148"/>
      <c r="P17" s="148"/>
      <c r="Q17" s="23">
        <f t="shared" si="1"/>
        <v>7</v>
      </c>
      <c r="R17" s="16">
        <f t="shared" si="5"/>
        <v>1.166666667</v>
      </c>
      <c r="S17" s="17">
        <f t="shared" si="3"/>
        <v>0.01682692308</v>
      </c>
    </row>
    <row r="18">
      <c r="A18" s="9">
        <v>16.0</v>
      </c>
      <c r="B18" s="9" t="s">
        <v>328</v>
      </c>
      <c r="C18" s="156">
        <v>0.0</v>
      </c>
      <c r="D18" s="156">
        <v>1.0</v>
      </c>
      <c r="E18" s="156">
        <v>3.0</v>
      </c>
      <c r="F18" s="156">
        <v>2.0</v>
      </c>
      <c r="G18" s="156">
        <v>2.0</v>
      </c>
      <c r="H18" s="148"/>
      <c r="I18" s="148"/>
      <c r="J18" s="148"/>
      <c r="K18" s="148"/>
      <c r="L18" s="148"/>
      <c r="M18" s="148"/>
      <c r="N18" s="148"/>
      <c r="O18" s="148"/>
      <c r="P18" s="148"/>
      <c r="Q18" s="23">
        <f t="shared" si="1"/>
        <v>8</v>
      </c>
      <c r="R18" s="16">
        <f>AVERAGE(C18:G18)</f>
        <v>1.6</v>
      </c>
      <c r="S18" s="17">
        <f t="shared" si="3"/>
        <v>0.01923076923</v>
      </c>
    </row>
    <row r="19">
      <c r="A19" s="9">
        <v>17.0</v>
      </c>
      <c r="B19" s="9" t="s">
        <v>329</v>
      </c>
      <c r="C19" s="156">
        <v>3.0</v>
      </c>
      <c r="D19" s="156">
        <v>3.0</v>
      </c>
      <c r="E19" s="156">
        <v>2.0</v>
      </c>
      <c r="F19" s="156">
        <v>3.0</v>
      </c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23">
        <f t="shared" si="1"/>
        <v>11</v>
      </c>
      <c r="R19" s="16">
        <f>AVERAGE(C19:F19)</f>
        <v>2.75</v>
      </c>
      <c r="S19" s="17">
        <f t="shared" si="3"/>
        <v>0.02644230769</v>
      </c>
    </row>
    <row r="20">
      <c r="A20" s="9">
        <v>18.0</v>
      </c>
      <c r="B20" s="9" t="s">
        <v>330</v>
      </c>
      <c r="C20" s="156">
        <v>7.0</v>
      </c>
      <c r="D20" s="156">
        <v>4.0</v>
      </c>
      <c r="E20" s="156">
        <v>1.0</v>
      </c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23">
        <f t="shared" si="1"/>
        <v>12</v>
      </c>
      <c r="R20" s="16">
        <f>AVERAGE(C20:E20)</f>
        <v>4</v>
      </c>
      <c r="S20" s="17">
        <f t="shared" si="3"/>
        <v>0.02884615385</v>
      </c>
    </row>
    <row r="21">
      <c r="A21" s="9">
        <v>19.0</v>
      </c>
      <c r="B21" s="9" t="s">
        <v>331</v>
      </c>
      <c r="C21" s="203">
        <v>5.0</v>
      </c>
      <c r="D21" s="203">
        <v>4.0</v>
      </c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23">
        <f t="shared" si="1"/>
        <v>9</v>
      </c>
      <c r="R21" s="16">
        <f>AVERAGE(C21:D21)</f>
        <v>4.5</v>
      </c>
      <c r="S21" s="17">
        <f t="shared" si="3"/>
        <v>0.02163461538</v>
      </c>
    </row>
    <row r="22">
      <c r="A22" s="9">
        <v>20.0</v>
      </c>
      <c r="B22" s="9" t="s">
        <v>332</v>
      </c>
      <c r="C22" s="156">
        <v>2.0</v>
      </c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23">
        <f t="shared" si="1"/>
        <v>2</v>
      </c>
      <c r="R22" s="16">
        <f>AVERAGE(C22)</f>
        <v>2</v>
      </c>
      <c r="S22" s="17">
        <f t="shared" si="3"/>
        <v>0.004807692308</v>
      </c>
    </row>
    <row r="23">
      <c r="A23" s="4" t="s">
        <v>40</v>
      </c>
      <c r="B23" s="3"/>
      <c r="C23" s="23">
        <f t="shared" ref="C23:Q23" si="6">SUM(C3:C22)</f>
        <v>40</v>
      </c>
      <c r="D23" s="23">
        <f t="shared" si="6"/>
        <v>46</v>
      </c>
      <c r="E23" s="23">
        <f t="shared" si="6"/>
        <v>35</v>
      </c>
      <c r="F23" s="23">
        <f t="shared" si="6"/>
        <v>28</v>
      </c>
      <c r="G23" s="23">
        <f t="shared" si="6"/>
        <v>27</v>
      </c>
      <c r="H23" s="23">
        <f t="shared" si="6"/>
        <v>29</v>
      </c>
      <c r="I23" s="23">
        <f t="shared" si="6"/>
        <v>21</v>
      </c>
      <c r="J23" s="23">
        <f t="shared" si="6"/>
        <v>33</v>
      </c>
      <c r="K23" s="23">
        <f t="shared" si="6"/>
        <v>22</v>
      </c>
      <c r="L23" s="23">
        <f t="shared" si="6"/>
        <v>33</v>
      </c>
      <c r="M23" s="23">
        <f t="shared" si="6"/>
        <v>23</v>
      </c>
      <c r="N23" s="23">
        <f t="shared" si="6"/>
        <v>26</v>
      </c>
      <c r="O23" s="23">
        <f t="shared" si="6"/>
        <v>18</v>
      </c>
      <c r="P23" s="23">
        <f t="shared" si="6"/>
        <v>35</v>
      </c>
      <c r="Q23" s="23">
        <f t="shared" si="6"/>
        <v>416</v>
      </c>
      <c r="R23" s="16"/>
      <c r="S23" s="82"/>
    </row>
    <row r="24">
      <c r="A24" s="35" t="s">
        <v>18</v>
      </c>
      <c r="B24" s="3"/>
      <c r="C24" s="16">
        <f>AVERAGE(C3:C22)</f>
        <v>2</v>
      </c>
      <c r="D24" s="16">
        <f>AVERAGE(D3:D21)</f>
        <v>2.421052632</v>
      </c>
      <c r="E24" s="16">
        <f>AVERAGE(E3:E20)</f>
        <v>1.944444444</v>
      </c>
      <c r="F24" s="16">
        <f>AVERAGE(F3:F19)</f>
        <v>1.647058824</v>
      </c>
      <c r="G24" s="16">
        <f>AVERAGE(G3:G18)</f>
        <v>1.6875</v>
      </c>
      <c r="H24" s="16">
        <f>AVERAGE(H3:H17)</f>
        <v>1.933333333</v>
      </c>
      <c r="I24" s="16">
        <f>AVERAGE(I3:I15)</f>
        <v>1.615384615</v>
      </c>
      <c r="J24" s="16">
        <f>AVERAGE(J3:J14)</f>
        <v>2.75</v>
      </c>
      <c r="K24" s="16">
        <f>AVERAGE(K3:K13)</f>
        <v>2</v>
      </c>
      <c r="L24" s="16">
        <f>AVERAGE(L3:L12)</f>
        <v>3.3</v>
      </c>
      <c r="M24" s="16">
        <f>AVERAGE(M3:M11)</f>
        <v>2.555555556</v>
      </c>
      <c r="N24" s="16">
        <f>AVERAGE(N3:N9)</f>
        <v>3.714285714</v>
      </c>
      <c r="O24" s="16">
        <f>AVERAGE(O3:O8)</f>
        <v>3</v>
      </c>
      <c r="P24" s="16">
        <f>AVERAGE(P3:P7)</f>
        <v>7</v>
      </c>
      <c r="Q24" s="16"/>
      <c r="R24" s="16"/>
      <c r="S24" s="82"/>
    </row>
    <row r="25">
      <c r="A25" s="4" t="s">
        <v>41</v>
      </c>
      <c r="B25" s="3"/>
      <c r="C25" s="40" t="str">
        <f>HYPERLINK("https://docs.google.com/document/d/1i2X18sYdCsZYUecF8M3Uowz90SOTfv_G2RBcMZOe8RU/edit?usp=sharing","Link")</f>
        <v>Link</v>
      </c>
      <c r="D25" s="40" t="str">
        <f>HYPERLINK("https://docs.google.com/document/d/1CNuFZ8FjyussytMSNVMWJBCOHSHg-I0EiZwOS7m-m0g/edit?usp=sharing","Link")</f>
        <v>Link</v>
      </c>
      <c r="E25" s="40" t="str">
        <f>HYPERLINK("https://docs.google.com/document/d/1hhwPy2N-G4lMgb-eEtPaLgTf8MwVYuCy1KzCusj-aeE/edit?usp=sharing","Link")</f>
        <v>Link</v>
      </c>
      <c r="F25" s="40" t="str">
        <f>HYPERLINK("https://docs.google.com/document/d/1Nad3gLzMoOPweqW2_A0yeLcSJpHDAiVusnk4SqmiadI/edit?usp=sharing","Link")</f>
        <v>Link</v>
      </c>
      <c r="G25" s="40" t="str">
        <f>HYPERLINK("https://docs.google.com/document/d/1EUk3Q5iNtjK6alDovscmV62XZz1stXXrm2Whj7D93wg/edit?usp=sharing","Link")</f>
        <v>Link</v>
      </c>
      <c r="H25" s="40" t="str">
        <f>HYPERLINK("https://docs.google.com/document/d/1MK3WyzNYszAjalpwg9geI5p_gRlOT5Mrrb1kEekRXh8/edit?usp=sharing","Link")</f>
        <v>Link</v>
      </c>
      <c r="I25" s="40" t="str">
        <f>HYPERLINK("https://docs.google.com/document/d/1WVM-4n57Z2xe9pFvDZ_raf82sw7RJK-mSfrcLLDnHyA/edit?usp=sharing","Link")</f>
        <v>Link</v>
      </c>
      <c r="J25" s="40" t="str">
        <f>HYPERLINK("https://docs.google.com/document/d/1AT1nHkVsJyfSyeJxw8zs0D5hZv2O7JLmQ3ukZZ-3E_Q/edit?usp=sharing","Link")</f>
        <v>Link</v>
      </c>
      <c r="K25" s="40" t="str">
        <f>HYPERLINK("https://docs.google.com/document/d/1hzrgfHlvnqs3NV1pmBQ-iFGfWnU6crOzKRn2wxJ06AY/edit?usp=sharing","Link")</f>
        <v>Link</v>
      </c>
      <c r="L25" s="40" t="str">
        <f>HYPERLINK("https://docs.google.com/document/d/1iZjSE3XbOClXHPPchUquyJAdEs-vZQhDBz9y4s5JfWk/edit?usp=sharing","Link")</f>
        <v>Link</v>
      </c>
      <c r="M25" s="40" t="str">
        <f>HYPERLINK("https://docs.google.com/document/d/1X_qgS37Slb8ReVgX7WZeU0aExDFOFQm2oxisVT-MpGU/edit?usp=sharing","Link")</f>
        <v>Link</v>
      </c>
      <c r="N25" s="40" t="str">
        <f>HYPERLINK("https://docs.google.com/document/d/1D17I0xtEb3r7HkXn0gg3Y-6eBWgiWTVuuMfCMbzWhMY/edit?usp=sharing","Link")</f>
        <v>Link</v>
      </c>
      <c r="O25" s="40" t="str">
        <f>HYPERLINK("https://docs.google.com/document/d/19rUiMJ3mtd1pqd6CLhWkoEMtAmOjFC1Y2HfYitI1V1w/edit?usp=sharing","Link")</f>
        <v>Link</v>
      </c>
      <c r="P25" s="40" t="str">
        <f>HYPERLINK("https://docs.google.com/document/d/1w1CDoGUriqBaAxl6hom-inYg8zPmOLz3CUkNeD1kNgQ/edit?usp=sharing","Link")</f>
        <v>Link</v>
      </c>
      <c r="Q25" s="83" t="str">
        <f>HYPERLINK("https://docs.google.com/document/d/1ByHrP8CxJLFPI8nZ_cHvwprlW_EmYOf0PXo6Deg9U-w/edit?usp=sharing","Season Transcript")</f>
        <v>Season Transcript</v>
      </c>
      <c r="R25" s="3"/>
      <c r="S25" s="226" t="str">
        <f>HYPERLINK("https://docs.google.com/document/d/13fD3qYCybzAFAZWp0-C9OU3rAMSe4YBqPsM_JHqC-Po/edit?usp=sharing","Differences")</f>
        <v>Differences</v>
      </c>
    </row>
    <row r="26"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  <c r="S26" s="150"/>
    </row>
    <row r="27">
      <c r="A27" s="169" t="s">
        <v>333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152"/>
    </row>
    <row r="28">
      <c r="A28" s="206" t="s">
        <v>334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152"/>
    </row>
    <row r="29">
      <c r="A29" s="227" t="s">
        <v>335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152"/>
    </row>
  </sheetData>
  <mergeCells count="10">
    <mergeCell ref="A27:B27"/>
    <mergeCell ref="A28:B28"/>
    <mergeCell ref="A29:B29"/>
    <mergeCell ref="A1:S1"/>
    <mergeCell ref="A2:B2"/>
    <mergeCell ref="A23:B23"/>
    <mergeCell ref="A24:B24"/>
    <mergeCell ref="A25:B25"/>
    <mergeCell ref="Q25:R25"/>
    <mergeCell ref="A26:B26"/>
  </mergeCells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336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7" t="s">
        <v>18</v>
      </c>
      <c r="S2" s="8" t="s">
        <v>19</v>
      </c>
    </row>
    <row r="3">
      <c r="A3" s="9">
        <v>1.0</v>
      </c>
      <c r="B3" s="9" t="s">
        <v>228</v>
      </c>
      <c r="C3" s="228">
        <v>1.0</v>
      </c>
      <c r="D3" s="177">
        <v>0.0</v>
      </c>
      <c r="E3" s="177">
        <v>2.0</v>
      </c>
      <c r="F3" s="177">
        <v>3.0</v>
      </c>
      <c r="G3" s="177">
        <v>6.0</v>
      </c>
      <c r="H3" s="177">
        <v>3.0</v>
      </c>
      <c r="I3" s="59">
        <v>4.0</v>
      </c>
      <c r="J3" s="60">
        <v>4.0</v>
      </c>
      <c r="K3" s="60">
        <v>3.0</v>
      </c>
      <c r="L3" s="60">
        <v>2.0</v>
      </c>
      <c r="M3" s="60">
        <v>2.0</v>
      </c>
      <c r="N3" s="60">
        <v>3.0</v>
      </c>
      <c r="O3" s="60">
        <v>6.0</v>
      </c>
      <c r="P3" s="61">
        <v>11.0</v>
      </c>
      <c r="Q3" s="23">
        <f t="shared" ref="Q3:Q5" si="1">SUM(C3:P3)</f>
        <v>50</v>
      </c>
      <c r="R3" s="16">
        <f t="shared" ref="R3:R5" si="2">AVERAGE(C3:P3)</f>
        <v>3.571428571</v>
      </c>
      <c r="S3" s="17">
        <f t="shared" ref="S3:S18" si="3">Q3/Q$19</f>
        <v>0.1240694789</v>
      </c>
    </row>
    <row r="4">
      <c r="A4" s="9">
        <v>2.0</v>
      </c>
      <c r="B4" s="9" t="s">
        <v>337</v>
      </c>
      <c r="C4" s="229">
        <v>3.0</v>
      </c>
      <c r="D4" s="177">
        <v>1.0</v>
      </c>
      <c r="E4" s="177">
        <v>0.0</v>
      </c>
      <c r="F4" s="177">
        <v>3.0</v>
      </c>
      <c r="G4" s="177">
        <v>1.0</v>
      </c>
      <c r="H4" s="177">
        <v>3.0</v>
      </c>
      <c r="I4" s="55">
        <v>0.0</v>
      </c>
      <c r="J4" s="56">
        <v>4.0</v>
      </c>
      <c r="K4" s="56">
        <v>3.0</v>
      </c>
      <c r="L4" s="56">
        <v>2.0</v>
      </c>
      <c r="M4" s="56">
        <v>4.0</v>
      </c>
      <c r="N4" s="56">
        <v>3.0</v>
      </c>
      <c r="O4" s="56">
        <v>5.0</v>
      </c>
      <c r="P4" s="57">
        <v>10.0</v>
      </c>
      <c r="Q4" s="23">
        <f t="shared" si="1"/>
        <v>42</v>
      </c>
      <c r="R4" s="16">
        <f t="shared" si="2"/>
        <v>3</v>
      </c>
      <c r="S4" s="17">
        <f t="shared" si="3"/>
        <v>0.1042183623</v>
      </c>
    </row>
    <row r="5">
      <c r="A5" s="9">
        <v>3.0</v>
      </c>
      <c r="B5" s="9" t="s">
        <v>165</v>
      </c>
      <c r="C5" s="230">
        <v>1.0</v>
      </c>
      <c r="D5" s="230">
        <v>2.0</v>
      </c>
      <c r="E5" s="230">
        <v>4.0</v>
      </c>
      <c r="F5" s="230">
        <v>4.0</v>
      </c>
      <c r="G5" s="230">
        <v>1.0</v>
      </c>
      <c r="H5" s="230">
        <v>4.0</v>
      </c>
      <c r="I5" s="55">
        <v>7.0</v>
      </c>
      <c r="J5" s="56">
        <v>5.0</v>
      </c>
      <c r="K5" s="56">
        <v>3.0</v>
      </c>
      <c r="L5" s="56">
        <v>5.0</v>
      </c>
      <c r="M5" s="56">
        <v>7.0</v>
      </c>
      <c r="N5" s="56">
        <v>7.0</v>
      </c>
      <c r="O5" s="56">
        <v>3.0</v>
      </c>
      <c r="P5" s="159">
        <v>4.0</v>
      </c>
      <c r="Q5" s="23">
        <f t="shared" si="1"/>
        <v>57</v>
      </c>
      <c r="R5" s="16">
        <f t="shared" si="2"/>
        <v>4.071428571</v>
      </c>
      <c r="S5" s="17">
        <f t="shared" si="3"/>
        <v>0.141439206</v>
      </c>
    </row>
    <row r="6">
      <c r="A6" s="9">
        <v>4.0</v>
      </c>
      <c r="B6" s="9" t="s">
        <v>99</v>
      </c>
      <c r="C6" s="177">
        <v>5.0</v>
      </c>
      <c r="D6" s="177">
        <v>3.0</v>
      </c>
      <c r="E6" s="177">
        <v>1.0</v>
      </c>
      <c r="F6" s="177">
        <v>4.0</v>
      </c>
      <c r="G6" s="177">
        <v>5.0</v>
      </c>
      <c r="H6" s="177">
        <v>5.0</v>
      </c>
      <c r="I6" s="55">
        <v>1.0</v>
      </c>
      <c r="J6" s="56">
        <v>3.0</v>
      </c>
      <c r="K6" s="56">
        <v>6.0</v>
      </c>
      <c r="L6" s="56">
        <v>8.0</v>
      </c>
      <c r="M6" s="56">
        <v>8.0</v>
      </c>
      <c r="N6" s="56">
        <v>9.0</v>
      </c>
      <c r="O6" s="160">
        <v>7.0</v>
      </c>
      <c r="P6" s="161"/>
      <c r="Q6" s="23">
        <f>SUM(C6:O6)</f>
        <v>65</v>
      </c>
      <c r="R6" s="16">
        <f>AVERAGE(C6:O6)</f>
        <v>5</v>
      </c>
      <c r="S6" s="17">
        <f t="shared" si="3"/>
        <v>0.1612903226</v>
      </c>
    </row>
    <row r="7">
      <c r="A7" s="9">
        <v>5.0</v>
      </c>
      <c r="B7" s="9" t="s">
        <v>338</v>
      </c>
      <c r="C7" s="230">
        <v>2.0</v>
      </c>
      <c r="D7" s="177">
        <v>6.0</v>
      </c>
      <c r="E7" s="177">
        <v>2.0</v>
      </c>
      <c r="F7" s="177">
        <v>1.0</v>
      </c>
      <c r="G7" s="177">
        <v>2.0</v>
      </c>
      <c r="H7" s="177">
        <v>4.0</v>
      </c>
      <c r="I7" s="55">
        <v>6.0</v>
      </c>
      <c r="J7" s="56">
        <v>0.0</v>
      </c>
      <c r="K7" s="56">
        <v>0.0</v>
      </c>
      <c r="L7" s="56">
        <v>7.0</v>
      </c>
      <c r="M7" s="56">
        <v>1.0</v>
      </c>
      <c r="N7" s="162">
        <v>6.0</v>
      </c>
      <c r="O7" s="69"/>
      <c r="P7" s="67"/>
      <c r="Q7" s="23">
        <f t="shared" ref="Q7:Q18" si="4">SUM(C7:P7)</f>
        <v>37</v>
      </c>
      <c r="R7" s="16">
        <f>AVERAGE(C7:N7)</f>
        <v>3.083333333</v>
      </c>
      <c r="S7" s="17">
        <f t="shared" si="3"/>
        <v>0.09181141439</v>
      </c>
    </row>
    <row r="8">
      <c r="A8" s="9">
        <v>6.0</v>
      </c>
      <c r="B8" s="9" t="s">
        <v>339</v>
      </c>
      <c r="C8" s="229">
        <v>3.0</v>
      </c>
      <c r="D8" s="177">
        <v>3.0</v>
      </c>
      <c r="E8" s="177">
        <v>2.0</v>
      </c>
      <c r="F8" s="177">
        <v>0.0</v>
      </c>
      <c r="G8" s="177">
        <v>2.0</v>
      </c>
      <c r="H8" s="177">
        <v>0.0</v>
      </c>
      <c r="I8" s="55">
        <v>3.0</v>
      </c>
      <c r="J8" s="56">
        <v>2.0</v>
      </c>
      <c r="K8" s="56">
        <v>1.0</v>
      </c>
      <c r="L8" s="56">
        <v>3.0</v>
      </c>
      <c r="M8" s="162">
        <v>4.0</v>
      </c>
      <c r="N8" s="69"/>
      <c r="O8" s="69"/>
      <c r="P8" s="67"/>
      <c r="Q8" s="23">
        <f t="shared" si="4"/>
        <v>23</v>
      </c>
      <c r="R8" s="16">
        <f>AVERAGE(C8:M8)</f>
        <v>2.090909091</v>
      </c>
      <c r="S8" s="17">
        <f t="shared" si="3"/>
        <v>0.0570719603</v>
      </c>
    </row>
    <row r="9">
      <c r="A9" s="9">
        <v>7.0</v>
      </c>
      <c r="B9" s="9" t="s">
        <v>340</v>
      </c>
      <c r="C9" s="230">
        <v>0.0</v>
      </c>
      <c r="D9" s="177">
        <v>2.0</v>
      </c>
      <c r="E9" s="177">
        <v>4.0</v>
      </c>
      <c r="F9" s="177">
        <v>1.0</v>
      </c>
      <c r="G9" s="177">
        <v>2.0</v>
      </c>
      <c r="H9" s="177">
        <v>0.0</v>
      </c>
      <c r="I9" s="55">
        <v>6.0</v>
      </c>
      <c r="J9" s="56">
        <v>2.0</v>
      </c>
      <c r="K9" s="56">
        <v>1.0</v>
      </c>
      <c r="L9" s="162">
        <v>3.0</v>
      </c>
      <c r="M9" s="69"/>
      <c r="N9" s="69"/>
      <c r="O9" s="69"/>
      <c r="P9" s="67"/>
      <c r="Q9" s="23">
        <f t="shared" si="4"/>
        <v>21</v>
      </c>
      <c r="R9" s="16">
        <f>AVERAGE(C9:L9)</f>
        <v>2.1</v>
      </c>
      <c r="S9" s="17">
        <f t="shared" si="3"/>
        <v>0.05210918114</v>
      </c>
    </row>
    <row r="10">
      <c r="A10" s="9">
        <v>8.0</v>
      </c>
      <c r="B10" s="9" t="s">
        <v>341</v>
      </c>
      <c r="C10" s="229">
        <v>2.0</v>
      </c>
      <c r="D10" s="230">
        <v>2.0</v>
      </c>
      <c r="E10" s="230">
        <v>5.0</v>
      </c>
      <c r="F10" s="230">
        <v>5.0</v>
      </c>
      <c r="G10" s="230">
        <v>1.0</v>
      </c>
      <c r="H10" s="230">
        <v>2.0</v>
      </c>
      <c r="I10" s="55">
        <v>2.0</v>
      </c>
      <c r="J10" s="56">
        <v>7.0</v>
      </c>
      <c r="K10" s="162">
        <v>3.0</v>
      </c>
      <c r="L10" s="69"/>
      <c r="M10" s="69"/>
      <c r="N10" s="69"/>
      <c r="O10" s="69"/>
      <c r="P10" s="67"/>
      <c r="Q10" s="23">
        <f t="shared" si="4"/>
        <v>29</v>
      </c>
      <c r="R10" s="16">
        <f>AVERAGE(C10:K10)</f>
        <v>3.222222222</v>
      </c>
      <c r="S10" s="17">
        <f t="shared" si="3"/>
        <v>0.07196029777</v>
      </c>
    </row>
    <row r="11">
      <c r="A11" s="9">
        <v>9.0</v>
      </c>
      <c r="B11" s="9" t="s">
        <v>342</v>
      </c>
      <c r="C11" s="228">
        <v>2.0</v>
      </c>
      <c r="D11" s="230">
        <v>1.0</v>
      </c>
      <c r="E11" s="230">
        <v>4.0</v>
      </c>
      <c r="F11" s="230">
        <v>6.0</v>
      </c>
      <c r="G11" s="230">
        <v>3.0</v>
      </c>
      <c r="H11" s="230">
        <v>4.0</v>
      </c>
      <c r="I11" s="55">
        <v>7.0</v>
      </c>
      <c r="J11" s="162">
        <v>5.0</v>
      </c>
      <c r="K11" s="69"/>
      <c r="L11" s="69"/>
      <c r="M11" s="69"/>
      <c r="N11" s="69"/>
      <c r="O11" s="69"/>
      <c r="P11" s="67"/>
      <c r="Q11" s="23">
        <f t="shared" si="4"/>
        <v>32</v>
      </c>
      <c r="R11" s="16">
        <f>AVERAGE(C11:J11)</f>
        <v>4</v>
      </c>
      <c r="S11" s="17">
        <f t="shared" si="3"/>
        <v>0.0794044665</v>
      </c>
    </row>
    <row r="12">
      <c r="A12" s="9">
        <v>10.0</v>
      </c>
      <c r="B12" s="9" t="s">
        <v>26</v>
      </c>
      <c r="C12" s="228">
        <v>1.0</v>
      </c>
      <c r="D12" s="230">
        <v>1.0</v>
      </c>
      <c r="E12" s="230">
        <v>2.0</v>
      </c>
      <c r="F12" s="230">
        <v>2.0</v>
      </c>
      <c r="G12" s="230">
        <v>1.0</v>
      </c>
      <c r="H12" s="230">
        <v>1.0</v>
      </c>
      <c r="I12" s="163">
        <v>6.0</v>
      </c>
      <c r="J12" s="69"/>
      <c r="K12" s="69"/>
      <c r="L12" s="69"/>
      <c r="M12" s="69"/>
      <c r="N12" s="69"/>
      <c r="O12" s="69"/>
      <c r="P12" s="67"/>
      <c r="Q12" s="23">
        <f t="shared" si="4"/>
        <v>14</v>
      </c>
      <c r="R12" s="16">
        <f>AVERAGE(C12:I12)</f>
        <v>2</v>
      </c>
      <c r="S12" s="17">
        <f t="shared" si="3"/>
        <v>0.03473945409</v>
      </c>
    </row>
    <row r="13">
      <c r="A13" s="9">
        <v>11.0</v>
      </c>
      <c r="B13" s="9" t="s">
        <v>177</v>
      </c>
      <c r="C13" s="230">
        <v>1.0</v>
      </c>
      <c r="D13" s="230">
        <v>1.0</v>
      </c>
      <c r="E13" s="230">
        <v>1.0</v>
      </c>
      <c r="F13" s="230">
        <v>4.0</v>
      </c>
      <c r="G13" s="230">
        <v>1.0</v>
      </c>
      <c r="H13" s="231">
        <v>3.0</v>
      </c>
      <c r="I13" s="76"/>
      <c r="J13" s="76"/>
      <c r="K13" s="76"/>
      <c r="L13" s="76"/>
      <c r="M13" s="76"/>
      <c r="N13" s="76"/>
      <c r="O13" s="76"/>
      <c r="P13" s="77"/>
      <c r="Q13" s="23">
        <f t="shared" si="4"/>
        <v>11</v>
      </c>
      <c r="R13" s="16">
        <f>AVERAGE(C13:H13)</f>
        <v>1.833333333</v>
      </c>
      <c r="S13" s="17">
        <f t="shared" si="3"/>
        <v>0.02729528536</v>
      </c>
    </row>
    <row r="14">
      <c r="A14" s="9">
        <v>12.0</v>
      </c>
      <c r="B14" s="9" t="s">
        <v>343</v>
      </c>
      <c r="C14" s="228">
        <v>1.0</v>
      </c>
      <c r="D14" s="177">
        <v>0.0</v>
      </c>
      <c r="E14" s="177">
        <v>2.0</v>
      </c>
      <c r="F14" s="177">
        <v>1.0</v>
      </c>
      <c r="G14" s="181">
        <v>1.0</v>
      </c>
      <c r="H14" s="76"/>
      <c r="I14" s="76"/>
      <c r="J14" s="76"/>
      <c r="K14" s="76"/>
      <c r="L14" s="76"/>
      <c r="M14" s="76"/>
      <c r="N14" s="76"/>
      <c r="O14" s="76"/>
      <c r="P14" s="77"/>
      <c r="Q14" s="23">
        <f t="shared" si="4"/>
        <v>5</v>
      </c>
      <c r="R14" s="16">
        <f>AVERAGE(C14:G14)</f>
        <v>1</v>
      </c>
      <c r="S14" s="17">
        <f t="shared" si="3"/>
        <v>0.01240694789</v>
      </c>
    </row>
    <row r="15">
      <c r="A15" s="9">
        <v>13.0</v>
      </c>
      <c r="B15" s="9" t="s">
        <v>344</v>
      </c>
      <c r="C15" s="177">
        <v>1.0</v>
      </c>
      <c r="D15" s="230">
        <v>0.0</v>
      </c>
      <c r="E15" s="230">
        <v>1.0</v>
      </c>
      <c r="F15" s="231">
        <v>2.0</v>
      </c>
      <c r="G15" s="76"/>
      <c r="H15" s="76"/>
      <c r="I15" s="76"/>
      <c r="J15" s="76"/>
      <c r="K15" s="76"/>
      <c r="L15" s="76"/>
      <c r="M15" s="76"/>
      <c r="N15" s="76"/>
      <c r="O15" s="76"/>
      <c r="P15" s="77"/>
      <c r="Q15" s="23">
        <f t="shared" si="4"/>
        <v>4</v>
      </c>
      <c r="R15" s="16">
        <f>AVERAGE(C15:F15)</f>
        <v>1</v>
      </c>
      <c r="S15" s="17">
        <f t="shared" si="3"/>
        <v>0.009925558313</v>
      </c>
    </row>
    <row r="16">
      <c r="A16" s="9">
        <v>14.0</v>
      </c>
      <c r="B16" s="9" t="s">
        <v>345</v>
      </c>
      <c r="C16" s="229">
        <v>3.0</v>
      </c>
      <c r="D16" s="230">
        <v>0.0</v>
      </c>
      <c r="E16" s="231">
        <v>2.0</v>
      </c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7"/>
      <c r="Q16" s="23">
        <f t="shared" si="4"/>
        <v>5</v>
      </c>
      <c r="R16" s="16">
        <f>AVERAGE(C16:E16)</f>
        <v>1.666666667</v>
      </c>
      <c r="S16" s="17">
        <f t="shared" si="3"/>
        <v>0.01240694789</v>
      </c>
    </row>
    <row r="17">
      <c r="A17" s="9">
        <v>15.0</v>
      </c>
      <c r="B17" s="9" t="s">
        <v>346</v>
      </c>
      <c r="C17" s="177">
        <v>2.0</v>
      </c>
      <c r="D17" s="181">
        <v>3.0</v>
      </c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23">
        <f t="shared" si="4"/>
        <v>5</v>
      </c>
      <c r="R17" s="16">
        <f>AVERAGE(C17:D17)</f>
        <v>2.5</v>
      </c>
      <c r="S17" s="17">
        <f t="shared" si="3"/>
        <v>0.01240694789</v>
      </c>
    </row>
    <row r="18">
      <c r="A18" s="9">
        <v>16.0</v>
      </c>
      <c r="B18" s="9" t="s">
        <v>224</v>
      </c>
      <c r="C18" s="232">
        <v>3.0</v>
      </c>
      <c r="D18" s="11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0"/>
      <c r="Q18" s="23">
        <f t="shared" si="4"/>
        <v>3</v>
      </c>
      <c r="R18" s="16">
        <f>AVERAGE(C18)</f>
        <v>3</v>
      </c>
      <c r="S18" s="17">
        <f t="shared" si="3"/>
        <v>0.007444168734</v>
      </c>
    </row>
    <row r="19">
      <c r="A19" s="4" t="s">
        <v>40</v>
      </c>
      <c r="B19" s="3"/>
      <c r="C19" s="23">
        <f t="shared" ref="C19:M19" si="5">SUM(C3:C18)</f>
        <v>31</v>
      </c>
      <c r="D19" s="23">
        <f t="shared" si="5"/>
        <v>25</v>
      </c>
      <c r="E19" s="23">
        <f t="shared" si="5"/>
        <v>32</v>
      </c>
      <c r="F19" s="23">
        <f t="shared" si="5"/>
        <v>36</v>
      </c>
      <c r="G19" s="23">
        <f t="shared" si="5"/>
        <v>26</v>
      </c>
      <c r="H19" s="23">
        <f t="shared" si="5"/>
        <v>29</v>
      </c>
      <c r="I19" s="23">
        <f t="shared" si="5"/>
        <v>42</v>
      </c>
      <c r="J19" s="23">
        <f t="shared" si="5"/>
        <v>32</v>
      </c>
      <c r="K19" s="23">
        <f t="shared" si="5"/>
        <v>20</v>
      </c>
      <c r="L19" s="23">
        <f t="shared" si="5"/>
        <v>30</v>
      </c>
      <c r="M19" s="23">
        <f t="shared" si="5"/>
        <v>26</v>
      </c>
      <c r="N19" s="23">
        <f>SUM(N3:N7)</f>
        <v>28</v>
      </c>
      <c r="O19" s="23">
        <f t="shared" ref="O19:Q19" si="6">SUM(O3:O18)</f>
        <v>21</v>
      </c>
      <c r="P19" s="23">
        <f t="shared" si="6"/>
        <v>25</v>
      </c>
      <c r="Q19" s="23">
        <f t="shared" si="6"/>
        <v>403</v>
      </c>
      <c r="R19" s="16"/>
      <c r="S19" s="82"/>
    </row>
    <row r="20">
      <c r="A20" s="35" t="s">
        <v>18</v>
      </c>
      <c r="B20" s="3"/>
      <c r="C20" s="16">
        <f>AVERAGE(C3:C18)</f>
        <v>1.9375</v>
      </c>
      <c r="D20" s="16">
        <f>AVERAGE(D3:D17)</f>
        <v>1.666666667</v>
      </c>
      <c r="E20" s="16">
        <f>AVERAGE(E3:E16)</f>
        <v>2.285714286</v>
      </c>
      <c r="F20" s="16">
        <f>AVERAGE(F3:F15)</f>
        <v>2.769230769</v>
      </c>
      <c r="G20" s="16">
        <f>AVERAGE(G3:G14)</f>
        <v>2.166666667</v>
      </c>
      <c r="H20" s="16">
        <f>AVERAGE(H3:H13)</f>
        <v>2.636363636</v>
      </c>
      <c r="I20" s="16">
        <f>AVERAGE(I3:I12)</f>
        <v>4.2</v>
      </c>
      <c r="J20" s="16">
        <f>AVERAGE(J3:J11)</f>
        <v>3.555555556</v>
      </c>
      <c r="K20" s="16">
        <f>AVERAGE(K3:K10)</f>
        <v>2.5</v>
      </c>
      <c r="L20" s="16">
        <f>AVERAGE(L3:L9)</f>
        <v>4.285714286</v>
      </c>
      <c r="M20" s="16">
        <f>AVERAGE(M3:M8)</f>
        <v>4.333333333</v>
      </c>
      <c r="N20" s="16">
        <f>AVERAGE(N3:N7)</f>
        <v>5.6</v>
      </c>
      <c r="O20" s="16">
        <f>AVERAGE(O3:O6)</f>
        <v>5.25</v>
      </c>
      <c r="P20" s="16">
        <f>AVERAGE(P3:P5)</f>
        <v>8.333333333</v>
      </c>
      <c r="Q20" s="16"/>
      <c r="R20" s="16"/>
      <c r="S20" s="16"/>
    </row>
    <row r="21">
      <c r="A21" s="4" t="s">
        <v>41</v>
      </c>
      <c r="B21" s="3"/>
      <c r="C21" s="40" t="str">
        <f>HYPERLINK("https://docs.google.com/document/d/1a8T_xL2KZayPnxETlA9I3tbDU3GjULGZjFqKmItpREs/edit?usp=sharing","Link")</f>
        <v>Link</v>
      </c>
      <c r="D21" s="40" t="str">
        <f>HYPERLINK("https://docs.google.com/document/d/1rl5S16zG9fU8QhvpEee0cfJD94BuO589VUj8fgHNKsQ/edit?usp=sharing","Link")</f>
        <v>Link</v>
      </c>
      <c r="E21" s="40" t="str">
        <f>HYPERLINK("https://docs.google.com/document/d/1UfIVDFzEsiwB5NKeFyHlWkxpMOI6Gn1iv1YSI7TL-uI/edit?usp=sharing","Link")</f>
        <v>Link</v>
      </c>
      <c r="F21" s="40" t="str">
        <f>HYPERLINK("https://docs.google.com/document/d/1DsdsdTuHqnlxY4yUWucEhvccYVIv55rJbh-dmY2gt7Y/edit?usp=sharing","Link")</f>
        <v>Link</v>
      </c>
      <c r="G21" s="40" t="str">
        <f>HYPERLINK("https://docs.google.com/document/d/1H4iq-cj7CQKRo-5tonUpWZRlszd4DVlyXYHpW4zgol4/edit?usp=sharing","Link")</f>
        <v>Link</v>
      </c>
      <c r="H21" s="40" t="str">
        <f>HYPERLINK("https://docs.google.com/document/d/11D9eHgg6_DAoBKCKGhoIe7xddNldJdojvYFvvZEkRM8/edit?usp=sharing","Link")</f>
        <v>Link</v>
      </c>
      <c r="I21" s="40" t="str">
        <f>HYPERLINK("https://docs.google.com/document/d/1Dk3LhudJd2RsdmM7D_gyYj6Ohd-6ZOOTYeiXwR-wUe4/edit?usp=sharing","Link")</f>
        <v>Link</v>
      </c>
      <c r="J21" s="40" t="str">
        <f>HYPERLINK("https://docs.google.com/document/d/1c6FMQqGiz78XnVneYJp4vSHprLW57E_0GK7nLMPvAmo/edit?usp=sharing","Link")</f>
        <v>Link</v>
      </c>
      <c r="K21" s="40" t="str">
        <f>HYPERLINK("https://docs.google.com/document/d/1qDVn0RB4vZigwhvm7jpRFzpoxv3fXq3TPZLQ4ypkMS0/edit?usp=sharing","Link")</f>
        <v>Link</v>
      </c>
      <c r="L21" s="40" t="str">
        <f>HYPERLINK("https://docs.google.com/document/d/1P8l1uJjiqjJO5F5ejH6EFfcOu9Q1l1Zn3we8_Z1-tiU/edit?usp=sharing","Link")</f>
        <v>Link</v>
      </c>
      <c r="M21" s="40" t="str">
        <f>HYPERLINK("https://docs.google.com/document/d/1pVx3FQtiaIX6atfLmDCF3BrGMK7-z3Ll8JoMaKJSptY/edit?usp=sharing","Link")</f>
        <v>Link</v>
      </c>
      <c r="N21" s="40" t="str">
        <f>HYPERLINK("https://docs.google.com/document/d/1ubKB9OzfYOGvbONW7gW3Sg2xn-F7BqZ_2DdxvSn-EoY/edit?usp=sharing","Link")</f>
        <v>Link</v>
      </c>
      <c r="O21" s="40" t="str">
        <f>HYPERLINK("https://docs.google.com/document/d/15dkivU_Bq55PGMD37WCbngsBWI9OhtWgQ1qzkRjpxx4/edit?usp=sharing","Link")</f>
        <v>Link</v>
      </c>
      <c r="P21" s="40" t="str">
        <f>HYPERLINK("https://docs.google.com/document/d/1e6i2vOVCgU6H6pFjG4TmxkCjTtkyeqaNa__tA_MGE4Q/edit?usp=sharing","Link")</f>
        <v>Link</v>
      </c>
      <c r="Q21" s="83" t="str">
        <f>HYPERLINK("https://docs.google.com/document/d/1LMWn_Z9YBDV4oQ85KTDMINYroIj5ilYk8iCcw8vKAY0/edit?usp=sharing","Season Transcript")</f>
        <v>Season Transcript</v>
      </c>
      <c r="R21" s="3"/>
      <c r="S21" s="138" t="str">
        <f>HYPERLINK("https://docs.google.com/document/d/1fcb--5ZfN_FcX-90xuo-iO3XpNo82g1ROErOJKxVYUQ/edit?usp=sharing","Differences")</f>
        <v>Differences</v>
      </c>
    </row>
    <row r="22"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3"/>
      <c r="S22" s="150"/>
    </row>
    <row r="23">
      <c r="A23" s="233" t="s">
        <v>347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152"/>
    </row>
    <row r="24">
      <c r="A24" s="234" t="s">
        <v>348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152"/>
    </row>
    <row r="25">
      <c r="A25" s="186" t="s">
        <v>349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152"/>
    </row>
    <row r="26">
      <c r="A26" s="235" t="s">
        <v>350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152"/>
    </row>
    <row r="27">
      <c r="A27" s="51" t="s">
        <v>351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152"/>
    </row>
  </sheetData>
  <mergeCells count="12">
    <mergeCell ref="A23:B23"/>
    <mergeCell ref="A24:B24"/>
    <mergeCell ref="A25:B25"/>
    <mergeCell ref="A26:B26"/>
    <mergeCell ref="A27:B27"/>
    <mergeCell ref="A1:S1"/>
    <mergeCell ref="A2:B2"/>
    <mergeCell ref="A19:B19"/>
    <mergeCell ref="A20:B20"/>
    <mergeCell ref="A21:B21"/>
    <mergeCell ref="Q21:R21"/>
    <mergeCell ref="A22:B22"/>
  </mergeCells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352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17</v>
      </c>
      <c r="R2" s="7" t="s">
        <v>18</v>
      </c>
      <c r="S2" s="8" t="s">
        <v>19</v>
      </c>
    </row>
    <row r="3">
      <c r="A3" s="9">
        <v>1.0</v>
      </c>
      <c r="B3" s="9" t="s">
        <v>38</v>
      </c>
      <c r="C3" s="236">
        <v>1.0</v>
      </c>
      <c r="D3" s="236">
        <v>1.0</v>
      </c>
      <c r="E3" s="236">
        <v>1.0</v>
      </c>
      <c r="F3" s="237">
        <v>1.0</v>
      </c>
      <c r="G3" s="237">
        <v>2.0</v>
      </c>
      <c r="H3" s="237">
        <v>0.0</v>
      </c>
      <c r="I3" s="237">
        <v>3.0</v>
      </c>
      <c r="J3" s="238">
        <v>4.0</v>
      </c>
      <c r="K3" s="238">
        <v>1.0</v>
      </c>
      <c r="L3" s="238">
        <v>4.0</v>
      </c>
      <c r="M3" s="238">
        <v>1.0</v>
      </c>
      <c r="N3" s="238">
        <v>7.0</v>
      </c>
      <c r="O3" s="238">
        <v>3.0</v>
      </c>
      <c r="P3" s="238">
        <v>11.0</v>
      </c>
      <c r="Q3" s="23">
        <f t="shared" ref="Q3:Q14" si="1">SUM(C3:P3)</f>
        <v>40</v>
      </c>
      <c r="R3" s="16">
        <f t="shared" ref="R3:R6" si="2">AVERAGE(C3:P3)</f>
        <v>2.857142857</v>
      </c>
      <c r="S3" s="17">
        <f t="shared" ref="S3:S20" si="3">Q3/Q$21</f>
        <v>0.09070294785</v>
      </c>
    </row>
    <row r="4">
      <c r="A4" s="9">
        <v>2.0</v>
      </c>
      <c r="B4" s="9" t="s">
        <v>353</v>
      </c>
      <c r="C4" s="237">
        <v>9.0</v>
      </c>
      <c r="D4" s="237">
        <v>5.0</v>
      </c>
      <c r="E4" s="237">
        <v>4.0</v>
      </c>
      <c r="F4" s="236">
        <v>2.0</v>
      </c>
      <c r="G4" s="236">
        <v>4.0</v>
      </c>
      <c r="H4" s="236">
        <v>0.0</v>
      </c>
      <c r="I4" s="236">
        <v>4.0</v>
      </c>
      <c r="J4" s="238">
        <v>4.0</v>
      </c>
      <c r="K4" s="238">
        <v>6.0</v>
      </c>
      <c r="L4" s="238">
        <v>4.0</v>
      </c>
      <c r="M4" s="238">
        <v>3.0</v>
      </c>
      <c r="N4" s="238">
        <v>4.0</v>
      </c>
      <c r="O4" s="238">
        <v>5.0</v>
      </c>
      <c r="P4" s="238">
        <v>9.0</v>
      </c>
      <c r="Q4" s="23">
        <f t="shared" si="1"/>
        <v>63</v>
      </c>
      <c r="R4" s="16">
        <f t="shared" si="2"/>
        <v>4.5</v>
      </c>
      <c r="S4" s="17">
        <f t="shared" si="3"/>
        <v>0.1428571429</v>
      </c>
    </row>
    <row r="5">
      <c r="A5" s="9">
        <v>3.0</v>
      </c>
      <c r="B5" s="9" t="s">
        <v>354</v>
      </c>
      <c r="C5" s="237">
        <v>2.0</v>
      </c>
      <c r="D5" s="237">
        <v>3.0</v>
      </c>
      <c r="E5" s="237">
        <v>2.0</v>
      </c>
      <c r="F5" s="236">
        <v>3.0</v>
      </c>
      <c r="G5" s="236">
        <v>0.0</v>
      </c>
      <c r="H5" s="236">
        <v>4.0</v>
      </c>
      <c r="I5" s="236">
        <v>1.0</v>
      </c>
      <c r="J5" s="238">
        <v>5.0</v>
      </c>
      <c r="K5" s="238">
        <v>2.0</v>
      </c>
      <c r="L5" s="238">
        <v>4.0</v>
      </c>
      <c r="M5" s="238">
        <v>8.0</v>
      </c>
      <c r="N5" s="238">
        <v>3.0</v>
      </c>
      <c r="O5" s="238">
        <v>7.0</v>
      </c>
      <c r="P5" s="238">
        <v>8.0</v>
      </c>
      <c r="Q5" s="23">
        <f t="shared" si="1"/>
        <v>52</v>
      </c>
      <c r="R5" s="16">
        <f t="shared" si="2"/>
        <v>3.714285714</v>
      </c>
      <c r="S5" s="17">
        <f t="shared" si="3"/>
        <v>0.1179138322</v>
      </c>
    </row>
    <row r="6">
      <c r="A6" s="9">
        <v>4.0</v>
      </c>
      <c r="B6" s="9" t="s">
        <v>355</v>
      </c>
      <c r="C6" s="237">
        <v>1.0</v>
      </c>
      <c r="D6" s="237">
        <v>3.0</v>
      </c>
      <c r="E6" s="237">
        <v>2.0</v>
      </c>
      <c r="F6" s="236">
        <v>0.0</v>
      </c>
      <c r="G6" s="236">
        <v>1.0</v>
      </c>
      <c r="H6" s="236">
        <v>0.0</v>
      </c>
      <c r="I6" s="236">
        <v>0.0</v>
      </c>
      <c r="J6" s="238">
        <v>1.0</v>
      </c>
      <c r="K6" s="238">
        <v>0.0</v>
      </c>
      <c r="L6" s="238">
        <v>1.0</v>
      </c>
      <c r="M6" s="238">
        <v>5.0</v>
      </c>
      <c r="N6" s="238">
        <v>0.0</v>
      </c>
      <c r="O6" s="238">
        <v>2.0</v>
      </c>
      <c r="P6" s="238">
        <v>5.0</v>
      </c>
      <c r="Q6" s="23">
        <f t="shared" si="1"/>
        <v>21</v>
      </c>
      <c r="R6" s="16">
        <f t="shared" si="2"/>
        <v>1.5</v>
      </c>
      <c r="S6" s="17">
        <f t="shared" si="3"/>
        <v>0.04761904762</v>
      </c>
    </row>
    <row r="7">
      <c r="A7" s="9">
        <v>5.0</v>
      </c>
      <c r="B7" s="9" t="s">
        <v>356</v>
      </c>
      <c r="C7" s="236">
        <v>4.0</v>
      </c>
      <c r="D7" s="236">
        <v>0.0</v>
      </c>
      <c r="E7" s="236">
        <v>3.0</v>
      </c>
      <c r="F7" s="236">
        <v>1.0</v>
      </c>
      <c r="G7" s="236">
        <v>1.0</v>
      </c>
      <c r="H7" s="236">
        <v>4.0</v>
      </c>
      <c r="I7" s="236">
        <v>1.0</v>
      </c>
      <c r="J7" s="238">
        <v>3.0</v>
      </c>
      <c r="K7" s="238">
        <v>0.0</v>
      </c>
      <c r="L7" s="238">
        <v>3.0</v>
      </c>
      <c r="M7" s="238">
        <v>5.0</v>
      </c>
      <c r="N7" s="238">
        <v>1.0</v>
      </c>
      <c r="O7" s="238">
        <v>10.0</v>
      </c>
      <c r="P7" s="92"/>
      <c r="Q7" s="23">
        <f t="shared" si="1"/>
        <v>36</v>
      </c>
      <c r="R7" s="16">
        <f>AVERAGE(C7:O7)</f>
        <v>2.769230769</v>
      </c>
      <c r="S7" s="17">
        <f t="shared" si="3"/>
        <v>0.08163265306</v>
      </c>
    </row>
    <row r="8">
      <c r="A8" s="9">
        <v>6.0</v>
      </c>
      <c r="B8" s="9" t="s">
        <v>357</v>
      </c>
      <c r="C8" s="236">
        <v>2.0</v>
      </c>
      <c r="D8" s="236">
        <v>2.0</v>
      </c>
      <c r="E8" s="236">
        <v>3.0</v>
      </c>
      <c r="F8" s="236">
        <v>4.0</v>
      </c>
      <c r="G8" s="236">
        <v>3.0</v>
      </c>
      <c r="H8" s="236">
        <v>3.0</v>
      </c>
      <c r="I8" s="236">
        <v>2.0</v>
      </c>
      <c r="J8" s="238">
        <v>1.0</v>
      </c>
      <c r="K8" s="238">
        <v>3.0</v>
      </c>
      <c r="L8" s="238">
        <v>8.0</v>
      </c>
      <c r="M8" s="238">
        <v>4.0</v>
      </c>
      <c r="N8" s="238">
        <v>5.0</v>
      </c>
      <c r="O8" s="92"/>
      <c r="P8" s="92"/>
      <c r="Q8" s="23">
        <f t="shared" si="1"/>
        <v>40</v>
      </c>
      <c r="R8" s="16">
        <f>AVERAGE(C8:N8)</f>
        <v>3.333333333</v>
      </c>
      <c r="S8" s="17">
        <f t="shared" si="3"/>
        <v>0.09070294785</v>
      </c>
    </row>
    <row r="9">
      <c r="A9" s="9">
        <v>7.0</v>
      </c>
      <c r="B9" s="9" t="s">
        <v>358</v>
      </c>
      <c r="C9" s="237">
        <v>2.0</v>
      </c>
      <c r="D9" s="237">
        <v>6.0</v>
      </c>
      <c r="E9" s="237">
        <v>2.0</v>
      </c>
      <c r="F9" s="237">
        <v>2.0</v>
      </c>
      <c r="G9" s="237">
        <v>2.0</v>
      </c>
      <c r="H9" s="237">
        <v>1.0</v>
      </c>
      <c r="I9" s="237">
        <v>2.0</v>
      </c>
      <c r="J9" s="238">
        <v>1.0</v>
      </c>
      <c r="K9" s="238">
        <v>7.0</v>
      </c>
      <c r="L9" s="238">
        <v>8.0</v>
      </c>
      <c r="M9" s="238">
        <v>5.0</v>
      </c>
      <c r="N9" s="92"/>
      <c r="O9" s="92"/>
      <c r="P9" s="92"/>
      <c r="Q9" s="23">
        <f t="shared" si="1"/>
        <v>38</v>
      </c>
      <c r="R9" s="16">
        <f>AVERAGE(C9:M9)</f>
        <v>3.454545455</v>
      </c>
      <c r="S9" s="17">
        <f t="shared" si="3"/>
        <v>0.08616780045</v>
      </c>
    </row>
    <row r="10">
      <c r="A10" s="9">
        <v>8.0</v>
      </c>
      <c r="B10" s="9" t="s">
        <v>359</v>
      </c>
      <c r="C10" s="237">
        <v>1.0</v>
      </c>
      <c r="D10" s="237">
        <v>1.0</v>
      </c>
      <c r="E10" s="237">
        <v>2.0</v>
      </c>
      <c r="F10" s="236">
        <v>1.0</v>
      </c>
      <c r="G10" s="236">
        <v>1.0</v>
      </c>
      <c r="H10" s="236">
        <v>1.0</v>
      </c>
      <c r="I10" s="236">
        <v>3.0</v>
      </c>
      <c r="J10" s="238">
        <v>3.0</v>
      </c>
      <c r="K10" s="238">
        <v>1.0</v>
      </c>
      <c r="L10" s="238">
        <v>2.0</v>
      </c>
      <c r="M10" s="92"/>
      <c r="N10" s="92"/>
      <c r="O10" s="92"/>
      <c r="P10" s="92"/>
      <c r="Q10" s="23">
        <f t="shared" si="1"/>
        <v>16</v>
      </c>
      <c r="R10" s="16">
        <f>AVERAGE(C10:L10)</f>
        <v>1.6</v>
      </c>
      <c r="S10" s="17">
        <f t="shared" si="3"/>
        <v>0.03628117914</v>
      </c>
    </row>
    <row r="11">
      <c r="A11" s="9">
        <v>9.0</v>
      </c>
      <c r="B11" s="9" t="s">
        <v>360</v>
      </c>
      <c r="C11" s="236">
        <v>5.0</v>
      </c>
      <c r="D11" s="236">
        <v>1.0</v>
      </c>
      <c r="E11" s="236">
        <v>3.0</v>
      </c>
      <c r="F11" s="237">
        <v>0.0</v>
      </c>
      <c r="G11" s="237">
        <v>1.0</v>
      </c>
      <c r="H11" s="237">
        <v>1.0</v>
      </c>
      <c r="I11" s="237">
        <v>7.0</v>
      </c>
      <c r="J11" s="238">
        <v>5.0</v>
      </c>
      <c r="K11" s="238">
        <v>4.0</v>
      </c>
      <c r="L11" s="92"/>
      <c r="M11" s="92"/>
      <c r="N11" s="92"/>
      <c r="O11" s="92"/>
      <c r="P11" s="92"/>
      <c r="Q11" s="23">
        <f t="shared" si="1"/>
        <v>27</v>
      </c>
      <c r="R11" s="16">
        <f>AVERAGE(C11:K11)</f>
        <v>3</v>
      </c>
      <c r="S11" s="17">
        <f t="shared" si="3"/>
        <v>0.0612244898</v>
      </c>
    </row>
    <row r="12">
      <c r="A12" s="9">
        <v>10.0</v>
      </c>
      <c r="B12" s="9" t="s">
        <v>250</v>
      </c>
      <c r="C12" s="236">
        <v>4.0</v>
      </c>
      <c r="D12" s="236">
        <v>2.0</v>
      </c>
      <c r="E12" s="236">
        <v>5.0</v>
      </c>
      <c r="F12" s="237">
        <v>1.0</v>
      </c>
      <c r="G12" s="237">
        <v>4.0</v>
      </c>
      <c r="H12" s="237">
        <v>2.0</v>
      </c>
      <c r="I12" s="237">
        <v>4.0</v>
      </c>
      <c r="J12" s="238">
        <v>6.0</v>
      </c>
      <c r="K12" s="92"/>
      <c r="L12" s="92"/>
      <c r="M12" s="92"/>
      <c r="N12" s="92"/>
      <c r="O12" s="92"/>
      <c r="P12" s="92"/>
      <c r="Q12" s="23">
        <f t="shared" si="1"/>
        <v>28</v>
      </c>
      <c r="R12" s="16">
        <f>AVERAGE(C12:J12)</f>
        <v>3.5</v>
      </c>
      <c r="S12" s="17">
        <f t="shared" si="3"/>
        <v>0.06349206349</v>
      </c>
    </row>
    <row r="13">
      <c r="A13" s="9">
        <v>11.0</v>
      </c>
      <c r="B13" s="9" t="s">
        <v>361</v>
      </c>
      <c r="C13" s="237">
        <v>1.0</v>
      </c>
      <c r="D13" s="237">
        <v>0.0</v>
      </c>
      <c r="E13" s="237">
        <v>4.0</v>
      </c>
      <c r="F13" s="237">
        <v>4.0</v>
      </c>
      <c r="G13" s="237">
        <v>4.0</v>
      </c>
      <c r="H13" s="237">
        <v>2.0</v>
      </c>
      <c r="I13" s="237">
        <v>7.0</v>
      </c>
      <c r="J13" s="148"/>
      <c r="K13" s="148"/>
      <c r="L13" s="148"/>
      <c r="M13" s="148"/>
      <c r="N13" s="148"/>
      <c r="O13" s="148"/>
      <c r="P13" s="148"/>
      <c r="Q13" s="23">
        <f t="shared" si="1"/>
        <v>22</v>
      </c>
      <c r="R13" s="16">
        <f>AVERAGE(C13:I13)</f>
        <v>3.142857143</v>
      </c>
      <c r="S13" s="17">
        <f t="shared" si="3"/>
        <v>0.04988662132</v>
      </c>
    </row>
    <row r="14">
      <c r="A14" s="9">
        <v>12.0</v>
      </c>
      <c r="B14" s="9" t="s">
        <v>362</v>
      </c>
      <c r="C14" s="237">
        <v>3.0</v>
      </c>
      <c r="D14" s="237">
        <v>1.0</v>
      </c>
      <c r="E14" s="237">
        <v>2.0</v>
      </c>
      <c r="F14" s="237">
        <v>3.0</v>
      </c>
      <c r="G14" s="237">
        <v>6.0</v>
      </c>
      <c r="H14" s="237">
        <v>3.0</v>
      </c>
      <c r="I14" s="148"/>
      <c r="J14" s="148"/>
      <c r="K14" s="148"/>
      <c r="L14" s="148"/>
      <c r="M14" s="148"/>
      <c r="N14" s="148"/>
      <c r="O14" s="148"/>
      <c r="P14" s="148"/>
      <c r="Q14" s="23">
        <f t="shared" si="1"/>
        <v>18</v>
      </c>
      <c r="R14" s="16">
        <f t="shared" ref="R14:R15" si="4">AVERAGE(C14:H14)</f>
        <v>3</v>
      </c>
      <c r="S14" s="17">
        <f t="shared" si="3"/>
        <v>0.04081632653</v>
      </c>
    </row>
    <row r="15">
      <c r="A15" s="9">
        <v>13.0</v>
      </c>
      <c r="B15" s="9" t="s">
        <v>363</v>
      </c>
      <c r="C15" s="236">
        <v>8.0</v>
      </c>
      <c r="D15" s="236">
        <v>2.0</v>
      </c>
      <c r="E15" s="236">
        <v>2.0</v>
      </c>
      <c r="F15" s="236">
        <v>4.0</v>
      </c>
      <c r="G15" s="236">
        <v>1.0</v>
      </c>
      <c r="H15" s="236">
        <v>4.0</v>
      </c>
      <c r="I15" s="148"/>
      <c r="J15" s="148"/>
      <c r="K15" s="148"/>
      <c r="L15" s="148"/>
      <c r="M15" s="148"/>
      <c r="N15" s="148"/>
      <c r="O15" s="148"/>
      <c r="P15" s="148"/>
      <c r="Q15" s="23">
        <f>SUM(C15:H15)</f>
        <v>21</v>
      </c>
      <c r="R15" s="16">
        <f t="shared" si="4"/>
        <v>3.5</v>
      </c>
      <c r="S15" s="17">
        <f t="shared" si="3"/>
        <v>0.04761904762</v>
      </c>
    </row>
    <row r="16">
      <c r="A16" s="9">
        <v>14.0</v>
      </c>
      <c r="B16" s="9" t="s">
        <v>364</v>
      </c>
      <c r="C16" s="236">
        <v>1.0</v>
      </c>
      <c r="D16" s="236">
        <v>2.0</v>
      </c>
      <c r="E16" s="236">
        <v>0.0</v>
      </c>
      <c r="F16" s="237">
        <v>1.0</v>
      </c>
      <c r="G16" s="237">
        <v>1.0</v>
      </c>
      <c r="H16" s="148"/>
      <c r="I16" s="148"/>
      <c r="J16" s="148"/>
      <c r="K16" s="148"/>
      <c r="L16" s="148"/>
      <c r="M16" s="148"/>
      <c r="N16" s="148"/>
      <c r="O16" s="148"/>
      <c r="P16" s="148"/>
      <c r="Q16" s="23">
        <f t="shared" ref="Q16:Q20" si="5">SUM(C16:P16)</f>
        <v>5</v>
      </c>
      <c r="R16" s="16">
        <f>AVERAGE(C16:G16)</f>
        <v>1</v>
      </c>
      <c r="S16" s="17">
        <f t="shared" si="3"/>
        <v>0.01133786848</v>
      </c>
    </row>
    <row r="17">
      <c r="A17" s="9">
        <v>15.0</v>
      </c>
      <c r="B17" s="9" t="s">
        <v>365</v>
      </c>
      <c r="C17" s="236">
        <v>2.0</v>
      </c>
      <c r="D17" s="236">
        <v>0.0</v>
      </c>
      <c r="E17" s="236">
        <v>1.0</v>
      </c>
      <c r="F17" s="236">
        <v>1.0</v>
      </c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23">
        <f t="shared" si="5"/>
        <v>4</v>
      </c>
      <c r="R17" s="16">
        <f>AVERAGE(C17:F17)</f>
        <v>1</v>
      </c>
      <c r="S17" s="17">
        <f t="shared" si="3"/>
        <v>0.009070294785</v>
      </c>
    </row>
    <row r="18">
      <c r="A18" s="9">
        <v>16.0</v>
      </c>
      <c r="B18" s="9" t="s">
        <v>366</v>
      </c>
      <c r="C18" s="237">
        <v>1.0</v>
      </c>
      <c r="D18" s="237">
        <v>1.0</v>
      </c>
      <c r="E18" s="237">
        <v>4.0</v>
      </c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23">
        <f t="shared" si="5"/>
        <v>6</v>
      </c>
      <c r="R18" s="16">
        <f>AVERAGE(C18:E18)</f>
        <v>2</v>
      </c>
      <c r="S18" s="17">
        <f t="shared" si="3"/>
        <v>0.01360544218</v>
      </c>
    </row>
    <row r="19">
      <c r="A19" s="9">
        <v>17.0</v>
      </c>
      <c r="B19" s="9" t="s">
        <v>65</v>
      </c>
      <c r="C19" s="237">
        <v>2.0</v>
      </c>
      <c r="D19" s="237">
        <v>0.0</v>
      </c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23">
        <f t="shared" si="5"/>
        <v>2</v>
      </c>
      <c r="R19" s="16">
        <f>AVERAGE(C19:D19)</f>
        <v>1</v>
      </c>
      <c r="S19" s="17">
        <f t="shared" si="3"/>
        <v>0.004535147392</v>
      </c>
    </row>
    <row r="20">
      <c r="A20" s="9">
        <v>18.0</v>
      </c>
      <c r="B20" s="9" t="s">
        <v>294</v>
      </c>
      <c r="C20" s="236">
        <v>2.0</v>
      </c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23">
        <f t="shared" si="5"/>
        <v>2</v>
      </c>
      <c r="R20" s="16">
        <f>AVERAGE(C20)</f>
        <v>2</v>
      </c>
      <c r="S20" s="17">
        <f t="shared" si="3"/>
        <v>0.004535147392</v>
      </c>
    </row>
    <row r="21">
      <c r="A21" s="4" t="s">
        <v>40</v>
      </c>
      <c r="B21" s="3"/>
      <c r="C21" s="23">
        <f t="shared" ref="C21:G21" si="6">SUM(C3:C20)</f>
        <v>51</v>
      </c>
      <c r="D21" s="23">
        <f t="shared" si="6"/>
        <v>30</v>
      </c>
      <c r="E21" s="23">
        <f t="shared" si="6"/>
        <v>40</v>
      </c>
      <c r="F21" s="23">
        <f t="shared" si="6"/>
        <v>28</v>
      </c>
      <c r="G21" s="23">
        <f t="shared" si="6"/>
        <v>31</v>
      </c>
      <c r="H21" s="23">
        <f>SUM(H3:H15)</f>
        <v>25</v>
      </c>
      <c r="I21" s="23">
        <f t="shared" ref="I21:Q21" si="7">SUM(I3:I20)</f>
        <v>34</v>
      </c>
      <c r="J21" s="23">
        <f t="shared" si="7"/>
        <v>33</v>
      </c>
      <c r="K21" s="23">
        <f t="shared" si="7"/>
        <v>24</v>
      </c>
      <c r="L21" s="23">
        <f t="shared" si="7"/>
        <v>34</v>
      </c>
      <c r="M21" s="23">
        <f t="shared" si="7"/>
        <v>31</v>
      </c>
      <c r="N21" s="23">
        <f t="shared" si="7"/>
        <v>20</v>
      </c>
      <c r="O21" s="23">
        <f t="shared" si="7"/>
        <v>27</v>
      </c>
      <c r="P21" s="23">
        <f t="shared" si="7"/>
        <v>33</v>
      </c>
      <c r="Q21" s="23">
        <f t="shared" si="7"/>
        <v>441</v>
      </c>
      <c r="R21" s="16"/>
      <c r="S21" s="82"/>
    </row>
    <row r="22">
      <c r="A22" s="35" t="s">
        <v>18</v>
      </c>
      <c r="B22" s="3"/>
      <c r="C22" s="16">
        <f>AVERAGE(C3:C20)</f>
        <v>2.833333333</v>
      </c>
      <c r="D22" s="16">
        <f>AVERAGE(D3:D19)</f>
        <v>1.764705882</v>
      </c>
      <c r="E22" s="16">
        <f>AVERAGE(E3:E18)</f>
        <v>2.5</v>
      </c>
      <c r="F22" s="16">
        <f>AVERAGE(F3:F17)</f>
        <v>1.866666667</v>
      </c>
      <c r="G22" s="16">
        <f>AVERAGE(G3:G16)</f>
        <v>2.214285714</v>
      </c>
      <c r="H22" s="16">
        <f>AVERAGE(H3:H15)</f>
        <v>1.923076923</v>
      </c>
      <c r="I22" s="16">
        <f>AVERAGE(I3:I13)</f>
        <v>3.090909091</v>
      </c>
      <c r="J22" s="16">
        <f>AVERAGE(J3:J12)</f>
        <v>3.3</v>
      </c>
      <c r="K22" s="16">
        <f>AVERAGE(K3:K11)</f>
        <v>2.666666667</v>
      </c>
      <c r="L22" s="16">
        <f>AVERAGE(L3:L10)</f>
        <v>4.25</v>
      </c>
      <c r="M22" s="16">
        <f>AVERAGE(M3:M9)</f>
        <v>4.428571429</v>
      </c>
      <c r="N22" s="16">
        <f>AVERAGE(N3:N8)</f>
        <v>3.333333333</v>
      </c>
      <c r="O22" s="16">
        <f>AVERAGE(O3:O7)</f>
        <v>5.4</v>
      </c>
      <c r="P22" s="16">
        <f>AVERAGE(P3:P6)</f>
        <v>8.25</v>
      </c>
      <c r="Q22" s="16"/>
      <c r="R22" s="16"/>
      <c r="S22" s="16"/>
    </row>
    <row r="23">
      <c r="A23" s="4" t="s">
        <v>41</v>
      </c>
      <c r="B23" s="3"/>
      <c r="C23" s="40" t="str">
        <f>HYPERLINK("https://docs.google.com/document/d/1aQyvdtFKWGb6YubW9eEAeRUMIq0zqr4MaG1OKSXYKUg/edit?usp=sharing","Link")</f>
        <v>Link</v>
      </c>
      <c r="D23" s="40" t="str">
        <f>HYPERLINK("https://docs.google.com/document/d/1tyVzKeM2MtpcUx41AIZ_qzkhMqrSLMna2anoiRpOlF0/edit?usp=sharing","Link")</f>
        <v>Link</v>
      </c>
      <c r="E23" s="40" t="str">
        <f>HYPERLINK("https://docs.google.com/document/d/1lvgarzUwDbCLImZYYSHYdy-jX0xPwGn1e-Am40dw9Yg/edit?usp=sharing","Link")</f>
        <v>Link</v>
      </c>
      <c r="F23" s="40" t="str">
        <f>HYPERLINK("https://docs.google.com/document/d/1psOL4GCNGzo2leKLqbS2gGLlS0-FJhqMcMM3WTdBP7U/edit?usp=sharing","Link")</f>
        <v>Link</v>
      </c>
      <c r="G23" s="40" t="str">
        <f>HYPERLINK("https://docs.google.com/document/d/1fAlkBXyCyW2CxscTdRWJczufwOcFV2d8Cyen-2URofo/edit?usp=sharing","Link")</f>
        <v>Link</v>
      </c>
      <c r="H23" s="40" t="str">
        <f>HYPERLINK("https://docs.google.com/document/d/19S0n1pg-1ejLMQdej3dBLEwD8qp6LhoHsDt1739TqhE/edit?usp=sharing","Link")</f>
        <v>Link</v>
      </c>
      <c r="I23" s="40" t="str">
        <f>HYPERLINK("https://docs.google.com/document/d/1qo20UGtSuxJj94UkUfbUGD7n6R_RALjqxhHsNPleL5k/edit?usp=sharing","Link")</f>
        <v>Link</v>
      </c>
      <c r="J23" s="40" t="str">
        <f>HYPERLINK("https://docs.google.com/document/d/1uwTyQa3Yur67s4ZOqkjqKlVLPXNt6n9tczQqdh86cz0/edit?usp=sharing","Link")</f>
        <v>Link</v>
      </c>
      <c r="K23" s="40" t="str">
        <f>HYPERLINK("https://docs.google.com/document/d/1elwMsyCm0QFWW_TYnucwp2JVBgilla95aq-t9bg_-YY/edit?usp=sharing","Link")</f>
        <v>Link</v>
      </c>
      <c r="L23" s="40" t="str">
        <f>HYPERLINK("https://docs.google.com/document/d/1mLREPLqnqP1HiAtc2YFSqvB_LM_mVsoAVanJqDn_aC4/edit?usp=sharing","Link")</f>
        <v>Link</v>
      </c>
      <c r="M23" s="40" t="str">
        <f>HYPERLINK("https://docs.google.com/document/d/1UtRWh_dS4XsJs8jqjyMRddzXSrQDlz7t9K3JEyxUGEU/edit?usp=sharing","Link")</f>
        <v>Link</v>
      </c>
      <c r="N23" s="40" t="str">
        <f>HYPERLINK("https://docs.google.com/document/d/1MGUANpt7zgfliPzxl_iznNaV8NNlXqximZRzX7K6jb0/edit?usp=sharing","Link")</f>
        <v>Link</v>
      </c>
      <c r="O23" s="40" t="str">
        <f>HYPERLINK("https://docs.google.com/document/d/1I_VUk7VcQgYgstwGe1WzmuoAm3FEGIYgZhEqHRB6t8M/edit?usp=sharing","Link")</f>
        <v>Link</v>
      </c>
      <c r="P23" s="40" t="str">
        <f>HYPERLINK("https://docs.google.com/document/d/1ho2n-3bR2LQx1jTRWQy5AcjCcZO12a-q8vfJ5Nrq0ww/edit?usp=sharing","Link")</f>
        <v>Link</v>
      </c>
      <c r="Q23" s="83" t="str">
        <f>HYPERLINK("https://docs.google.com/document/d/1oY1ux_Ci-8ONB5Iwiy9ZdnN1vcnBhX0Ik90kpvKER1k/edit?usp=sharing","Season Transcript")</f>
        <v>Season Transcript</v>
      </c>
      <c r="R23" s="3"/>
      <c r="S23" s="138" t="str">
        <f>HYPERLINK("https://docs.google.com/document/d/1Hv_HBCAJdw73zQK_j_NgOzOOV1Pcy9G_AB8zlJvbvVY/edit?usp=sharing","Differences")</f>
        <v>Differences</v>
      </c>
    </row>
    <row r="24"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  <c r="S24" s="150"/>
    </row>
    <row r="25">
      <c r="A25" s="239" t="s">
        <v>367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152"/>
    </row>
    <row r="26">
      <c r="A26" s="240" t="s">
        <v>368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152"/>
    </row>
    <row r="27">
      <c r="A27" s="241" t="s">
        <v>369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152"/>
    </row>
  </sheetData>
  <mergeCells count="10">
    <mergeCell ref="A25:B25"/>
    <mergeCell ref="A26:B26"/>
    <mergeCell ref="A27:B27"/>
    <mergeCell ref="A1:S1"/>
    <mergeCell ref="A2:B2"/>
    <mergeCell ref="A21:B21"/>
    <mergeCell ref="A22:B22"/>
    <mergeCell ref="A23:B23"/>
    <mergeCell ref="Q23:R23"/>
    <mergeCell ref="A24:B24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17</v>
      </c>
      <c r="R2" s="7" t="s">
        <v>18</v>
      </c>
      <c r="S2" s="8" t="s">
        <v>19</v>
      </c>
    </row>
    <row r="3">
      <c r="A3" s="9">
        <v>1.0</v>
      </c>
      <c r="B3" s="9" t="s">
        <v>32</v>
      </c>
      <c r="C3" s="53">
        <v>2.0</v>
      </c>
      <c r="D3" s="53">
        <v>0.0</v>
      </c>
      <c r="E3" s="53">
        <v>1.0</v>
      </c>
      <c r="F3" s="53">
        <v>2.0</v>
      </c>
      <c r="G3" s="53">
        <v>0.0</v>
      </c>
      <c r="H3" s="54">
        <v>1.0</v>
      </c>
      <c r="I3" s="54">
        <v>4.0</v>
      </c>
      <c r="J3" s="55">
        <v>4.0</v>
      </c>
      <c r="K3" s="56">
        <v>6.0</v>
      </c>
      <c r="L3" s="57">
        <v>0.0</v>
      </c>
      <c r="M3" s="58">
        <v>4.0</v>
      </c>
      <c r="N3" s="55">
        <v>4.0</v>
      </c>
      <c r="O3" s="56">
        <v>3.0</v>
      </c>
      <c r="P3" s="57">
        <v>8.0</v>
      </c>
      <c r="Q3" s="23">
        <f t="shared" ref="Q3:Q8" si="1">SUM(C3:P3)</f>
        <v>39</v>
      </c>
      <c r="R3" s="16">
        <f t="shared" ref="R3:R8" si="2">AVERAGE(C3:P3)</f>
        <v>2.785714286</v>
      </c>
      <c r="S3" s="17">
        <f t="shared" ref="S3:S22" si="3">Q3/Q$23</f>
        <v>0.09923664122</v>
      </c>
    </row>
    <row r="4">
      <c r="A4" s="9">
        <v>2.0</v>
      </c>
      <c r="B4" s="9" t="s">
        <v>49</v>
      </c>
      <c r="C4" s="53">
        <v>4.0</v>
      </c>
      <c r="D4" s="53">
        <v>6.0</v>
      </c>
      <c r="E4" s="53">
        <v>3.0</v>
      </c>
      <c r="F4" s="53">
        <v>4.0</v>
      </c>
      <c r="G4" s="53">
        <v>0.0</v>
      </c>
      <c r="H4" s="53">
        <v>4.0</v>
      </c>
      <c r="I4" s="53">
        <v>3.0</v>
      </c>
      <c r="J4" s="59">
        <v>9.0</v>
      </c>
      <c r="K4" s="60">
        <v>2.0</v>
      </c>
      <c r="L4" s="61">
        <v>4.0</v>
      </c>
      <c r="M4" s="58">
        <v>5.0</v>
      </c>
      <c r="N4" s="59">
        <v>2.0</v>
      </c>
      <c r="O4" s="60">
        <v>5.0</v>
      </c>
      <c r="P4" s="61">
        <v>17.0</v>
      </c>
      <c r="Q4" s="23">
        <f t="shared" si="1"/>
        <v>68</v>
      </c>
      <c r="R4" s="16">
        <f t="shared" si="2"/>
        <v>4.857142857</v>
      </c>
      <c r="S4" s="17">
        <f t="shared" si="3"/>
        <v>0.1730279898</v>
      </c>
    </row>
    <row r="5">
      <c r="A5" s="9">
        <v>3.0</v>
      </c>
      <c r="B5" s="9" t="s">
        <v>50</v>
      </c>
      <c r="C5" s="62">
        <v>0.0</v>
      </c>
      <c r="D5" s="62">
        <v>1.0</v>
      </c>
      <c r="E5" s="53">
        <v>0.0</v>
      </c>
      <c r="F5" s="53">
        <v>1.0</v>
      </c>
      <c r="G5" s="53">
        <v>0.0</v>
      </c>
      <c r="H5" s="54">
        <v>3.0</v>
      </c>
      <c r="I5" s="54">
        <v>0.0</v>
      </c>
      <c r="J5" s="55">
        <v>1.0</v>
      </c>
      <c r="K5" s="56">
        <v>3.0</v>
      </c>
      <c r="L5" s="57">
        <v>4.0</v>
      </c>
      <c r="M5" s="63">
        <v>2.0</v>
      </c>
      <c r="N5" s="55">
        <v>3.0</v>
      </c>
      <c r="O5" s="56">
        <v>3.0</v>
      </c>
      <c r="P5" s="57">
        <v>6.0</v>
      </c>
      <c r="Q5" s="23">
        <f t="shared" si="1"/>
        <v>27</v>
      </c>
      <c r="R5" s="16">
        <f t="shared" si="2"/>
        <v>1.928571429</v>
      </c>
      <c r="S5" s="17">
        <f t="shared" si="3"/>
        <v>0.06870229008</v>
      </c>
    </row>
    <row r="6">
      <c r="A6" s="9">
        <v>4.0</v>
      </c>
      <c r="B6" s="9" t="s">
        <v>51</v>
      </c>
      <c r="C6" s="53">
        <v>0.0</v>
      </c>
      <c r="D6" s="53">
        <v>0.0</v>
      </c>
      <c r="E6" s="53">
        <v>4.0</v>
      </c>
      <c r="F6" s="53">
        <v>1.0</v>
      </c>
      <c r="G6" s="53">
        <v>0.0</v>
      </c>
      <c r="H6" s="63">
        <v>2.0</v>
      </c>
      <c r="I6" s="64">
        <v>0.0</v>
      </c>
      <c r="J6" s="55">
        <v>0.0</v>
      </c>
      <c r="K6" s="56">
        <v>2.0</v>
      </c>
      <c r="L6" s="57">
        <v>3.0</v>
      </c>
      <c r="M6" s="53">
        <v>0.0</v>
      </c>
      <c r="N6" s="55">
        <v>0.0</v>
      </c>
      <c r="O6" s="56">
        <v>0.0</v>
      </c>
      <c r="P6" s="57">
        <v>3.0</v>
      </c>
      <c r="Q6" s="23">
        <f t="shared" si="1"/>
        <v>15</v>
      </c>
      <c r="R6" s="16">
        <f t="shared" si="2"/>
        <v>1.071428571</v>
      </c>
      <c r="S6" s="17">
        <f t="shared" si="3"/>
        <v>0.03816793893</v>
      </c>
    </row>
    <row r="7">
      <c r="A7" s="9">
        <v>5.0</v>
      </c>
      <c r="B7" s="9" t="s">
        <v>52</v>
      </c>
      <c r="C7" s="62">
        <v>4.0</v>
      </c>
      <c r="D7" s="62">
        <v>2.0</v>
      </c>
      <c r="E7" s="53">
        <v>1.0</v>
      </c>
      <c r="F7" s="53">
        <v>1.0</v>
      </c>
      <c r="G7" s="53">
        <v>3.0</v>
      </c>
      <c r="H7" s="53">
        <v>0.0</v>
      </c>
      <c r="I7" s="53">
        <v>3.0</v>
      </c>
      <c r="J7" s="55">
        <v>0.0</v>
      </c>
      <c r="K7" s="56">
        <v>1.0</v>
      </c>
      <c r="L7" s="57">
        <v>2.0</v>
      </c>
      <c r="M7" s="53">
        <v>4.0</v>
      </c>
      <c r="N7" s="55">
        <v>2.0</v>
      </c>
      <c r="O7" s="56">
        <v>7.0</v>
      </c>
      <c r="P7" s="57">
        <v>3.0</v>
      </c>
      <c r="Q7" s="23">
        <f t="shared" si="1"/>
        <v>33</v>
      </c>
      <c r="R7" s="16">
        <f t="shared" si="2"/>
        <v>2.357142857</v>
      </c>
      <c r="S7" s="17">
        <f t="shared" si="3"/>
        <v>0.08396946565</v>
      </c>
    </row>
    <row r="8">
      <c r="A8" s="9">
        <v>6.0</v>
      </c>
      <c r="B8" s="9" t="s">
        <v>53</v>
      </c>
      <c r="C8" s="53">
        <v>1.0</v>
      </c>
      <c r="D8" s="53">
        <v>0.0</v>
      </c>
      <c r="E8" s="62">
        <v>1.0</v>
      </c>
      <c r="F8" s="62">
        <v>1.0</v>
      </c>
      <c r="G8" s="62">
        <v>1.0</v>
      </c>
      <c r="H8" s="65">
        <v>1.0</v>
      </c>
      <c r="I8" s="65">
        <v>0.0</v>
      </c>
      <c r="J8" s="55">
        <v>0.0</v>
      </c>
      <c r="K8" s="56">
        <v>0.0</v>
      </c>
      <c r="L8" s="57">
        <v>1.0</v>
      </c>
      <c r="M8" s="53">
        <v>1.0</v>
      </c>
      <c r="N8" s="55">
        <v>0.0</v>
      </c>
      <c r="O8" s="56">
        <v>3.0</v>
      </c>
      <c r="P8" s="66">
        <v>2.0</v>
      </c>
      <c r="Q8" s="23">
        <f t="shared" si="1"/>
        <v>12</v>
      </c>
      <c r="R8" s="16">
        <f t="shared" si="2"/>
        <v>0.8571428571</v>
      </c>
      <c r="S8" s="17">
        <f t="shared" si="3"/>
        <v>0.03053435115</v>
      </c>
    </row>
    <row r="9">
      <c r="A9" s="9">
        <v>7.0</v>
      </c>
      <c r="B9" s="9" t="s">
        <v>54</v>
      </c>
      <c r="C9" s="53">
        <v>2.0</v>
      </c>
      <c r="D9" s="53">
        <v>0.0</v>
      </c>
      <c r="E9" s="62">
        <v>2.0</v>
      </c>
      <c r="F9" s="62">
        <v>5.0</v>
      </c>
      <c r="G9" s="62">
        <v>1.0</v>
      </c>
      <c r="H9" s="62">
        <v>3.0</v>
      </c>
      <c r="I9" s="62">
        <v>4.0</v>
      </c>
      <c r="J9" s="55">
        <v>3.0</v>
      </c>
      <c r="K9" s="56">
        <v>1.0</v>
      </c>
      <c r="L9" s="57">
        <v>4.0</v>
      </c>
      <c r="M9" s="58">
        <v>6.0</v>
      </c>
      <c r="N9" s="55">
        <v>6.0</v>
      </c>
      <c r="O9" s="66">
        <v>4.0</v>
      </c>
      <c r="P9" s="67"/>
      <c r="Q9" s="23">
        <f>SUM(C9:O9)</f>
        <v>41</v>
      </c>
      <c r="R9" s="16">
        <f>AVERAGE(C9:O9)</f>
        <v>3.153846154</v>
      </c>
      <c r="S9" s="17">
        <f t="shared" si="3"/>
        <v>0.1043256997</v>
      </c>
    </row>
    <row r="10">
      <c r="A10" s="9">
        <v>8.0</v>
      </c>
      <c r="B10" s="9" t="s">
        <v>55</v>
      </c>
      <c r="C10" s="53">
        <v>0.0</v>
      </c>
      <c r="D10" s="53">
        <v>0.0</v>
      </c>
      <c r="E10" s="62">
        <v>0.0</v>
      </c>
      <c r="F10" s="62">
        <v>1.0</v>
      </c>
      <c r="G10" s="62">
        <v>0.0</v>
      </c>
      <c r="H10" s="53">
        <v>1.0</v>
      </c>
      <c r="I10" s="53">
        <v>1.0</v>
      </c>
      <c r="J10" s="55">
        <v>0.0</v>
      </c>
      <c r="K10" s="56">
        <v>0.0</v>
      </c>
      <c r="L10" s="66">
        <v>0.0</v>
      </c>
      <c r="M10" s="53">
        <v>0.0</v>
      </c>
      <c r="N10" s="68">
        <v>1.0</v>
      </c>
      <c r="O10" s="69"/>
      <c r="P10" s="67"/>
      <c r="Q10" s="23">
        <f>SUM(C10:N10)</f>
        <v>4</v>
      </c>
      <c r="R10" s="16">
        <f>AVERAGE(C10:N10)</f>
        <v>0.3333333333</v>
      </c>
      <c r="S10" s="17">
        <f t="shared" si="3"/>
        <v>0.01017811705</v>
      </c>
    </row>
    <row r="11">
      <c r="A11" s="9">
        <v>9.0</v>
      </c>
      <c r="B11" s="9" t="s">
        <v>56</v>
      </c>
      <c r="C11" s="62">
        <v>2.0</v>
      </c>
      <c r="D11" s="62">
        <v>2.0</v>
      </c>
      <c r="E11" s="62">
        <v>1.0</v>
      </c>
      <c r="F11" s="62">
        <v>2.0</v>
      </c>
      <c r="G11" s="62">
        <v>4.0</v>
      </c>
      <c r="H11" s="62">
        <v>3.0</v>
      </c>
      <c r="I11" s="62">
        <v>5.0</v>
      </c>
      <c r="J11" s="55">
        <v>2.0</v>
      </c>
      <c r="K11" s="56">
        <v>3.0</v>
      </c>
      <c r="L11" s="57">
        <v>4.0</v>
      </c>
      <c r="M11" s="70">
        <v>4.0</v>
      </c>
      <c r="N11" s="69"/>
      <c r="O11" s="69"/>
      <c r="P11" s="67"/>
      <c r="Q11" s="23">
        <f t="shared" ref="Q11:Q12" si="4">SUM(C11:M11)</f>
        <v>32</v>
      </c>
      <c r="R11" s="16">
        <f t="shared" ref="R11:R12" si="5">AVERAGE(C11:M11)</f>
        <v>2.909090909</v>
      </c>
      <c r="S11" s="17">
        <f t="shared" si="3"/>
        <v>0.08142493639</v>
      </c>
    </row>
    <row r="12">
      <c r="A12" s="9">
        <v>10.0</v>
      </c>
      <c r="B12" s="9" t="s">
        <v>57</v>
      </c>
      <c r="C12" s="62">
        <v>1.0</v>
      </c>
      <c r="D12" s="62">
        <v>1.0</v>
      </c>
      <c r="E12" s="62">
        <v>1.0</v>
      </c>
      <c r="F12" s="62">
        <v>0.0</v>
      </c>
      <c r="G12" s="62">
        <v>2.0</v>
      </c>
      <c r="H12" s="65">
        <v>1.0</v>
      </c>
      <c r="I12" s="65">
        <v>0.0</v>
      </c>
      <c r="J12" s="55">
        <v>1.0</v>
      </c>
      <c r="K12" s="56">
        <v>2.0</v>
      </c>
      <c r="L12" s="57">
        <v>0.0</v>
      </c>
      <c r="M12" s="71">
        <v>3.0</v>
      </c>
      <c r="N12" s="69"/>
      <c r="O12" s="69"/>
      <c r="P12" s="67"/>
      <c r="Q12" s="23">
        <f t="shared" si="4"/>
        <v>12</v>
      </c>
      <c r="R12" s="16">
        <f t="shared" si="5"/>
        <v>1.090909091</v>
      </c>
      <c r="S12" s="17">
        <f t="shared" si="3"/>
        <v>0.03053435115</v>
      </c>
    </row>
    <row r="13">
      <c r="A13" s="9">
        <v>11.0</v>
      </c>
      <c r="B13" s="9" t="s">
        <v>58</v>
      </c>
      <c r="C13" s="53">
        <v>1.0</v>
      </c>
      <c r="D13" s="53">
        <v>0.0</v>
      </c>
      <c r="E13" s="62">
        <v>0.0</v>
      </c>
      <c r="F13" s="62">
        <v>0.0</v>
      </c>
      <c r="G13" s="62">
        <v>1.0</v>
      </c>
      <c r="H13" s="62">
        <v>4.0</v>
      </c>
      <c r="I13" s="62">
        <v>2.0</v>
      </c>
      <c r="J13" s="55">
        <v>1.0</v>
      </c>
      <c r="K13" s="56">
        <v>0.0</v>
      </c>
      <c r="L13" s="57">
        <v>5.0</v>
      </c>
      <c r="M13" s="69"/>
      <c r="N13" s="69"/>
      <c r="O13" s="69"/>
      <c r="P13" s="67"/>
      <c r="Q13" s="23">
        <f>SUM(C13:L13)</f>
        <v>14</v>
      </c>
      <c r="R13" s="16">
        <f>AVERAGE(C13:L13)</f>
        <v>1.4</v>
      </c>
      <c r="S13" s="17">
        <f t="shared" si="3"/>
        <v>0.03562340967</v>
      </c>
    </row>
    <row r="14">
      <c r="A14" s="9">
        <v>12.0</v>
      </c>
      <c r="B14" s="9" t="s">
        <v>59</v>
      </c>
      <c r="C14" s="62">
        <v>0.0</v>
      </c>
      <c r="D14" s="62">
        <v>0.0</v>
      </c>
      <c r="E14" s="53">
        <v>4.0</v>
      </c>
      <c r="F14" s="53">
        <v>0.0</v>
      </c>
      <c r="G14" s="53">
        <v>0.0</v>
      </c>
      <c r="H14" s="53">
        <v>0.0</v>
      </c>
      <c r="I14" s="53">
        <v>2.0</v>
      </c>
      <c r="J14" s="55">
        <v>1.0</v>
      </c>
      <c r="K14" s="66">
        <v>4.0</v>
      </c>
      <c r="L14" s="69"/>
      <c r="M14" s="69"/>
      <c r="N14" s="69"/>
      <c r="O14" s="69"/>
      <c r="P14" s="67"/>
      <c r="Q14" s="23">
        <f>SUM(C14:K14)</f>
        <v>11</v>
      </c>
      <c r="R14" s="16">
        <f>AVERAGE(C14:K14)</f>
        <v>1.222222222</v>
      </c>
      <c r="S14" s="17">
        <f t="shared" si="3"/>
        <v>0.02798982188</v>
      </c>
    </row>
    <row r="15">
      <c r="A15" s="9">
        <v>13.0</v>
      </c>
      <c r="B15" s="9" t="s">
        <v>60</v>
      </c>
      <c r="C15" s="53">
        <v>1.0</v>
      </c>
      <c r="D15" s="53">
        <v>1.0</v>
      </c>
      <c r="E15" s="53">
        <v>3.0</v>
      </c>
      <c r="F15" s="53">
        <v>2.0</v>
      </c>
      <c r="G15" s="53">
        <v>3.0</v>
      </c>
      <c r="H15" s="54">
        <v>2.0</v>
      </c>
      <c r="I15" s="54">
        <v>1.0</v>
      </c>
      <c r="J15" s="68">
        <v>13.0</v>
      </c>
      <c r="K15" s="72"/>
      <c r="L15" s="72"/>
      <c r="M15" s="72"/>
      <c r="N15" s="72"/>
      <c r="O15" s="72"/>
      <c r="P15" s="73"/>
      <c r="Q15" s="23">
        <f>SUM(C15:J15)</f>
        <v>26</v>
      </c>
      <c r="R15" s="16">
        <f>AVERAGE(C15:J15)</f>
        <v>3.25</v>
      </c>
      <c r="S15" s="17">
        <f t="shared" si="3"/>
        <v>0.06615776081</v>
      </c>
    </row>
    <row r="16">
      <c r="A16" s="9">
        <v>14.0</v>
      </c>
      <c r="B16" s="9" t="s">
        <v>61</v>
      </c>
      <c r="C16" s="53">
        <v>0.0</v>
      </c>
      <c r="D16" s="53">
        <v>0.0</v>
      </c>
      <c r="E16" s="62">
        <v>0.0</v>
      </c>
      <c r="F16" s="62">
        <v>2.0</v>
      </c>
      <c r="G16" s="62">
        <v>3.0</v>
      </c>
      <c r="H16" s="53">
        <v>3.0</v>
      </c>
      <c r="I16" s="71">
        <v>4.0</v>
      </c>
      <c r="J16" s="69"/>
      <c r="K16" s="69"/>
      <c r="L16" s="69"/>
      <c r="M16" s="69"/>
      <c r="N16" s="69"/>
      <c r="O16" s="69"/>
      <c r="P16" s="67"/>
      <c r="Q16" s="23">
        <f>SUM(C16:I16)</f>
        <v>12</v>
      </c>
      <c r="R16" s="16">
        <f>AVERAGE(C16:I16)</f>
        <v>1.714285714</v>
      </c>
      <c r="S16" s="17">
        <f t="shared" si="3"/>
        <v>0.03053435115</v>
      </c>
    </row>
    <row r="17">
      <c r="A17" s="9">
        <v>15.0</v>
      </c>
      <c r="B17" s="9" t="s">
        <v>62</v>
      </c>
      <c r="C17" s="62">
        <v>1.0</v>
      </c>
      <c r="D17" s="62">
        <v>1.0</v>
      </c>
      <c r="E17" s="53">
        <v>2.0</v>
      </c>
      <c r="F17" s="53">
        <v>0.0</v>
      </c>
      <c r="G17" s="53">
        <v>1.0</v>
      </c>
      <c r="H17" s="74">
        <v>2.0</v>
      </c>
      <c r="I17" s="69"/>
      <c r="J17" s="69"/>
      <c r="K17" s="69"/>
      <c r="L17" s="69"/>
      <c r="M17" s="69"/>
      <c r="N17" s="69"/>
      <c r="O17" s="69"/>
      <c r="P17" s="67"/>
      <c r="Q17" s="23">
        <f>SUM(C17:H17)</f>
        <v>7</v>
      </c>
      <c r="R17" s="16">
        <f>AVERAGE(C17:H17)</f>
        <v>1.166666667</v>
      </c>
      <c r="S17" s="17">
        <f t="shared" si="3"/>
        <v>0.01781170483</v>
      </c>
    </row>
    <row r="18">
      <c r="A18" s="9">
        <v>16.0</v>
      </c>
      <c r="B18" s="9" t="s">
        <v>63</v>
      </c>
      <c r="C18" s="62">
        <v>2.0</v>
      </c>
      <c r="D18" s="62">
        <v>3.0</v>
      </c>
      <c r="E18" s="62">
        <v>3.0</v>
      </c>
      <c r="F18" s="62">
        <v>1.0</v>
      </c>
      <c r="G18" s="75">
        <v>3.0</v>
      </c>
      <c r="H18" s="76"/>
      <c r="I18" s="76"/>
      <c r="J18" s="76"/>
      <c r="K18" s="76"/>
      <c r="L18" s="76"/>
      <c r="M18" s="76"/>
      <c r="N18" s="76"/>
      <c r="O18" s="76"/>
      <c r="P18" s="77"/>
      <c r="Q18" s="23">
        <f>SUM(C18:G18)</f>
        <v>12</v>
      </c>
      <c r="R18" s="16">
        <f>AVERAGE(C18:G18)</f>
        <v>2.4</v>
      </c>
      <c r="S18" s="17">
        <f t="shared" si="3"/>
        <v>0.03053435115</v>
      </c>
    </row>
    <row r="19">
      <c r="A19" s="9">
        <v>17.0</v>
      </c>
      <c r="B19" s="9" t="s">
        <v>64</v>
      </c>
      <c r="C19" s="62">
        <v>1.0</v>
      </c>
      <c r="D19" s="62">
        <v>1.0</v>
      </c>
      <c r="E19" s="62">
        <v>2.0</v>
      </c>
      <c r="F19" s="75">
        <v>1.0</v>
      </c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23">
        <f>SUM(C19:F19)</f>
        <v>5</v>
      </c>
      <c r="R19" s="16">
        <f>AVERAGE(C19:F19)</f>
        <v>1.25</v>
      </c>
      <c r="S19" s="17">
        <f t="shared" si="3"/>
        <v>0.01272264631</v>
      </c>
    </row>
    <row r="20">
      <c r="A20" s="9">
        <v>18.0</v>
      </c>
      <c r="B20" s="9" t="s">
        <v>65</v>
      </c>
      <c r="C20" s="53">
        <v>0.0</v>
      </c>
      <c r="D20" s="53">
        <v>2.0</v>
      </c>
      <c r="E20" s="71">
        <v>4.0</v>
      </c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7"/>
      <c r="Q20" s="23">
        <f>SUM(C20:E20)</f>
        <v>6</v>
      </c>
      <c r="R20" s="16">
        <f>AVERAGE(C20:E20)</f>
        <v>2</v>
      </c>
      <c r="S20" s="17">
        <f t="shared" si="3"/>
        <v>0.01526717557</v>
      </c>
    </row>
    <row r="21">
      <c r="A21" s="9">
        <v>19.0</v>
      </c>
      <c r="B21" s="9" t="s">
        <v>66</v>
      </c>
      <c r="C21" s="62">
        <v>9.0</v>
      </c>
      <c r="D21" s="75">
        <v>6.0</v>
      </c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7"/>
      <c r="Q21" s="23">
        <f>SUM(C21:D21)</f>
        <v>15</v>
      </c>
      <c r="R21" s="16">
        <f>AVERAGE(C21:D21)</f>
        <v>7.5</v>
      </c>
      <c r="S21" s="17">
        <f t="shared" si="3"/>
        <v>0.03816793893</v>
      </c>
    </row>
    <row r="22">
      <c r="A22" s="9">
        <v>20.0</v>
      </c>
      <c r="B22" s="9" t="s">
        <v>67</v>
      </c>
      <c r="C22" s="78">
        <v>2.0</v>
      </c>
      <c r="D22" s="76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80"/>
      <c r="Q22" s="23">
        <f>SUM(C22)</f>
        <v>2</v>
      </c>
      <c r="R22" s="16">
        <f>AVERAGE(C22)</f>
        <v>2</v>
      </c>
      <c r="S22" s="17">
        <f t="shared" si="3"/>
        <v>0.005089058524</v>
      </c>
    </row>
    <row r="23">
      <c r="A23" s="4" t="s">
        <v>40</v>
      </c>
      <c r="B23" s="3"/>
      <c r="C23" s="23">
        <f>SUM(C3:C22)</f>
        <v>33</v>
      </c>
      <c r="D23" s="81">
        <f>SUM(D3:D21)</f>
        <v>26</v>
      </c>
      <c r="E23" s="23">
        <f>SUM(E3:E20)</f>
        <v>32</v>
      </c>
      <c r="F23" s="23">
        <f>SUM(F3:F19)</f>
        <v>24</v>
      </c>
      <c r="G23" s="23">
        <f>SUM(G3:G18)</f>
        <v>22</v>
      </c>
      <c r="H23" s="23">
        <f>SUM(H3:H17)</f>
        <v>30</v>
      </c>
      <c r="I23" s="23">
        <f>SUM(I3:I16)</f>
        <v>29</v>
      </c>
      <c r="J23" s="23">
        <f>SUM(J3:J15)</f>
        <v>35</v>
      </c>
      <c r="K23" s="23">
        <f>SUM(K3:K14)</f>
        <v>24</v>
      </c>
      <c r="L23" s="23">
        <f>SUM(L3:L13)</f>
        <v>27</v>
      </c>
      <c r="M23" s="23">
        <f>SUM(M3:M12)</f>
        <v>29</v>
      </c>
      <c r="N23" s="23">
        <f>SUM(N3:N10)</f>
        <v>18</v>
      </c>
      <c r="O23" s="23">
        <f>SUM(O3:O9)</f>
        <v>25</v>
      </c>
      <c r="P23" s="23">
        <f>SUM(P3:P8)</f>
        <v>39</v>
      </c>
      <c r="Q23" s="23">
        <f>SUM(Q3:Q22)</f>
        <v>393</v>
      </c>
      <c r="R23" s="16"/>
      <c r="S23" s="82"/>
    </row>
    <row r="24">
      <c r="A24" s="35" t="s">
        <v>18</v>
      </c>
      <c r="B24" s="3"/>
      <c r="C24" s="36">
        <f>AVERAGE(C3:C22)</f>
        <v>1.65</v>
      </c>
      <c r="D24" s="36">
        <f>AVERAGE(D3:D21)</f>
        <v>1.368421053</v>
      </c>
      <c r="E24" s="36">
        <f>AVERAGE(E3:E20)</f>
        <v>1.777777778</v>
      </c>
      <c r="F24" s="36">
        <f>AVERAGE(F3:F19)</f>
        <v>1.411764706</v>
      </c>
      <c r="G24" s="36">
        <f>AVERAGE(G3:G18)</f>
        <v>1.375</v>
      </c>
      <c r="H24" s="36">
        <f>AVERAGE(H3:H17)</f>
        <v>2</v>
      </c>
      <c r="I24" s="36">
        <f>AVERAGE(I3:I16)</f>
        <v>2.071428571</v>
      </c>
      <c r="J24" s="36">
        <f>AVERAGE(J3:J15)</f>
        <v>2.692307692</v>
      </c>
      <c r="K24" s="36">
        <f>AVERAGE(K3:K14)</f>
        <v>2</v>
      </c>
      <c r="L24" s="36">
        <f>AVERAGE(L3:L13)</f>
        <v>2.454545455</v>
      </c>
      <c r="M24" s="36">
        <f>AVERAGE(M3:M12)</f>
        <v>2.9</v>
      </c>
      <c r="N24" s="36">
        <f>AVERAGE(N3:N10)</f>
        <v>2.25</v>
      </c>
      <c r="O24" s="36">
        <f>AVERAGE(O3:O9)</f>
        <v>3.571428571</v>
      </c>
      <c r="P24" s="36">
        <f>AVERAGE(P3:P8)</f>
        <v>6.5</v>
      </c>
      <c r="Q24" s="36"/>
      <c r="R24" s="16"/>
      <c r="S24" s="82"/>
    </row>
    <row r="25">
      <c r="A25" s="4" t="s">
        <v>41</v>
      </c>
      <c r="B25" s="3"/>
      <c r="C25" s="40" t="str">
        <f>HYPERLINK("https://docs.google.com/document/d/1_qeDY_isB57pK7njYVoYwPIMeJlET1NfmX7cymBJrns/edit?usp=sharing","Link")</f>
        <v>Link</v>
      </c>
      <c r="D25" s="40" t="str">
        <f>HYPERLINK("https://docs.google.com/document/d/1A93A0qJaqx9_RKvIPrcoZkvUstkPF3aD1jjhX2DNDRQ/edit?usp=sharing","Link")</f>
        <v>Link</v>
      </c>
      <c r="E25" s="40" t="str">
        <f>HYPERLINK("https://docs.google.com/document/d/1TLX_VVIH-fBpMcaPZxVvIZN1CBwwamPxQpF_bkumEOU/edit?usp=sharing","Link")</f>
        <v>Link</v>
      </c>
      <c r="F25" s="40" t="str">
        <f>HYPERLINK("https://docs.google.com/document/d/1FE5BuYZzNtHZ8iq66FBeaLKqGVHqbtzWPvDKJCXmilY/edit?usp=sharing","Link")</f>
        <v>Link</v>
      </c>
      <c r="G25" s="40" t="str">
        <f>HYPERLINK("https://docs.google.com/document/d/1jUdg7EFa7ebA6ypbXs66SR_GWkyiayMrqVniGjELot8/edit?usp=sharing","Link")</f>
        <v>Link</v>
      </c>
      <c r="H25" s="40" t="str">
        <f>HYPERLINK("https://docs.google.com/document/d/18G40FEhNayT04SaJh0wfApNnSKHrQ4d9mmsfFGGP4pc/edit?usp=sharing","Link")</f>
        <v>Link</v>
      </c>
      <c r="I25" s="40" t="str">
        <f>HYPERLINK("https://drive.google.com/open?id=1nGgWmH7ptqxx4r1jcUwm428dHGaH7aZ5koq8pe0vSvg","Link")</f>
        <v>Link</v>
      </c>
      <c r="J25" s="40" t="str">
        <f>HYPERLINK("https://drive.google.com/open?id=1kv22imm4iALZyyQdYsyqhR2rPU03FeZbT8H85aRIlPQ","Link")</f>
        <v>Link</v>
      </c>
      <c r="K25" s="40" t="str">
        <f>HYPERLINK("https://drive.google.com/open?id=1bIf2VQ4U0O-Jy7viUHJWDejqYhvQOOllW1GE4t_35ck","Link")</f>
        <v>Link</v>
      </c>
      <c r="L25" s="40" t="str">
        <f>HYPERLINK("https://drive.google.com/open?id=1MtVXJOa91jPDhh-QV04w8MnBkb1s3KLDkOJqi_RH8ho","Link")</f>
        <v>Link</v>
      </c>
      <c r="M25" s="40" t="str">
        <f>HYPERLINK("https://drive.google.com/open?id=1QbB_bG6skJtzggZU7EIa_Z7q4yw-56QkYYRWPkxcLMM","Link")</f>
        <v>Link</v>
      </c>
      <c r="N25" s="40" t="str">
        <f>HYPERLINK("https://drive.google.com/open?id=1H6mo0Fr4w2cW9oDxKJwW9HqCwGkXto-RIVK09bC-h98","Link")</f>
        <v>Link</v>
      </c>
      <c r="O25" s="40" t="str">
        <f>HYPERLINK("https://drive.google.com/open?id=1zGC3aHqEXrMJCusZJbPLYMeZVfmySSrwxy2_3wpriTQ","Link")</f>
        <v>Link</v>
      </c>
      <c r="P25" s="40" t="str">
        <f>HYPERLINK("https://drive.google.com/open?id=1gPyT2dkEbU4hzwFgpyUUVPydJCjW-0T7B7DVlWeNrrY","Link")</f>
        <v>Link</v>
      </c>
      <c r="Q25" s="83" t="str">
        <f>HYPERLINK("https://drive.google.com/open?id=1wOj-OElYV4uSfb2IMtW2VXqA2Xh7jnk0HiCGHh6P7nw","Season Transcript")</f>
        <v>Season Transcript</v>
      </c>
      <c r="R25" s="3"/>
      <c r="S25" s="82"/>
    </row>
    <row r="26"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  <c r="S26" s="44"/>
    </row>
    <row r="27">
      <c r="A27" s="84" t="s">
        <v>68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48"/>
    </row>
    <row r="28">
      <c r="A28" s="85" t="s">
        <v>69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48"/>
    </row>
    <row r="29">
      <c r="A29" s="86" t="s">
        <v>70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48"/>
    </row>
    <row r="30">
      <c r="A30" s="51" t="s">
        <v>71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48"/>
    </row>
  </sheetData>
  <mergeCells count="11">
    <mergeCell ref="A27:B27"/>
    <mergeCell ref="A28:B28"/>
    <mergeCell ref="A29:B29"/>
    <mergeCell ref="A30:B30"/>
    <mergeCell ref="A1:S1"/>
    <mergeCell ref="A2:B2"/>
    <mergeCell ref="A23:B23"/>
    <mergeCell ref="A24:B24"/>
    <mergeCell ref="A25:B25"/>
    <mergeCell ref="Q25:R25"/>
    <mergeCell ref="A26:B26"/>
  </mergeCells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370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17</v>
      </c>
      <c r="R2" s="7" t="s">
        <v>18</v>
      </c>
      <c r="S2" s="8" t="s">
        <v>19</v>
      </c>
    </row>
    <row r="3">
      <c r="A3" s="9">
        <v>1.0</v>
      </c>
      <c r="B3" s="9" t="s">
        <v>371</v>
      </c>
      <c r="C3" s="242">
        <v>2.0</v>
      </c>
      <c r="D3" s="242">
        <v>1.0</v>
      </c>
      <c r="E3" s="242">
        <v>5.0</v>
      </c>
      <c r="F3" s="242">
        <v>2.0</v>
      </c>
      <c r="G3" s="242">
        <v>1.0</v>
      </c>
      <c r="H3" s="242">
        <v>2.0</v>
      </c>
      <c r="I3" s="242">
        <v>3.0</v>
      </c>
      <c r="J3" s="242">
        <v>3.0</v>
      </c>
      <c r="K3" s="242">
        <v>5.0</v>
      </c>
      <c r="L3" s="242">
        <v>5.0</v>
      </c>
      <c r="M3" s="242">
        <v>7.0</v>
      </c>
      <c r="N3" s="242">
        <v>7.0</v>
      </c>
      <c r="O3" s="242">
        <v>5.0</v>
      </c>
      <c r="P3" s="242">
        <v>9.0</v>
      </c>
      <c r="Q3" s="23">
        <f t="shared" ref="Q3:Q22" si="1">SUM(C3:P3)</f>
        <v>57</v>
      </c>
      <c r="R3" s="16">
        <f t="shared" ref="R3:R6" si="2">AVERAGE(C3:P3)</f>
        <v>4.071428571</v>
      </c>
      <c r="S3" s="17">
        <f t="shared" ref="S3:S22" si="3">Q3/Q$23</f>
        <v>0.1334894614</v>
      </c>
    </row>
    <row r="4">
      <c r="A4" s="9">
        <v>2.0</v>
      </c>
      <c r="B4" s="9" t="s">
        <v>227</v>
      </c>
      <c r="C4" s="242">
        <v>4.0</v>
      </c>
      <c r="D4" s="242">
        <v>1.0</v>
      </c>
      <c r="E4" s="242">
        <v>2.0</v>
      </c>
      <c r="F4" s="242">
        <v>2.0</v>
      </c>
      <c r="G4" s="242">
        <v>0.0</v>
      </c>
      <c r="H4" s="242">
        <v>2.0</v>
      </c>
      <c r="I4" s="242">
        <v>3.0</v>
      </c>
      <c r="J4" s="242">
        <v>3.0</v>
      </c>
      <c r="K4" s="242">
        <v>2.0</v>
      </c>
      <c r="L4" s="242">
        <v>3.0</v>
      </c>
      <c r="M4" s="242">
        <v>5.0</v>
      </c>
      <c r="N4" s="242">
        <v>5.0</v>
      </c>
      <c r="O4" s="242">
        <v>2.0</v>
      </c>
      <c r="P4" s="242">
        <v>5.0</v>
      </c>
      <c r="Q4" s="23">
        <f t="shared" si="1"/>
        <v>39</v>
      </c>
      <c r="R4" s="16">
        <f t="shared" si="2"/>
        <v>2.785714286</v>
      </c>
      <c r="S4" s="17">
        <f t="shared" si="3"/>
        <v>0.09133489461</v>
      </c>
    </row>
    <row r="5">
      <c r="A5" s="9">
        <v>3.0</v>
      </c>
      <c r="B5" s="9" t="s">
        <v>372</v>
      </c>
      <c r="C5" s="242">
        <v>2.0</v>
      </c>
      <c r="D5" s="242">
        <v>4.0</v>
      </c>
      <c r="E5" s="242">
        <v>2.0</v>
      </c>
      <c r="F5" s="242">
        <v>6.0</v>
      </c>
      <c r="G5" s="242">
        <v>1.0</v>
      </c>
      <c r="H5" s="242">
        <v>1.0</v>
      </c>
      <c r="I5" s="242">
        <v>4.0</v>
      </c>
      <c r="J5" s="242">
        <v>2.0</v>
      </c>
      <c r="K5" s="242">
        <v>5.0</v>
      </c>
      <c r="L5" s="242">
        <v>0.0</v>
      </c>
      <c r="M5" s="242">
        <v>6.0</v>
      </c>
      <c r="N5" s="242">
        <v>6.0</v>
      </c>
      <c r="O5" s="242">
        <v>5.0</v>
      </c>
      <c r="P5" s="242">
        <v>6.0</v>
      </c>
      <c r="Q5" s="23">
        <f t="shared" si="1"/>
        <v>50</v>
      </c>
      <c r="R5" s="16">
        <f t="shared" si="2"/>
        <v>3.571428571</v>
      </c>
      <c r="S5" s="17">
        <f t="shared" si="3"/>
        <v>0.1170960187</v>
      </c>
    </row>
    <row r="6">
      <c r="A6" s="9">
        <v>4.0</v>
      </c>
      <c r="B6" s="9" t="s">
        <v>179</v>
      </c>
      <c r="C6" s="242">
        <v>0.0</v>
      </c>
      <c r="D6" s="242">
        <v>0.0</v>
      </c>
      <c r="E6" s="242">
        <v>0.0</v>
      </c>
      <c r="F6" s="242">
        <v>1.0</v>
      </c>
      <c r="G6" s="242">
        <v>0.0</v>
      </c>
      <c r="H6" s="242">
        <v>1.0</v>
      </c>
      <c r="I6" s="242">
        <v>1.0</v>
      </c>
      <c r="J6" s="242">
        <v>2.0</v>
      </c>
      <c r="K6" s="242">
        <v>1.0</v>
      </c>
      <c r="L6" s="242">
        <v>0.0</v>
      </c>
      <c r="M6" s="242">
        <v>1.0</v>
      </c>
      <c r="N6" s="242">
        <v>3.0</v>
      </c>
      <c r="O6" s="242">
        <v>2.0</v>
      </c>
      <c r="P6" s="242">
        <v>1.0</v>
      </c>
      <c r="Q6" s="23">
        <f t="shared" si="1"/>
        <v>13</v>
      </c>
      <c r="R6" s="16">
        <f t="shared" si="2"/>
        <v>0.9285714286</v>
      </c>
      <c r="S6" s="17">
        <f t="shared" si="3"/>
        <v>0.03044496487</v>
      </c>
    </row>
    <row r="7">
      <c r="A7" s="9">
        <v>5.0</v>
      </c>
      <c r="B7" s="9" t="s">
        <v>373</v>
      </c>
      <c r="C7" s="242">
        <v>1.0</v>
      </c>
      <c r="D7" s="242">
        <v>2.0</v>
      </c>
      <c r="E7" s="242">
        <v>2.0</v>
      </c>
      <c r="F7" s="242">
        <v>1.0</v>
      </c>
      <c r="G7" s="242">
        <v>0.0</v>
      </c>
      <c r="H7" s="242">
        <v>1.0</v>
      </c>
      <c r="I7" s="242">
        <v>2.0</v>
      </c>
      <c r="J7" s="242">
        <v>0.0</v>
      </c>
      <c r="K7" s="242">
        <v>0.0</v>
      </c>
      <c r="L7" s="242">
        <v>4.0</v>
      </c>
      <c r="M7" s="242">
        <v>4.0</v>
      </c>
      <c r="N7" s="242">
        <v>3.0</v>
      </c>
      <c r="O7" s="242">
        <v>4.0</v>
      </c>
      <c r="P7" s="92"/>
      <c r="Q7" s="23">
        <f t="shared" si="1"/>
        <v>24</v>
      </c>
      <c r="R7" s="16">
        <f>AVERAGE(C7:O7)</f>
        <v>1.846153846</v>
      </c>
      <c r="S7" s="17">
        <f t="shared" si="3"/>
        <v>0.05620608899</v>
      </c>
    </row>
    <row r="8">
      <c r="A8" s="9">
        <v>6.0</v>
      </c>
      <c r="B8" s="9" t="s">
        <v>374</v>
      </c>
      <c r="C8" s="242">
        <v>1.0</v>
      </c>
      <c r="D8" s="242">
        <v>0.0</v>
      </c>
      <c r="E8" s="242">
        <v>2.0</v>
      </c>
      <c r="F8" s="242">
        <v>1.0</v>
      </c>
      <c r="G8" s="242">
        <v>2.0</v>
      </c>
      <c r="H8" s="242">
        <v>0.0</v>
      </c>
      <c r="I8" s="242">
        <v>9.0</v>
      </c>
      <c r="J8" s="242">
        <v>0.0</v>
      </c>
      <c r="K8" s="242">
        <v>1.0</v>
      </c>
      <c r="L8" s="242">
        <v>4.0</v>
      </c>
      <c r="M8" s="242">
        <v>3.0</v>
      </c>
      <c r="N8" s="242">
        <v>6.0</v>
      </c>
      <c r="O8" s="92"/>
      <c r="P8" s="92"/>
      <c r="Q8" s="23">
        <f t="shared" si="1"/>
        <v>29</v>
      </c>
      <c r="R8" s="16">
        <f>AVERAGE(C8:N8)</f>
        <v>2.416666667</v>
      </c>
      <c r="S8" s="17">
        <f t="shared" si="3"/>
        <v>0.06791569087</v>
      </c>
    </row>
    <row r="9">
      <c r="A9" s="9">
        <v>7.0</v>
      </c>
      <c r="B9" s="9" t="s">
        <v>353</v>
      </c>
      <c r="C9" s="243">
        <v>3.0</v>
      </c>
      <c r="D9" s="243">
        <v>3.0</v>
      </c>
      <c r="E9" s="243">
        <v>1.0</v>
      </c>
      <c r="F9" s="243">
        <v>6.0</v>
      </c>
      <c r="G9" s="243">
        <v>3.0</v>
      </c>
      <c r="H9" s="243">
        <v>8.0</v>
      </c>
      <c r="I9" s="243">
        <v>6.0</v>
      </c>
      <c r="J9" s="243">
        <v>14.0</v>
      </c>
      <c r="K9" s="242">
        <v>10.0</v>
      </c>
      <c r="L9" s="242">
        <v>3.0</v>
      </c>
      <c r="M9" s="242">
        <v>7.0</v>
      </c>
      <c r="N9" s="92"/>
      <c r="O9" s="92"/>
      <c r="P9" s="92"/>
      <c r="Q9" s="23">
        <f t="shared" si="1"/>
        <v>64</v>
      </c>
      <c r="R9" s="16">
        <f>AVERAGE(C9:M9)</f>
        <v>5.818181818</v>
      </c>
      <c r="S9" s="17">
        <f t="shared" si="3"/>
        <v>0.149882904</v>
      </c>
    </row>
    <row r="10">
      <c r="A10" s="9">
        <v>8.0</v>
      </c>
      <c r="B10" s="9" t="s">
        <v>375</v>
      </c>
      <c r="C10" s="242">
        <v>3.0</v>
      </c>
      <c r="D10" s="242">
        <v>2.0</v>
      </c>
      <c r="E10" s="242">
        <v>0.0</v>
      </c>
      <c r="F10" s="242">
        <v>0.0</v>
      </c>
      <c r="G10" s="242">
        <v>0.0</v>
      </c>
      <c r="H10" s="242">
        <v>1.0</v>
      </c>
      <c r="I10" s="242">
        <v>0.0</v>
      </c>
      <c r="J10" s="242">
        <v>1.0</v>
      </c>
      <c r="K10" s="242">
        <v>0.0</v>
      </c>
      <c r="L10" s="242">
        <v>8.0</v>
      </c>
      <c r="M10" s="92"/>
      <c r="N10" s="92"/>
      <c r="O10" s="92"/>
      <c r="P10" s="92"/>
      <c r="Q10" s="23">
        <f t="shared" si="1"/>
        <v>15</v>
      </c>
      <c r="R10" s="16">
        <f>AVERAGE(C10:L10)</f>
        <v>1.5</v>
      </c>
      <c r="S10" s="17">
        <f t="shared" si="3"/>
        <v>0.03512880562</v>
      </c>
    </row>
    <row r="11">
      <c r="A11" s="9">
        <v>9.0</v>
      </c>
      <c r="B11" s="9" t="s">
        <v>376</v>
      </c>
      <c r="C11" s="242">
        <v>5.0</v>
      </c>
      <c r="D11" s="242">
        <v>0.0</v>
      </c>
      <c r="E11" s="242">
        <v>1.0</v>
      </c>
      <c r="F11" s="242">
        <v>1.0</v>
      </c>
      <c r="G11" s="242">
        <v>3.0</v>
      </c>
      <c r="H11" s="242">
        <v>1.0</v>
      </c>
      <c r="I11" s="242">
        <v>4.0</v>
      </c>
      <c r="J11" s="242">
        <v>3.0</v>
      </c>
      <c r="K11" s="242">
        <v>5.0</v>
      </c>
      <c r="L11" s="92"/>
      <c r="M11" s="92"/>
      <c r="N11" s="92"/>
      <c r="O11" s="92"/>
      <c r="P11" s="92"/>
      <c r="Q11" s="23">
        <f t="shared" si="1"/>
        <v>23</v>
      </c>
      <c r="R11" s="16">
        <f>AVERAGE(C11:K11)</f>
        <v>2.555555556</v>
      </c>
      <c r="S11" s="17">
        <f t="shared" si="3"/>
        <v>0.05386416862</v>
      </c>
    </row>
    <row r="12">
      <c r="A12" s="9">
        <v>10.0</v>
      </c>
      <c r="B12" s="9" t="s">
        <v>360</v>
      </c>
      <c r="C12" s="243">
        <v>1.0</v>
      </c>
      <c r="D12" s="243">
        <v>4.0</v>
      </c>
      <c r="E12" s="243">
        <v>5.0</v>
      </c>
      <c r="F12" s="243">
        <v>4.0</v>
      </c>
      <c r="G12" s="243">
        <v>2.0</v>
      </c>
      <c r="H12" s="243">
        <v>6.0</v>
      </c>
      <c r="I12" s="243">
        <v>5.0</v>
      </c>
      <c r="J12" s="243">
        <v>7.0</v>
      </c>
      <c r="K12" s="92"/>
      <c r="L12" s="92"/>
      <c r="M12" s="92"/>
      <c r="N12" s="92"/>
      <c r="O12" s="92"/>
      <c r="P12" s="92"/>
      <c r="Q12" s="23">
        <f t="shared" si="1"/>
        <v>34</v>
      </c>
      <c r="R12" s="16">
        <f>AVERAGE(C12:J12)</f>
        <v>4.25</v>
      </c>
      <c r="S12" s="17">
        <f t="shared" si="3"/>
        <v>0.07962529274</v>
      </c>
    </row>
    <row r="13">
      <c r="A13" s="9">
        <v>11.0</v>
      </c>
      <c r="B13" s="9" t="s">
        <v>377</v>
      </c>
      <c r="C13" s="243">
        <v>1.0</v>
      </c>
      <c r="D13" s="243">
        <v>0.0</v>
      </c>
      <c r="E13" s="243">
        <v>1.0</v>
      </c>
      <c r="F13" s="243">
        <v>2.0</v>
      </c>
      <c r="G13" s="243">
        <v>2.0</v>
      </c>
      <c r="H13" s="243">
        <v>3.0</v>
      </c>
      <c r="I13" s="243">
        <v>5.0</v>
      </c>
      <c r="J13" s="92"/>
      <c r="K13" s="92"/>
      <c r="L13" s="92"/>
      <c r="M13" s="92"/>
      <c r="N13" s="92"/>
      <c r="O13" s="92"/>
      <c r="P13" s="92"/>
      <c r="Q13" s="23">
        <f t="shared" si="1"/>
        <v>14</v>
      </c>
      <c r="R13" s="16">
        <f>AVERAGE(C13:I13)</f>
        <v>2</v>
      </c>
      <c r="S13" s="17">
        <f t="shared" si="3"/>
        <v>0.03278688525</v>
      </c>
    </row>
    <row r="14">
      <c r="A14" s="9">
        <v>12.0</v>
      </c>
      <c r="B14" s="9" t="s">
        <v>62</v>
      </c>
      <c r="C14" s="243">
        <v>2.0</v>
      </c>
      <c r="D14" s="243">
        <v>3.0</v>
      </c>
      <c r="E14" s="243">
        <v>2.0</v>
      </c>
      <c r="F14" s="243">
        <v>8.0</v>
      </c>
      <c r="G14" s="243">
        <v>2.0</v>
      </c>
      <c r="H14" s="243">
        <v>2.0</v>
      </c>
      <c r="I14" s="92"/>
      <c r="J14" s="92"/>
      <c r="K14" s="92"/>
      <c r="L14" s="92"/>
      <c r="M14" s="92"/>
      <c r="N14" s="92"/>
      <c r="O14" s="92"/>
      <c r="P14" s="92"/>
      <c r="Q14" s="23">
        <f t="shared" si="1"/>
        <v>19</v>
      </c>
      <c r="R14" s="16">
        <f>AVERAGE(C14:H14)</f>
        <v>3.166666667</v>
      </c>
      <c r="S14" s="17">
        <f t="shared" si="3"/>
        <v>0.04449648712</v>
      </c>
    </row>
    <row r="15">
      <c r="A15" s="9">
        <v>13.0</v>
      </c>
      <c r="B15" s="9" t="s">
        <v>269</v>
      </c>
      <c r="C15" s="243">
        <v>5.0</v>
      </c>
      <c r="D15" s="243">
        <v>4.0</v>
      </c>
      <c r="E15" s="243">
        <v>1.0</v>
      </c>
      <c r="F15" s="243">
        <v>2.0</v>
      </c>
      <c r="G15" s="243">
        <v>2.0</v>
      </c>
      <c r="H15" s="92"/>
      <c r="I15" s="92"/>
      <c r="J15" s="92"/>
      <c r="K15" s="92"/>
      <c r="L15" s="92"/>
      <c r="M15" s="92"/>
      <c r="N15" s="92"/>
      <c r="O15" s="92"/>
      <c r="P15" s="92"/>
      <c r="Q15" s="23">
        <f t="shared" si="1"/>
        <v>14</v>
      </c>
      <c r="R15" s="16">
        <f t="shared" ref="R15:R16" si="4">AVERAGE(C15:G15)</f>
        <v>2.8</v>
      </c>
      <c r="S15" s="17">
        <f t="shared" si="3"/>
        <v>0.03278688525</v>
      </c>
    </row>
    <row r="16">
      <c r="A16" s="9">
        <v>14.0</v>
      </c>
      <c r="B16" s="9" t="s">
        <v>378</v>
      </c>
      <c r="C16" s="242">
        <v>2.0</v>
      </c>
      <c r="D16" s="242">
        <v>0.0</v>
      </c>
      <c r="E16" s="242">
        <v>0.0</v>
      </c>
      <c r="F16" s="242">
        <v>2.0</v>
      </c>
      <c r="G16" s="242">
        <v>1.0</v>
      </c>
      <c r="H16" s="92"/>
      <c r="I16" s="92"/>
      <c r="J16" s="92"/>
      <c r="K16" s="92"/>
      <c r="L16" s="92"/>
      <c r="M16" s="92"/>
      <c r="N16" s="92"/>
      <c r="O16" s="92"/>
      <c r="P16" s="92"/>
      <c r="Q16" s="23">
        <f t="shared" si="1"/>
        <v>5</v>
      </c>
      <c r="R16" s="16">
        <f t="shared" si="4"/>
        <v>1</v>
      </c>
      <c r="S16" s="17">
        <f t="shared" si="3"/>
        <v>0.01170960187</v>
      </c>
    </row>
    <row r="17">
      <c r="A17" s="9">
        <v>15.0</v>
      </c>
      <c r="B17" s="9" t="s">
        <v>28</v>
      </c>
      <c r="C17" s="243">
        <v>0.0</v>
      </c>
      <c r="D17" s="243">
        <v>1.0</v>
      </c>
      <c r="E17" s="243">
        <v>3.0</v>
      </c>
      <c r="F17" s="243">
        <v>6.0</v>
      </c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23">
        <f t="shared" si="1"/>
        <v>10</v>
      </c>
      <c r="R17" s="16">
        <f>AVERAGE(C17:F17)</f>
        <v>2.5</v>
      </c>
      <c r="S17" s="17">
        <f t="shared" si="3"/>
        <v>0.02341920375</v>
      </c>
    </row>
    <row r="18">
      <c r="A18" s="9">
        <v>16.0</v>
      </c>
      <c r="B18" s="9" t="s">
        <v>107</v>
      </c>
      <c r="C18" s="243">
        <v>0.0</v>
      </c>
      <c r="D18" s="243">
        <v>6.0</v>
      </c>
      <c r="E18" s="243">
        <v>4.0</v>
      </c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23">
        <f t="shared" si="1"/>
        <v>10</v>
      </c>
      <c r="R18" s="16">
        <f>AVERAGE(C18:E18)</f>
        <v>3.333333333</v>
      </c>
      <c r="S18" s="17">
        <f t="shared" si="3"/>
        <v>0.02341920375</v>
      </c>
    </row>
    <row r="19">
      <c r="A19" s="9">
        <v>17.0</v>
      </c>
      <c r="B19" s="9" t="s">
        <v>379</v>
      </c>
      <c r="C19" s="243">
        <v>1.0</v>
      </c>
      <c r="D19" s="243">
        <v>1.0</v>
      </c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23">
        <f t="shared" si="1"/>
        <v>2</v>
      </c>
      <c r="R19" s="16">
        <f>AVERAGE(C19:D19)</f>
        <v>1</v>
      </c>
      <c r="S19" s="17">
        <f t="shared" si="3"/>
        <v>0.004683840749</v>
      </c>
    </row>
    <row r="20">
      <c r="A20" s="9">
        <v>18.0</v>
      </c>
      <c r="B20" s="9" t="s">
        <v>380</v>
      </c>
      <c r="C20" s="243">
        <v>3.0</v>
      </c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23">
        <f t="shared" si="1"/>
        <v>3</v>
      </c>
      <c r="R20" s="16">
        <f t="shared" ref="R20:R22" si="5">AVERAGE(C20)</f>
        <v>3</v>
      </c>
      <c r="S20" s="17">
        <f t="shared" si="3"/>
        <v>0.007025761124</v>
      </c>
    </row>
    <row r="21">
      <c r="A21" s="9">
        <v>19.0</v>
      </c>
      <c r="B21" s="9" t="s">
        <v>381</v>
      </c>
      <c r="C21" s="190">
        <v>1.0</v>
      </c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23">
        <f t="shared" si="1"/>
        <v>1</v>
      </c>
      <c r="R21" s="16">
        <f t="shared" si="5"/>
        <v>1</v>
      </c>
      <c r="S21" s="17">
        <f t="shared" si="3"/>
        <v>0.002341920375</v>
      </c>
    </row>
    <row r="22">
      <c r="A22" s="9">
        <v>20.0</v>
      </c>
      <c r="B22" s="9" t="s">
        <v>262</v>
      </c>
      <c r="C22" s="190">
        <v>1.0</v>
      </c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23">
        <f t="shared" si="1"/>
        <v>1</v>
      </c>
      <c r="R22" s="16">
        <f t="shared" si="5"/>
        <v>1</v>
      </c>
      <c r="S22" s="17">
        <f t="shared" si="3"/>
        <v>0.002341920375</v>
      </c>
    </row>
    <row r="23">
      <c r="A23" s="4" t="s">
        <v>40</v>
      </c>
      <c r="B23" s="3"/>
      <c r="C23" s="23">
        <f t="shared" ref="C23:Q23" si="6">SUM(C3:C22)</f>
        <v>38</v>
      </c>
      <c r="D23" s="23">
        <f t="shared" si="6"/>
        <v>32</v>
      </c>
      <c r="E23" s="23">
        <f t="shared" si="6"/>
        <v>31</v>
      </c>
      <c r="F23" s="23">
        <f t="shared" si="6"/>
        <v>44</v>
      </c>
      <c r="G23" s="23">
        <f t="shared" si="6"/>
        <v>19</v>
      </c>
      <c r="H23" s="23">
        <f t="shared" si="6"/>
        <v>28</v>
      </c>
      <c r="I23" s="23">
        <f t="shared" si="6"/>
        <v>42</v>
      </c>
      <c r="J23" s="23">
        <f t="shared" si="6"/>
        <v>35</v>
      </c>
      <c r="K23" s="23">
        <f t="shared" si="6"/>
        <v>29</v>
      </c>
      <c r="L23" s="23">
        <f t="shared" si="6"/>
        <v>27</v>
      </c>
      <c r="M23" s="23">
        <f t="shared" si="6"/>
        <v>33</v>
      </c>
      <c r="N23" s="23">
        <f t="shared" si="6"/>
        <v>30</v>
      </c>
      <c r="O23" s="23">
        <f t="shared" si="6"/>
        <v>18</v>
      </c>
      <c r="P23" s="23">
        <f t="shared" si="6"/>
        <v>21</v>
      </c>
      <c r="Q23" s="23">
        <f t="shared" si="6"/>
        <v>427</v>
      </c>
      <c r="R23" s="16"/>
      <c r="S23" s="82"/>
    </row>
    <row r="24">
      <c r="A24" s="35" t="s">
        <v>18</v>
      </c>
      <c r="B24" s="3"/>
      <c r="C24" s="16">
        <f>AVERAGE(C3:C22)</f>
        <v>1.9</v>
      </c>
      <c r="D24" s="16">
        <f>AVERAGE(D3:D19)</f>
        <v>1.882352941</v>
      </c>
      <c r="E24" s="16">
        <f>AVERAGE(E3:E18)</f>
        <v>1.9375</v>
      </c>
      <c r="F24" s="16">
        <f>AVERAGE(F3:F17)</f>
        <v>2.933333333</v>
      </c>
      <c r="G24" s="16">
        <f>AVERAGE(G3:G16)</f>
        <v>1.357142857</v>
      </c>
      <c r="H24" s="16">
        <f>AVERAGE(H3:H14)</f>
        <v>2.333333333</v>
      </c>
      <c r="I24" s="16">
        <f>AVERAGE(I3:I13)</f>
        <v>3.818181818</v>
      </c>
      <c r="J24" s="16">
        <f>AVERAGE(J3:J12)</f>
        <v>3.5</v>
      </c>
      <c r="K24" s="16">
        <f>AVERAGE(K3:K11)</f>
        <v>3.222222222</v>
      </c>
      <c r="L24" s="16">
        <f>AVERAGE(L3:L10)</f>
        <v>3.375</v>
      </c>
      <c r="M24" s="16">
        <f>AVERAGE(M3:M9)</f>
        <v>4.714285714</v>
      </c>
      <c r="N24" s="16">
        <f>AVERAGE(N3:N8)</f>
        <v>5</v>
      </c>
      <c r="O24" s="16">
        <f>AVERAGE(O3:O7)</f>
        <v>3.6</v>
      </c>
      <c r="P24" s="16">
        <f>AVERAGE(P3:P6)</f>
        <v>5.25</v>
      </c>
      <c r="Q24" s="16"/>
      <c r="R24" s="16"/>
      <c r="S24" s="16"/>
    </row>
    <row r="25">
      <c r="A25" s="4" t="s">
        <v>41</v>
      </c>
      <c r="B25" s="3"/>
      <c r="C25" s="40" t="str">
        <f>HYPERLINK("https://docs.google.com/document/d/1cTyvYQB3IeB8zIlW9uqZe0FGkCovy_r__PJ3cU9vwYY/edit?usp=sharing","Link")</f>
        <v>Link</v>
      </c>
      <c r="D25" s="40" t="str">
        <f>HYPERLINK("https://docs.google.com/document/d/1nWnN_ChA1cnrDrpjlDgtrmWqUBfK-0dsOp4rplnrhC4/edit?usp=sharing","Link")</f>
        <v>Link</v>
      </c>
      <c r="E25" s="40" t="str">
        <f>HYPERLINK("https://docs.google.com/document/d/1yR0LWnFwOR9m_lfhO12HeT_JrpgwHqCJwBYsy00t8JQ/edit?usp=sharing","Link")</f>
        <v>Link</v>
      </c>
      <c r="F25" s="40" t="str">
        <f>HYPERLINK("https://docs.google.com/document/d/1QbqomzFV0KJ44xGVaP2eJ2VE6yf-dErTudPUPizSyzY/edit?usp=sharing","Link")</f>
        <v>Link</v>
      </c>
      <c r="G25" s="40" t="str">
        <f>HYPERLINK("https://docs.google.com/document/d/1foz5MFDUpVHrc_y0jS4BkUrbrDSYuuhlNgvDKDWWlyE/edit?usp=sharing","Link")</f>
        <v>Link</v>
      </c>
      <c r="H25" s="40" t="str">
        <f>HYPERLINK("https://docs.google.com/document/d/1c8CrVQDNIqVz3C29IjZqhr3LcN0OebCYgcKTuLMhW-g/edit?usp=sharing","Link")</f>
        <v>Link</v>
      </c>
      <c r="I25" s="40" t="str">
        <f>HYPERLINK("https://docs.google.com/document/d/12BlB3dDxJiYV8VaYidwTaVctT34dq0X22Uxl3XUN-DM/edit?usp=sharing","Link")</f>
        <v>Link</v>
      </c>
      <c r="J25" s="40" t="str">
        <f>HYPERLINK("https://docs.google.com/document/d/11w6yBUjsu8V_XSpAhgfpyhn0Hy9_8uqNquAzY65hsGw/edit?usp=sharing","Link")</f>
        <v>Link</v>
      </c>
      <c r="K25" s="40" t="str">
        <f>HYPERLINK("https://docs.google.com/document/d/1EvHZas7WotwbWYEWBSj5cFsDtuNX5ypee408xXfE_PY/edit?usp=sharing","Link")</f>
        <v>Link</v>
      </c>
      <c r="L25" s="40" t="str">
        <f>HYPERLINK("https://docs.google.com/document/d/1RK1b3fgDSvM8LOBYxQHdHXK_-0y4bsFxaAKvUOjqpR8/edit?usp=sharing","Link")</f>
        <v>Link</v>
      </c>
      <c r="M25" s="40" t="str">
        <f>HYPERLINK("https://docs.google.com/document/d/19JL4CQUzUnQfeyxDKreUljbMcGR3pRxt39C9GkaI7sY/edit?usp=sharing","Link")</f>
        <v>Link</v>
      </c>
      <c r="N25" s="40" t="str">
        <f>HYPERLINK("https://docs.google.com/document/d/12YZ8wlBvGlVchBXaiyvzIM-dDLHDDw34oFCUJohEY7Y/edit?usp=sharing","Link")</f>
        <v>Link</v>
      </c>
      <c r="O25" s="40" t="str">
        <f>HYPERLINK("https://docs.google.com/document/d/1SpEISYy-MBtIR8Vgik2NS2PcAU7MDj_AOKtqyaxASGA/edit?usp=sharing","Link")</f>
        <v>Link</v>
      </c>
      <c r="P25" s="40" t="str">
        <f>HYPERLINK("https://docs.google.com/document/d/1g-oJlYeUCK8WIsvoWc_W0wMdEx_1Qf09kXvtXKRpl0M/edit?usp=sharing","Link")</f>
        <v>Link</v>
      </c>
      <c r="Q25" s="83" t="str">
        <f>HYPERLINK("https://docs.google.com/document/d/1HgU0HODTszz5HmeVYNv7xVXMEILLNrGfP85RzjSEGio/edit?usp=sharing","Season Transcript")</f>
        <v>Season Transcript</v>
      </c>
      <c r="R25" s="3"/>
      <c r="S25" s="226" t="str">
        <f>HYPERLINK("https://docs.google.com/document/d/1BnFhcxCw_Z4NH1XPPZGP813EZtXVtO_6v-rUg4XhhQo/edit?usp=sharing","Differences")</f>
        <v>Differences</v>
      </c>
    </row>
    <row r="26"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  <c r="S26" s="150"/>
    </row>
    <row r="27">
      <c r="A27" s="244" t="s">
        <v>382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152"/>
    </row>
    <row r="28">
      <c r="A28" s="245" t="s">
        <v>383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152"/>
    </row>
    <row r="29">
      <c r="A29" s="106" t="s">
        <v>384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152"/>
    </row>
  </sheetData>
  <mergeCells count="10">
    <mergeCell ref="A27:B27"/>
    <mergeCell ref="A28:B28"/>
    <mergeCell ref="A29:B29"/>
    <mergeCell ref="A1:S1"/>
    <mergeCell ref="A2:B2"/>
    <mergeCell ref="A23:B23"/>
    <mergeCell ref="A24:B24"/>
    <mergeCell ref="A25:B25"/>
    <mergeCell ref="Q25:R25"/>
    <mergeCell ref="A26:B26"/>
  </mergeCells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385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17</v>
      </c>
      <c r="R2" s="7" t="s">
        <v>18</v>
      </c>
      <c r="S2" s="8" t="s">
        <v>19</v>
      </c>
    </row>
    <row r="3">
      <c r="A3" s="9">
        <v>1.0</v>
      </c>
      <c r="B3" s="9" t="s">
        <v>60</v>
      </c>
      <c r="C3" s="158">
        <v>4.0</v>
      </c>
      <c r="D3" s="158">
        <v>1.0</v>
      </c>
      <c r="E3" s="158">
        <v>0.0</v>
      </c>
      <c r="F3" s="158">
        <v>2.0</v>
      </c>
      <c r="G3" s="158">
        <v>0.0</v>
      </c>
      <c r="H3" s="158">
        <v>1.0</v>
      </c>
      <c r="I3" s="158">
        <v>1.0</v>
      </c>
      <c r="J3" s="172">
        <v>6.0</v>
      </c>
      <c r="K3" s="172">
        <v>4.0</v>
      </c>
      <c r="L3" s="172">
        <v>6.0</v>
      </c>
      <c r="M3" s="172">
        <v>6.0</v>
      </c>
      <c r="N3" s="172">
        <v>9.0</v>
      </c>
      <c r="O3" s="172">
        <v>16.0</v>
      </c>
      <c r="P3" s="172">
        <v>15.0</v>
      </c>
      <c r="Q3" s="23">
        <f t="shared" ref="Q3:Q20" si="1">SUM(C3:P3)</f>
        <v>71</v>
      </c>
      <c r="R3" s="16">
        <f t="shared" ref="R3:R6" si="2">AVERAGE(C3:P3)</f>
        <v>5.071428571</v>
      </c>
      <c r="S3" s="17">
        <f t="shared" ref="S3:S20" si="3">Q3/Q$21</f>
        <v>0.169451074</v>
      </c>
    </row>
    <row r="4">
      <c r="A4" s="9">
        <v>2.0</v>
      </c>
      <c r="B4" s="9" t="s">
        <v>386</v>
      </c>
      <c r="C4" s="203">
        <v>2.0</v>
      </c>
      <c r="D4" s="203">
        <v>2.0</v>
      </c>
      <c r="E4" s="203">
        <v>2.0</v>
      </c>
      <c r="F4" s="203">
        <v>2.0</v>
      </c>
      <c r="G4" s="158">
        <v>1.0</v>
      </c>
      <c r="H4" s="158">
        <v>4.0</v>
      </c>
      <c r="I4" s="158">
        <v>2.0</v>
      </c>
      <c r="J4" s="172">
        <v>4.0</v>
      </c>
      <c r="K4" s="172">
        <v>4.0</v>
      </c>
      <c r="L4" s="172">
        <v>1.0</v>
      </c>
      <c r="M4" s="172">
        <v>2.0</v>
      </c>
      <c r="N4" s="172">
        <v>5.0</v>
      </c>
      <c r="O4" s="172">
        <v>1.0</v>
      </c>
      <c r="P4" s="172">
        <v>7.0</v>
      </c>
      <c r="Q4" s="23">
        <f t="shared" si="1"/>
        <v>39</v>
      </c>
      <c r="R4" s="16">
        <f t="shared" si="2"/>
        <v>2.785714286</v>
      </c>
      <c r="S4" s="17">
        <f t="shared" si="3"/>
        <v>0.09307875895</v>
      </c>
    </row>
    <row r="5">
      <c r="A5" s="9">
        <v>3.0</v>
      </c>
      <c r="B5" s="9" t="s">
        <v>387</v>
      </c>
      <c r="C5" s="203">
        <v>4.0</v>
      </c>
      <c r="D5" s="203">
        <v>1.0</v>
      </c>
      <c r="E5" s="203">
        <v>0.0</v>
      </c>
      <c r="F5" s="203">
        <v>3.0</v>
      </c>
      <c r="G5" s="203">
        <v>0.0</v>
      </c>
      <c r="H5" s="203">
        <v>1.0</v>
      </c>
      <c r="I5" s="203">
        <v>1.0</v>
      </c>
      <c r="J5" s="172">
        <v>3.0</v>
      </c>
      <c r="K5" s="172">
        <v>2.0</v>
      </c>
      <c r="L5" s="172">
        <v>3.0</v>
      </c>
      <c r="M5" s="172">
        <v>3.0</v>
      </c>
      <c r="N5" s="172">
        <v>2.0</v>
      </c>
      <c r="O5" s="172">
        <v>0.0</v>
      </c>
      <c r="P5" s="172">
        <v>2.0</v>
      </c>
      <c r="Q5" s="23">
        <f t="shared" si="1"/>
        <v>25</v>
      </c>
      <c r="R5" s="16">
        <f t="shared" si="2"/>
        <v>1.785714286</v>
      </c>
      <c r="S5" s="17">
        <f t="shared" si="3"/>
        <v>0.05966587112</v>
      </c>
    </row>
    <row r="6">
      <c r="A6" s="9">
        <v>4.0</v>
      </c>
      <c r="B6" s="9" t="s">
        <v>388</v>
      </c>
      <c r="C6" s="203">
        <v>6.0</v>
      </c>
      <c r="D6" s="203">
        <v>2.0</v>
      </c>
      <c r="E6" s="203">
        <v>3.0</v>
      </c>
      <c r="F6" s="203">
        <v>5.0</v>
      </c>
      <c r="G6" s="203">
        <v>2.0</v>
      </c>
      <c r="H6" s="203">
        <v>0.0</v>
      </c>
      <c r="I6" s="203">
        <v>2.0</v>
      </c>
      <c r="J6" s="172">
        <v>3.0</v>
      </c>
      <c r="K6" s="172">
        <v>6.0</v>
      </c>
      <c r="L6" s="172">
        <v>5.0</v>
      </c>
      <c r="M6" s="172">
        <v>5.0</v>
      </c>
      <c r="N6" s="172">
        <v>6.0</v>
      </c>
      <c r="O6" s="172">
        <v>7.0</v>
      </c>
      <c r="P6" s="172">
        <v>2.0</v>
      </c>
      <c r="Q6" s="23">
        <f t="shared" si="1"/>
        <v>54</v>
      </c>
      <c r="R6" s="16">
        <f t="shared" si="2"/>
        <v>3.857142857</v>
      </c>
      <c r="S6" s="17">
        <f t="shared" si="3"/>
        <v>0.1288782816</v>
      </c>
    </row>
    <row r="7">
      <c r="A7" s="9">
        <v>5.0</v>
      </c>
      <c r="B7" s="9" t="s">
        <v>199</v>
      </c>
      <c r="C7" s="203">
        <v>1.0</v>
      </c>
      <c r="D7" s="203">
        <v>1.0</v>
      </c>
      <c r="E7" s="203">
        <v>0.0</v>
      </c>
      <c r="F7" s="203">
        <v>2.0</v>
      </c>
      <c r="G7" s="158">
        <v>1.0</v>
      </c>
      <c r="H7" s="158">
        <v>3.0</v>
      </c>
      <c r="I7" s="158">
        <v>3.0</v>
      </c>
      <c r="J7" s="172">
        <v>2.0</v>
      </c>
      <c r="K7" s="172">
        <v>2.0</v>
      </c>
      <c r="L7" s="172">
        <v>0.0</v>
      </c>
      <c r="M7" s="172">
        <v>0.0</v>
      </c>
      <c r="N7" s="172">
        <v>1.0</v>
      </c>
      <c r="O7" s="172">
        <v>9.0</v>
      </c>
      <c r="P7" s="148"/>
      <c r="Q7" s="23">
        <f t="shared" si="1"/>
        <v>25</v>
      </c>
      <c r="R7" s="16">
        <f>AVERAGE(C7:O7)</f>
        <v>1.923076923</v>
      </c>
      <c r="S7" s="17">
        <f t="shared" si="3"/>
        <v>0.05966587112</v>
      </c>
    </row>
    <row r="8">
      <c r="A8" s="9">
        <v>6.0</v>
      </c>
      <c r="B8" s="9" t="s">
        <v>389</v>
      </c>
      <c r="C8" s="203">
        <v>1.0</v>
      </c>
      <c r="D8" s="203">
        <v>1.0</v>
      </c>
      <c r="E8" s="203">
        <v>0.0</v>
      </c>
      <c r="F8" s="203">
        <v>1.0</v>
      </c>
      <c r="G8" s="203">
        <v>5.0</v>
      </c>
      <c r="H8" s="203">
        <v>2.0</v>
      </c>
      <c r="I8" s="203">
        <v>3.0</v>
      </c>
      <c r="J8" s="172">
        <v>2.0</v>
      </c>
      <c r="K8" s="172">
        <v>2.0</v>
      </c>
      <c r="L8" s="172">
        <v>8.0</v>
      </c>
      <c r="M8" s="172">
        <v>3.0</v>
      </c>
      <c r="N8" s="172">
        <v>10.0</v>
      </c>
      <c r="O8" s="148"/>
      <c r="P8" s="148"/>
      <c r="Q8" s="23">
        <f t="shared" si="1"/>
        <v>38</v>
      </c>
      <c r="R8" s="16">
        <f>AVERAGE(C8:N8)</f>
        <v>3.166666667</v>
      </c>
      <c r="S8" s="17">
        <f t="shared" si="3"/>
        <v>0.09069212411</v>
      </c>
    </row>
    <row r="9">
      <c r="A9" s="9">
        <v>7.0</v>
      </c>
      <c r="B9" s="9" t="s">
        <v>390</v>
      </c>
      <c r="C9" s="203">
        <v>3.0</v>
      </c>
      <c r="D9" s="203">
        <v>1.0</v>
      </c>
      <c r="E9" s="203">
        <v>1.0</v>
      </c>
      <c r="F9" s="203">
        <v>2.0</v>
      </c>
      <c r="G9" s="203">
        <v>1.0</v>
      </c>
      <c r="H9" s="203">
        <v>4.0</v>
      </c>
      <c r="I9" s="203">
        <v>1.0</v>
      </c>
      <c r="J9" s="172">
        <v>0.0</v>
      </c>
      <c r="K9" s="172">
        <v>3.0</v>
      </c>
      <c r="L9" s="172">
        <v>1.0</v>
      </c>
      <c r="M9" s="172">
        <v>5.0</v>
      </c>
      <c r="N9" s="148"/>
      <c r="O9" s="148"/>
      <c r="P9" s="148"/>
      <c r="Q9" s="23">
        <f t="shared" si="1"/>
        <v>22</v>
      </c>
      <c r="R9" s="16">
        <f>AVERAGE(C9:M9)</f>
        <v>2</v>
      </c>
      <c r="S9" s="17">
        <f t="shared" si="3"/>
        <v>0.05250596659</v>
      </c>
    </row>
    <row r="10">
      <c r="A10" s="9">
        <v>8.0</v>
      </c>
      <c r="B10" s="9" t="s">
        <v>391</v>
      </c>
      <c r="C10" s="158">
        <v>2.0</v>
      </c>
      <c r="D10" s="158">
        <v>1.0</v>
      </c>
      <c r="E10" s="158">
        <v>0.0</v>
      </c>
      <c r="F10" s="158">
        <v>1.0</v>
      </c>
      <c r="G10" s="158">
        <v>1.0</v>
      </c>
      <c r="H10" s="158">
        <v>1.0</v>
      </c>
      <c r="I10" s="158">
        <v>3.0</v>
      </c>
      <c r="J10" s="172">
        <v>3.0</v>
      </c>
      <c r="K10" s="172">
        <v>0.0</v>
      </c>
      <c r="L10" s="172">
        <v>3.0</v>
      </c>
      <c r="M10" s="148"/>
      <c r="N10" s="148"/>
      <c r="O10" s="148"/>
      <c r="P10" s="148"/>
      <c r="Q10" s="23">
        <f t="shared" si="1"/>
        <v>15</v>
      </c>
      <c r="R10" s="16">
        <f>AVERAGE(C10:L10)</f>
        <v>1.5</v>
      </c>
      <c r="S10" s="17">
        <f t="shared" si="3"/>
        <v>0.03579952267</v>
      </c>
    </row>
    <row r="11">
      <c r="A11" s="9">
        <v>9.0</v>
      </c>
      <c r="B11" s="9" t="s">
        <v>392</v>
      </c>
      <c r="C11" s="158">
        <v>4.0</v>
      </c>
      <c r="D11" s="158">
        <v>0.0</v>
      </c>
      <c r="E11" s="158">
        <v>2.0</v>
      </c>
      <c r="F11" s="158">
        <v>2.0</v>
      </c>
      <c r="G11" s="158">
        <v>2.0</v>
      </c>
      <c r="H11" s="158">
        <v>5.0</v>
      </c>
      <c r="I11" s="158">
        <v>2.0</v>
      </c>
      <c r="J11" s="172">
        <v>8.0</v>
      </c>
      <c r="K11" s="172">
        <v>6.0</v>
      </c>
      <c r="L11" s="148"/>
      <c r="M11" s="148"/>
      <c r="N11" s="148"/>
      <c r="O11" s="148"/>
      <c r="P11" s="148"/>
      <c r="Q11" s="23">
        <f t="shared" si="1"/>
        <v>31</v>
      </c>
      <c r="R11" s="16">
        <f>AVERAGE(C11:K11)</f>
        <v>3.444444444</v>
      </c>
      <c r="S11" s="17">
        <f t="shared" si="3"/>
        <v>0.07398568019</v>
      </c>
    </row>
    <row r="12">
      <c r="A12" s="9">
        <v>10.0</v>
      </c>
      <c r="B12" s="9" t="s">
        <v>393</v>
      </c>
      <c r="C12" s="158">
        <v>3.0</v>
      </c>
      <c r="D12" s="158">
        <v>2.0</v>
      </c>
      <c r="E12" s="158">
        <v>1.0</v>
      </c>
      <c r="F12" s="158">
        <v>6.0</v>
      </c>
      <c r="G12" s="203">
        <v>2.0</v>
      </c>
      <c r="H12" s="203">
        <v>7.0</v>
      </c>
      <c r="I12" s="203">
        <v>6.0</v>
      </c>
      <c r="J12" s="172">
        <v>4.0</v>
      </c>
      <c r="K12" s="148"/>
      <c r="L12" s="148"/>
      <c r="M12" s="148"/>
      <c r="N12" s="148"/>
      <c r="O12" s="148"/>
      <c r="P12" s="148"/>
      <c r="Q12" s="23">
        <f t="shared" si="1"/>
        <v>31</v>
      </c>
      <c r="R12" s="16">
        <f>AVERAGE(C12:J12)</f>
        <v>3.875</v>
      </c>
      <c r="S12" s="17">
        <f t="shared" si="3"/>
        <v>0.07398568019</v>
      </c>
    </row>
    <row r="13">
      <c r="A13" s="9">
        <v>11.0</v>
      </c>
      <c r="B13" s="9" t="s">
        <v>394</v>
      </c>
      <c r="C13" s="158">
        <v>1.0</v>
      </c>
      <c r="D13" s="158">
        <v>0.0</v>
      </c>
      <c r="E13" s="158">
        <v>4.0</v>
      </c>
      <c r="F13" s="158">
        <v>2.0</v>
      </c>
      <c r="G13" s="158">
        <v>2.0</v>
      </c>
      <c r="H13" s="158">
        <v>0.0</v>
      </c>
      <c r="I13" s="158">
        <v>5.0</v>
      </c>
      <c r="J13" s="148"/>
      <c r="K13" s="148"/>
      <c r="L13" s="148"/>
      <c r="M13" s="148"/>
      <c r="N13" s="148"/>
      <c r="O13" s="148"/>
      <c r="P13" s="148"/>
      <c r="Q13" s="23">
        <f t="shared" si="1"/>
        <v>14</v>
      </c>
      <c r="R13" s="16">
        <f>AVERAGE(C13:I13)</f>
        <v>2</v>
      </c>
      <c r="S13" s="17">
        <f t="shared" si="3"/>
        <v>0.03341288783</v>
      </c>
    </row>
    <row r="14">
      <c r="A14" s="9">
        <v>12.0</v>
      </c>
      <c r="B14" s="9" t="s">
        <v>260</v>
      </c>
      <c r="C14" s="203">
        <v>1.0</v>
      </c>
      <c r="D14" s="203">
        <v>0.0</v>
      </c>
      <c r="E14" s="203">
        <v>1.0</v>
      </c>
      <c r="F14" s="203">
        <v>2.0</v>
      </c>
      <c r="G14" s="203">
        <v>1.0</v>
      </c>
      <c r="H14" s="203">
        <v>2.0</v>
      </c>
      <c r="I14" s="148"/>
      <c r="J14" s="148"/>
      <c r="K14" s="148"/>
      <c r="L14" s="148"/>
      <c r="M14" s="148"/>
      <c r="N14" s="148"/>
      <c r="O14" s="148"/>
      <c r="P14" s="148"/>
      <c r="Q14" s="23">
        <f t="shared" si="1"/>
        <v>7</v>
      </c>
      <c r="R14" s="16">
        <f>AVERAGE(C14:H14)</f>
        <v>1.166666667</v>
      </c>
      <c r="S14" s="17">
        <f t="shared" si="3"/>
        <v>0.01670644391</v>
      </c>
    </row>
    <row r="15">
      <c r="A15" s="9">
        <v>13.0</v>
      </c>
      <c r="B15" s="9" t="s">
        <v>395</v>
      </c>
      <c r="C15" s="158">
        <v>3.0</v>
      </c>
      <c r="D15" s="158">
        <v>2.0</v>
      </c>
      <c r="E15" s="158">
        <v>0.0</v>
      </c>
      <c r="F15" s="158">
        <v>3.0</v>
      </c>
      <c r="G15" s="203">
        <v>4.0</v>
      </c>
      <c r="H15" s="148"/>
      <c r="I15" s="148"/>
      <c r="J15" s="148"/>
      <c r="K15" s="148"/>
      <c r="L15" s="148"/>
      <c r="M15" s="148"/>
      <c r="N15" s="148"/>
      <c r="O15" s="148"/>
      <c r="P15" s="148"/>
      <c r="Q15" s="23">
        <f t="shared" si="1"/>
        <v>12</v>
      </c>
      <c r="R15" s="16">
        <f>AVERAGE(C15:G15)</f>
        <v>2.4</v>
      </c>
      <c r="S15" s="17">
        <f t="shared" si="3"/>
        <v>0.02863961814</v>
      </c>
    </row>
    <row r="16">
      <c r="A16" s="9">
        <v>14.0</v>
      </c>
      <c r="B16" s="9" t="s">
        <v>396</v>
      </c>
      <c r="C16" s="158">
        <v>4.0</v>
      </c>
      <c r="D16" s="158">
        <v>0.0</v>
      </c>
      <c r="E16" s="158">
        <v>0.0</v>
      </c>
      <c r="F16" s="158">
        <v>6.0</v>
      </c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23">
        <f t="shared" si="1"/>
        <v>10</v>
      </c>
      <c r="R16" s="16">
        <f>AVERAGE(C16:F16)</f>
        <v>2.5</v>
      </c>
      <c r="S16" s="17">
        <f t="shared" si="3"/>
        <v>0.02386634845</v>
      </c>
    </row>
    <row r="17">
      <c r="A17" s="9">
        <v>15.0</v>
      </c>
      <c r="B17" s="9" t="s">
        <v>397</v>
      </c>
      <c r="C17" s="203">
        <v>3.0</v>
      </c>
      <c r="D17" s="203">
        <v>1.0</v>
      </c>
      <c r="E17" s="203">
        <v>4.0</v>
      </c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23">
        <f t="shared" si="1"/>
        <v>8</v>
      </c>
      <c r="R17" s="16">
        <f t="shared" ref="R17:R18" si="4">AVERAGE(C17:E17)</f>
        <v>2.666666667</v>
      </c>
      <c r="S17" s="17">
        <f t="shared" si="3"/>
        <v>0.01909307876</v>
      </c>
    </row>
    <row r="18">
      <c r="A18" s="9">
        <v>16.0</v>
      </c>
      <c r="B18" s="9" t="s">
        <v>398</v>
      </c>
      <c r="C18" s="158">
        <v>3.0</v>
      </c>
      <c r="D18" s="158">
        <v>1.0</v>
      </c>
      <c r="E18" s="158">
        <v>3.0</v>
      </c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23">
        <f t="shared" si="1"/>
        <v>7</v>
      </c>
      <c r="R18" s="16">
        <f t="shared" si="4"/>
        <v>2.333333333</v>
      </c>
      <c r="S18" s="17">
        <f t="shared" si="3"/>
        <v>0.01670644391</v>
      </c>
    </row>
    <row r="19">
      <c r="A19" s="9">
        <v>17.0</v>
      </c>
      <c r="B19" s="9" t="s">
        <v>399</v>
      </c>
      <c r="C19" s="203">
        <v>1.0</v>
      </c>
      <c r="D19" s="203">
        <v>5.0</v>
      </c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23">
        <f t="shared" si="1"/>
        <v>6</v>
      </c>
      <c r="R19" s="16">
        <f>AVERAGE(C19:D19)</f>
        <v>3</v>
      </c>
      <c r="S19" s="17">
        <f t="shared" si="3"/>
        <v>0.01431980907</v>
      </c>
    </row>
    <row r="20">
      <c r="A20" s="9">
        <v>18.0</v>
      </c>
      <c r="B20" s="9" t="s">
        <v>400</v>
      </c>
      <c r="C20" s="158">
        <v>4.0</v>
      </c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23">
        <f t="shared" si="1"/>
        <v>4</v>
      </c>
      <c r="R20" s="16">
        <f>AVERAGE(C20)</f>
        <v>4</v>
      </c>
      <c r="S20" s="17">
        <f t="shared" si="3"/>
        <v>0.009546539379</v>
      </c>
    </row>
    <row r="21">
      <c r="A21" s="4" t="s">
        <v>40</v>
      </c>
      <c r="B21" s="3"/>
      <c r="C21" s="23">
        <f t="shared" ref="C21:Q21" si="5">SUM(C3:C20)</f>
        <v>50</v>
      </c>
      <c r="D21" s="23">
        <f t="shared" si="5"/>
        <v>21</v>
      </c>
      <c r="E21" s="23">
        <f t="shared" si="5"/>
        <v>21</v>
      </c>
      <c r="F21" s="23">
        <f t="shared" si="5"/>
        <v>39</v>
      </c>
      <c r="G21" s="23">
        <f t="shared" si="5"/>
        <v>22</v>
      </c>
      <c r="H21" s="23">
        <f t="shared" si="5"/>
        <v>30</v>
      </c>
      <c r="I21" s="23">
        <f t="shared" si="5"/>
        <v>29</v>
      </c>
      <c r="J21" s="23">
        <f t="shared" si="5"/>
        <v>35</v>
      </c>
      <c r="K21" s="23">
        <f t="shared" si="5"/>
        <v>29</v>
      </c>
      <c r="L21" s="23">
        <f t="shared" si="5"/>
        <v>27</v>
      </c>
      <c r="M21" s="23">
        <f t="shared" si="5"/>
        <v>24</v>
      </c>
      <c r="N21" s="23">
        <f t="shared" si="5"/>
        <v>33</v>
      </c>
      <c r="O21" s="23">
        <f t="shared" si="5"/>
        <v>33</v>
      </c>
      <c r="P21" s="23">
        <f t="shared" si="5"/>
        <v>26</v>
      </c>
      <c r="Q21" s="23">
        <f t="shared" si="5"/>
        <v>419</v>
      </c>
      <c r="R21" s="16"/>
      <c r="S21" s="82"/>
    </row>
    <row r="22">
      <c r="A22" s="35" t="s">
        <v>18</v>
      </c>
      <c r="B22" s="3"/>
      <c r="C22" s="16">
        <f>AVERAGE(C3:C20)</f>
        <v>2.777777778</v>
      </c>
      <c r="D22" s="16">
        <f>AVERAGE(D3:D19)</f>
        <v>1.235294118</v>
      </c>
      <c r="E22" s="16">
        <f>AVERAGE(E3:E18)</f>
        <v>1.3125</v>
      </c>
      <c r="F22" s="16">
        <f>AVERAGE(F3:F16)</f>
        <v>2.785714286</v>
      </c>
      <c r="G22" s="16">
        <f>AVERAGE(G3:G15)</f>
        <v>1.692307692</v>
      </c>
      <c r="H22" s="16">
        <f>AVERAGE(H3:H14)</f>
        <v>2.5</v>
      </c>
      <c r="I22" s="16">
        <f>AVERAGE(I3:I13)</f>
        <v>2.636363636</v>
      </c>
      <c r="J22" s="16">
        <f>AVERAGE(J3:J12)</f>
        <v>3.5</v>
      </c>
      <c r="K22" s="16">
        <f>AVERAGE(K3:K11)</f>
        <v>3.222222222</v>
      </c>
      <c r="L22" s="16">
        <f>AVERAGE(L3:L10)</f>
        <v>3.375</v>
      </c>
      <c r="M22" s="16">
        <f>AVERAGE(M3:M9)</f>
        <v>3.428571429</v>
      </c>
      <c r="N22" s="16">
        <f>AVERAGE(N3:N8)</f>
        <v>5.5</v>
      </c>
      <c r="O22" s="16">
        <f>AVERAGE(O3:O7)</f>
        <v>6.6</v>
      </c>
      <c r="P22" s="16">
        <f>AVERAGE(P3:P6)</f>
        <v>6.5</v>
      </c>
      <c r="Q22" s="16"/>
      <c r="R22" s="16"/>
      <c r="S22" s="82"/>
    </row>
    <row r="23">
      <c r="A23" s="4" t="s">
        <v>41</v>
      </c>
      <c r="B23" s="3"/>
      <c r="C23" s="40" t="str">
        <f>HYPERLINK("https://docs.google.com/document/d/108q4OlZFrb3wDYpLkAyk4QEhKjDiuE_nTArCRP-dRU0/edit?usp=sharing","Link")</f>
        <v>Link</v>
      </c>
      <c r="D23" s="40" t="str">
        <f>HYPERLINK("https://docs.google.com/document/d/1lGjesH-bg5IUiVx1IrnIQMSB9Hl0rL-UCqf3_oJL-W8/edit?usp=sharing","Link")</f>
        <v>Link</v>
      </c>
      <c r="E23" s="40" t="str">
        <f>HYPERLINK("https://docs.google.com/document/d/14u2iOJvEbvbFdglTWZmK6l-ctOd02DEuIZEPlW3z1T4/edit?usp=sharing","Link")</f>
        <v>Link</v>
      </c>
      <c r="F23" s="40" t="str">
        <f>HYPERLINK("https://docs.google.com/document/d/1ToVocHj3bUG7WVnWGzc6Qyp6TnC8eY062wpTYtWEN_c/edit?usp=sharing","Link")</f>
        <v>Link</v>
      </c>
      <c r="G23" s="40" t="str">
        <f>HYPERLINK("https://docs.google.com/document/d/1RRQUaFkxiI4H8ysVVsTvZdoMYaU_Yo7Mxn62OS5ODho/edit?usp=sharing","Link")</f>
        <v>Link</v>
      </c>
      <c r="H23" s="40" t="str">
        <f>HYPERLINK("https://docs.google.com/document/d/1DijRGKvTHFmHR4SP9WygE9oL4VIrqMTGGlQosreIK20/edit?usp=sharing","Link")</f>
        <v>Link</v>
      </c>
      <c r="I23" s="40" t="str">
        <f>HYPERLINK("https://docs.google.com/document/d/1rdrsiDuFYE-cPN9fyJuIuTYllWwO4wf4D50rq_3Y97A/edit?usp=sharing","Link")</f>
        <v>Link</v>
      </c>
      <c r="J23" s="40" t="str">
        <f>HYPERLINK("https://docs.google.com/document/d/1PJ1JNlT8vzf_yJSxVcLLZ2fdKAE0ZZLWWc1C00pfkBE/edit?usp=sharing","Link")</f>
        <v>Link</v>
      </c>
      <c r="K23" s="40" t="str">
        <f>HYPERLINK("https://docs.google.com/document/d/1x4en9niTdDfvvBE9OdpaOAgRSE04bVNaNnIkMkN7gDs/edit?usp=sharing","Link")</f>
        <v>Link</v>
      </c>
      <c r="L23" s="40" t="str">
        <f>HYPERLINK("https://docs.google.com/document/d/1dxCWImA9LBcUsbDs3on8k76Y4DhJ3K_uNOd0Edl1LVM/edit?usp=sharing","Link")</f>
        <v>Link</v>
      </c>
      <c r="M23" s="40" t="str">
        <f>HYPERLINK("https://docs.google.com/document/d/1W3GCghG7pLnFLEMzCLh3rS9lSEJMgLzl7Co1VJW2gFo/edit?usp=sharing","Link")</f>
        <v>Link</v>
      </c>
      <c r="N23" s="40" t="str">
        <f>HYPERLINK("https://docs.google.com/document/d/1Msitaq3z0TIyD4kz386gip0r8RkdEuvbtugx83SkZVQ/edit?usp=sharing","Link")</f>
        <v>Link</v>
      </c>
      <c r="O23" s="40" t="str">
        <f>HYPERLINK("https://docs.google.com/document/d/1sKzd4MfeB8Gg7L3jBDaKmj-At6-lgMwHxsWDsKJjtjg/edit?usp=sharing","Link")</f>
        <v>Link</v>
      </c>
      <c r="P23" s="40" t="str">
        <f>HYPERLINK("https://docs.google.com/document/d/10cXCOa1KbG_WeIJKhTon_pHN3XkNaQidBj4Fu4xjBu0/edit?usp=sharing","Link")</f>
        <v>Link</v>
      </c>
      <c r="Q23" s="83" t="str">
        <f>HYPERLINK("https://docs.google.com/document/d/10_w1wM1rG4peBBeDdBOQ5cAcgEbS0r7daeFc1EAD0KE/edit?usp=sharing","Season Transcript")</f>
        <v>Season Transcript</v>
      </c>
      <c r="R23" s="3"/>
      <c r="S23" s="138" t="str">
        <f>HYPERLINK("https://docs.google.com/document/d/11II1v_7iGREYGx4FRnJRuW0_SAyvbsxPD9KXrpOb64Y/edit?usp=sharing","Differences")</f>
        <v>Differences</v>
      </c>
    </row>
    <row r="24"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  <c r="S24" s="150"/>
    </row>
    <row r="25">
      <c r="A25" s="168" t="s">
        <v>401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152"/>
    </row>
    <row r="26">
      <c r="A26" s="206" t="s">
        <v>402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152"/>
    </row>
    <row r="27">
      <c r="A27" s="174" t="s">
        <v>403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152"/>
    </row>
  </sheetData>
  <mergeCells count="10">
    <mergeCell ref="A25:B25"/>
    <mergeCell ref="A26:B26"/>
    <mergeCell ref="A27:B27"/>
    <mergeCell ref="A1:S1"/>
    <mergeCell ref="A2:B2"/>
    <mergeCell ref="A21:B21"/>
    <mergeCell ref="A22:B22"/>
    <mergeCell ref="A23:B23"/>
    <mergeCell ref="Q23:R23"/>
    <mergeCell ref="A24:B24"/>
  </mergeCells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8" width="7.29"/>
    <col customWidth="1" min="19" max="19" width="9.43"/>
    <col customWidth="1" min="20" max="20" width="12.29"/>
  </cols>
  <sheetData>
    <row r="1">
      <c r="A1" s="1" t="s">
        <v>404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405</v>
      </c>
      <c r="R2" s="5" t="s">
        <v>17</v>
      </c>
      <c r="S2" s="7" t="s">
        <v>18</v>
      </c>
      <c r="T2" s="8" t="s">
        <v>19</v>
      </c>
    </row>
    <row r="3">
      <c r="A3" s="9">
        <v>1.0</v>
      </c>
      <c r="B3" s="9" t="s">
        <v>39</v>
      </c>
      <c r="C3" s="188">
        <v>1.0</v>
      </c>
      <c r="D3" s="188">
        <v>0.0</v>
      </c>
      <c r="E3" s="188">
        <v>1.0</v>
      </c>
      <c r="F3" s="188">
        <v>1.0</v>
      </c>
      <c r="G3" s="188">
        <v>1.0</v>
      </c>
      <c r="H3" s="188">
        <v>4.0</v>
      </c>
      <c r="I3" s="188">
        <v>3.0</v>
      </c>
      <c r="J3" s="188">
        <v>6.0</v>
      </c>
      <c r="K3" s="188">
        <v>7.0</v>
      </c>
      <c r="L3" s="246">
        <v>2.0</v>
      </c>
      <c r="M3" s="246">
        <v>1.0</v>
      </c>
      <c r="N3" s="246">
        <v>2.0</v>
      </c>
      <c r="O3" s="246">
        <v>1.0</v>
      </c>
      <c r="P3" s="246">
        <v>7.0</v>
      </c>
      <c r="Q3" s="246">
        <v>11.0</v>
      </c>
      <c r="R3" s="23">
        <f t="shared" ref="R3:R20" si="1">SUM(C3:Q3)</f>
        <v>48</v>
      </c>
      <c r="S3" s="16">
        <f t="shared" ref="S3:S6" si="2">AVERAGE(C3:Q3)</f>
        <v>3.2</v>
      </c>
      <c r="T3" s="17">
        <f t="shared" ref="T3:T20" si="3">R3/R$21</f>
        <v>0.09467455621</v>
      </c>
    </row>
    <row r="4">
      <c r="A4" s="9">
        <v>2.0</v>
      </c>
      <c r="B4" s="9" t="s">
        <v>406</v>
      </c>
      <c r="C4" s="188">
        <v>9.0</v>
      </c>
      <c r="D4" s="188">
        <v>2.0</v>
      </c>
      <c r="E4" s="188">
        <v>3.0</v>
      </c>
      <c r="F4" s="188">
        <v>6.0</v>
      </c>
      <c r="G4" s="188">
        <v>1.0</v>
      </c>
      <c r="H4" s="188">
        <v>5.0</v>
      </c>
      <c r="I4" s="188">
        <v>1.0</v>
      </c>
      <c r="J4" s="188">
        <v>7.0</v>
      </c>
      <c r="K4" s="247">
        <v>5.0</v>
      </c>
      <c r="L4" s="246">
        <v>5.0</v>
      </c>
      <c r="M4" s="246">
        <v>6.0</v>
      </c>
      <c r="N4" s="246">
        <v>7.0</v>
      </c>
      <c r="O4" s="246">
        <v>2.0</v>
      </c>
      <c r="P4" s="246">
        <v>8.0</v>
      </c>
      <c r="Q4" s="246">
        <v>8.0</v>
      </c>
      <c r="R4" s="23">
        <f t="shared" si="1"/>
        <v>75</v>
      </c>
      <c r="S4" s="16">
        <f t="shared" si="2"/>
        <v>5</v>
      </c>
      <c r="T4" s="17">
        <f t="shared" si="3"/>
        <v>0.1479289941</v>
      </c>
    </row>
    <row r="5">
      <c r="A5" s="9">
        <v>3.0</v>
      </c>
      <c r="B5" s="9" t="s">
        <v>407</v>
      </c>
      <c r="C5" s="203">
        <v>6.0</v>
      </c>
      <c r="D5" s="203">
        <v>6.0</v>
      </c>
      <c r="E5" s="203">
        <v>0.0</v>
      </c>
      <c r="F5" s="203">
        <v>1.0</v>
      </c>
      <c r="G5" s="188">
        <v>1.0</v>
      </c>
      <c r="H5" s="188">
        <v>0.0</v>
      </c>
      <c r="I5" s="188">
        <v>4.0</v>
      </c>
      <c r="J5" s="188">
        <v>4.0</v>
      </c>
      <c r="K5" s="247">
        <v>2.0</v>
      </c>
      <c r="L5" s="246">
        <v>3.0</v>
      </c>
      <c r="M5" s="246">
        <v>3.0</v>
      </c>
      <c r="N5" s="246">
        <v>2.0</v>
      </c>
      <c r="O5" s="246">
        <v>2.0</v>
      </c>
      <c r="P5" s="246">
        <v>1.0</v>
      </c>
      <c r="Q5" s="246">
        <v>6.0</v>
      </c>
      <c r="R5" s="23">
        <f t="shared" si="1"/>
        <v>41</v>
      </c>
      <c r="S5" s="16">
        <f t="shared" si="2"/>
        <v>2.733333333</v>
      </c>
      <c r="T5" s="17">
        <f t="shared" si="3"/>
        <v>0.0808678501</v>
      </c>
    </row>
    <row r="6">
      <c r="A6" s="9">
        <v>4.0</v>
      </c>
      <c r="B6" s="248" t="s">
        <v>234</v>
      </c>
      <c r="C6" s="203">
        <v>5.0</v>
      </c>
      <c r="D6" s="203">
        <v>4.0</v>
      </c>
      <c r="E6" s="203">
        <v>7.0</v>
      </c>
      <c r="F6" s="203">
        <v>4.0</v>
      </c>
      <c r="G6" s="188">
        <v>2.0</v>
      </c>
      <c r="H6" s="188">
        <v>7.0</v>
      </c>
      <c r="I6" s="188">
        <v>2.0</v>
      </c>
      <c r="J6" s="188">
        <v>3.0</v>
      </c>
      <c r="K6" s="247">
        <v>2.0</v>
      </c>
      <c r="L6" s="246">
        <v>2.0</v>
      </c>
      <c r="M6" s="246">
        <v>2.0</v>
      </c>
      <c r="N6" s="246">
        <v>2.0</v>
      </c>
      <c r="O6" s="246">
        <v>4.0</v>
      </c>
      <c r="P6" s="246">
        <v>9.0</v>
      </c>
      <c r="Q6" s="246">
        <v>4.0</v>
      </c>
      <c r="R6" s="23">
        <f t="shared" si="1"/>
        <v>59</v>
      </c>
      <c r="S6" s="16">
        <f t="shared" si="2"/>
        <v>3.933333333</v>
      </c>
      <c r="T6" s="17">
        <f t="shared" si="3"/>
        <v>0.1163708087</v>
      </c>
    </row>
    <row r="7">
      <c r="A7" s="9">
        <v>5.0</v>
      </c>
      <c r="B7" s="9" t="s">
        <v>371</v>
      </c>
      <c r="C7" s="188">
        <v>4.0</v>
      </c>
      <c r="D7" s="188">
        <v>1.0</v>
      </c>
      <c r="E7" s="188">
        <v>2.0</v>
      </c>
      <c r="F7" s="188">
        <v>5.0</v>
      </c>
      <c r="G7" s="188">
        <v>1.0</v>
      </c>
      <c r="H7" s="188">
        <v>2.0</v>
      </c>
      <c r="I7" s="188">
        <v>4.0</v>
      </c>
      <c r="J7" s="188">
        <v>0.0</v>
      </c>
      <c r="K7" s="247">
        <v>2.0</v>
      </c>
      <c r="L7" s="246">
        <v>1.0</v>
      </c>
      <c r="M7" s="246">
        <v>2.0</v>
      </c>
      <c r="N7" s="246">
        <v>2.0</v>
      </c>
      <c r="O7" s="246">
        <v>4.0</v>
      </c>
      <c r="P7" s="246">
        <v>2.0</v>
      </c>
      <c r="Q7" s="92"/>
      <c r="R7" s="23">
        <f t="shared" si="1"/>
        <v>32</v>
      </c>
      <c r="S7" s="16">
        <f>AVERAGE(C7:P7)</f>
        <v>2.285714286</v>
      </c>
      <c r="T7" s="17">
        <f t="shared" si="3"/>
        <v>0.06311637081</v>
      </c>
    </row>
    <row r="8">
      <c r="A8" s="9">
        <v>6.0</v>
      </c>
      <c r="B8" s="9" t="s">
        <v>408</v>
      </c>
      <c r="C8" s="247">
        <v>3.0</v>
      </c>
      <c r="D8" s="247">
        <v>2.0</v>
      </c>
      <c r="E8" s="247">
        <v>2.0</v>
      </c>
      <c r="F8" s="247">
        <v>1.0</v>
      </c>
      <c r="G8" s="247">
        <v>2.0</v>
      </c>
      <c r="H8" s="247">
        <v>5.0</v>
      </c>
      <c r="I8" s="247">
        <v>4.0</v>
      </c>
      <c r="J8" s="247">
        <v>0.0</v>
      </c>
      <c r="K8" s="188">
        <v>2.0</v>
      </c>
      <c r="L8" s="246">
        <v>0.0</v>
      </c>
      <c r="M8" s="246">
        <v>5.0</v>
      </c>
      <c r="N8" s="246">
        <v>4.0</v>
      </c>
      <c r="O8" s="246">
        <v>7.0</v>
      </c>
      <c r="P8" s="92"/>
      <c r="Q8" s="92"/>
      <c r="R8" s="23">
        <f t="shared" si="1"/>
        <v>37</v>
      </c>
      <c r="S8" s="16">
        <f>AVERAGE(C8:O8)</f>
        <v>2.846153846</v>
      </c>
      <c r="T8" s="17">
        <f t="shared" si="3"/>
        <v>0.07297830375</v>
      </c>
    </row>
    <row r="9">
      <c r="A9" s="9">
        <v>7.0</v>
      </c>
      <c r="B9" s="9" t="s">
        <v>279</v>
      </c>
      <c r="C9" s="188">
        <v>5.0</v>
      </c>
      <c r="D9" s="188">
        <v>1.0</v>
      </c>
      <c r="E9" s="188">
        <v>2.0</v>
      </c>
      <c r="F9" s="188">
        <v>3.0</v>
      </c>
      <c r="G9" s="188">
        <v>0.0</v>
      </c>
      <c r="H9" s="188">
        <v>5.0</v>
      </c>
      <c r="I9" s="188">
        <v>1.0</v>
      </c>
      <c r="J9" s="188">
        <v>1.0</v>
      </c>
      <c r="K9" s="247">
        <v>3.0</v>
      </c>
      <c r="L9" s="246">
        <v>0.0</v>
      </c>
      <c r="M9" s="246">
        <v>0.0</v>
      </c>
      <c r="N9" s="246">
        <v>6.0</v>
      </c>
      <c r="O9" s="92"/>
      <c r="P9" s="92"/>
      <c r="Q9" s="92"/>
      <c r="R9" s="23">
        <f t="shared" si="1"/>
        <v>27</v>
      </c>
      <c r="S9" s="16">
        <f>AVERAGE(C9:N9)</f>
        <v>2.25</v>
      </c>
      <c r="T9" s="17">
        <f t="shared" si="3"/>
        <v>0.05325443787</v>
      </c>
    </row>
    <row r="10">
      <c r="A10" s="9">
        <v>8.0</v>
      </c>
      <c r="B10" s="9" t="s">
        <v>409</v>
      </c>
      <c r="C10" s="247">
        <v>1.0</v>
      </c>
      <c r="D10" s="247">
        <v>2.0</v>
      </c>
      <c r="E10" s="247">
        <v>2.0</v>
      </c>
      <c r="F10" s="247">
        <v>1.0</v>
      </c>
      <c r="G10" s="247">
        <v>2.0</v>
      </c>
      <c r="H10" s="247">
        <v>4.0</v>
      </c>
      <c r="I10" s="247">
        <v>4.0</v>
      </c>
      <c r="J10" s="247">
        <v>6.0</v>
      </c>
      <c r="K10" s="188">
        <v>4.0</v>
      </c>
      <c r="L10" s="246">
        <v>3.0</v>
      </c>
      <c r="M10" s="246">
        <v>4.0</v>
      </c>
      <c r="N10" s="92"/>
      <c r="O10" s="92"/>
      <c r="P10" s="92"/>
      <c r="Q10" s="92"/>
      <c r="R10" s="23">
        <f t="shared" si="1"/>
        <v>33</v>
      </c>
      <c r="S10" s="16">
        <f>AVERAGE(C10:M10)</f>
        <v>3</v>
      </c>
      <c r="T10" s="17">
        <f t="shared" si="3"/>
        <v>0.0650887574</v>
      </c>
    </row>
    <row r="11">
      <c r="A11" s="9">
        <v>9.0</v>
      </c>
      <c r="B11" s="9" t="s">
        <v>410</v>
      </c>
      <c r="C11" s="247">
        <v>2.0</v>
      </c>
      <c r="D11" s="247">
        <v>3.0</v>
      </c>
      <c r="E11" s="247">
        <v>3.0</v>
      </c>
      <c r="F11" s="247">
        <v>2.0</v>
      </c>
      <c r="G11" s="247">
        <v>0.0</v>
      </c>
      <c r="H11" s="247">
        <v>4.0</v>
      </c>
      <c r="I11" s="247">
        <v>5.0</v>
      </c>
      <c r="J11" s="247">
        <v>3.0</v>
      </c>
      <c r="K11" s="188">
        <v>6.0</v>
      </c>
      <c r="L11" s="246">
        <v>3.0</v>
      </c>
      <c r="M11" s="92"/>
      <c r="N11" s="92"/>
      <c r="O11" s="92"/>
      <c r="P11" s="92"/>
      <c r="Q11" s="92"/>
      <c r="R11" s="23">
        <f t="shared" si="1"/>
        <v>31</v>
      </c>
      <c r="S11" s="16">
        <f>AVERAGE(C11:L11)</f>
        <v>3.1</v>
      </c>
      <c r="T11" s="17">
        <f t="shared" si="3"/>
        <v>0.06114398422</v>
      </c>
    </row>
    <row r="12">
      <c r="A12" s="9">
        <v>10.0</v>
      </c>
      <c r="B12" s="9" t="s">
        <v>411</v>
      </c>
      <c r="C12" s="203">
        <v>2.0</v>
      </c>
      <c r="D12" s="203">
        <v>4.0</v>
      </c>
      <c r="E12" s="203">
        <v>4.0</v>
      </c>
      <c r="F12" s="203">
        <v>4.0</v>
      </c>
      <c r="G12" s="247">
        <v>7.0</v>
      </c>
      <c r="H12" s="247">
        <v>3.0</v>
      </c>
      <c r="I12" s="247">
        <v>3.0</v>
      </c>
      <c r="J12" s="247">
        <v>2.0</v>
      </c>
      <c r="K12" s="188">
        <v>3.0</v>
      </c>
      <c r="L12" s="148"/>
      <c r="M12" s="148"/>
      <c r="N12" s="148"/>
      <c r="O12" s="148"/>
      <c r="P12" s="148"/>
      <c r="Q12" s="148"/>
      <c r="R12" s="23">
        <f t="shared" si="1"/>
        <v>32</v>
      </c>
      <c r="S12" s="16">
        <f>AVERAGE(C12:K12)</f>
        <v>3.555555556</v>
      </c>
      <c r="T12" s="17">
        <f t="shared" si="3"/>
        <v>0.06311637081</v>
      </c>
    </row>
    <row r="13">
      <c r="A13" s="9">
        <v>11.0</v>
      </c>
      <c r="B13" s="9" t="s">
        <v>37</v>
      </c>
      <c r="C13" s="203">
        <v>1.0</v>
      </c>
      <c r="D13" s="203">
        <v>4.0</v>
      </c>
      <c r="E13" s="203">
        <v>3.0</v>
      </c>
      <c r="F13" s="203">
        <v>1.0</v>
      </c>
      <c r="G13" s="247">
        <v>3.0</v>
      </c>
      <c r="H13" s="247">
        <v>3.0</v>
      </c>
      <c r="I13" s="247">
        <v>4.0</v>
      </c>
      <c r="J13" s="247">
        <v>2.0</v>
      </c>
      <c r="K13" s="148"/>
      <c r="L13" s="148"/>
      <c r="M13" s="148"/>
      <c r="N13" s="148"/>
      <c r="O13" s="148"/>
      <c r="P13" s="148"/>
      <c r="Q13" s="148"/>
      <c r="R13" s="23">
        <f t="shared" si="1"/>
        <v>21</v>
      </c>
      <c r="S13" s="16">
        <f>AVERAGE(C13:J13)</f>
        <v>2.625</v>
      </c>
      <c r="T13" s="17">
        <f t="shared" si="3"/>
        <v>0.04142011834</v>
      </c>
    </row>
    <row r="14">
      <c r="A14" s="9">
        <v>12.0</v>
      </c>
      <c r="B14" s="9" t="s">
        <v>412</v>
      </c>
      <c r="C14" s="247">
        <v>2.0</v>
      </c>
      <c r="D14" s="247">
        <v>3.0</v>
      </c>
      <c r="E14" s="247">
        <v>4.0</v>
      </c>
      <c r="F14" s="247">
        <v>0.0</v>
      </c>
      <c r="G14" s="247">
        <v>5.0</v>
      </c>
      <c r="H14" s="247">
        <v>3.0</v>
      </c>
      <c r="I14" s="247">
        <v>4.0</v>
      </c>
      <c r="J14" s="92"/>
      <c r="K14" s="148"/>
      <c r="L14" s="148"/>
      <c r="M14" s="148"/>
      <c r="N14" s="148"/>
      <c r="O14" s="148"/>
      <c r="P14" s="148"/>
      <c r="Q14" s="148"/>
      <c r="R14" s="23">
        <f t="shared" si="1"/>
        <v>21</v>
      </c>
      <c r="S14" s="16">
        <f>AVERAGE(C14:I14)</f>
        <v>3</v>
      </c>
      <c r="T14" s="17">
        <f t="shared" si="3"/>
        <v>0.04142011834</v>
      </c>
    </row>
    <row r="15">
      <c r="A15" s="9">
        <v>13.0</v>
      </c>
      <c r="B15" s="9" t="s">
        <v>413</v>
      </c>
      <c r="C15" s="188">
        <v>2.0</v>
      </c>
      <c r="D15" s="188">
        <v>0.0</v>
      </c>
      <c r="E15" s="188">
        <v>1.0</v>
      </c>
      <c r="F15" s="188">
        <v>0.0</v>
      </c>
      <c r="G15" s="188">
        <v>1.0</v>
      </c>
      <c r="H15" s="188">
        <v>3.0</v>
      </c>
      <c r="I15" s="92"/>
      <c r="J15" s="92"/>
      <c r="K15" s="148"/>
      <c r="L15" s="148"/>
      <c r="M15" s="148"/>
      <c r="N15" s="148"/>
      <c r="O15" s="148"/>
      <c r="P15" s="148"/>
      <c r="Q15" s="148"/>
      <c r="R15" s="23">
        <f t="shared" si="1"/>
        <v>7</v>
      </c>
      <c r="S15" s="16">
        <f>AVERAGE(C15:H15)</f>
        <v>1.166666667</v>
      </c>
      <c r="T15" s="17">
        <f t="shared" si="3"/>
        <v>0.01380670611</v>
      </c>
    </row>
    <row r="16">
      <c r="A16" s="9">
        <v>14.0</v>
      </c>
      <c r="B16" s="9" t="s">
        <v>414</v>
      </c>
      <c r="C16" s="247">
        <v>3.0</v>
      </c>
      <c r="D16" s="247">
        <v>4.0</v>
      </c>
      <c r="E16" s="247">
        <v>5.0</v>
      </c>
      <c r="F16" s="247">
        <v>2.0</v>
      </c>
      <c r="G16" s="247">
        <v>6.0</v>
      </c>
      <c r="H16" s="92"/>
      <c r="I16" s="92"/>
      <c r="J16" s="92"/>
      <c r="K16" s="148"/>
      <c r="L16" s="148"/>
      <c r="M16" s="148"/>
      <c r="N16" s="148"/>
      <c r="O16" s="148"/>
      <c r="P16" s="148"/>
      <c r="Q16" s="148"/>
      <c r="R16" s="23">
        <f t="shared" si="1"/>
        <v>20</v>
      </c>
      <c r="S16" s="16">
        <f>AVERAGE(C16:G16)</f>
        <v>4</v>
      </c>
      <c r="T16" s="17">
        <f t="shared" si="3"/>
        <v>0.03944773176</v>
      </c>
    </row>
    <row r="17">
      <c r="A17" s="9">
        <v>15.0</v>
      </c>
      <c r="B17" s="248" t="s">
        <v>415</v>
      </c>
      <c r="C17" s="188">
        <v>4.0</v>
      </c>
      <c r="D17" s="188">
        <v>2.0</v>
      </c>
      <c r="E17" s="188">
        <v>1.0</v>
      </c>
      <c r="F17" s="188">
        <v>5.0</v>
      </c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23">
        <f t="shared" si="1"/>
        <v>12</v>
      </c>
      <c r="S17" s="16">
        <f>AVERAGE(C17:F17)</f>
        <v>3</v>
      </c>
      <c r="T17" s="17">
        <f t="shared" si="3"/>
        <v>0.02366863905</v>
      </c>
    </row>
    <row r="18">
      <c r="A18" s="9">
        <v>16.0</v>
      </c>
      <c r="B18" s="9" t="s">
        <v>416</v>
      </c>
      <c r="C18" s="247">
        <v>1.0</v>
      </c>
      <c r="D18" s="247">
        <v>1.0</v>
      </c>
      <c r="E18" s="247">
        <v>3.0</v>
      </c>
      <c r="F18" s="92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23">
        <f t="shared" si="1"/>
        <v>5</v>
      </c>
      <c r="S18" s="16">
        <f>AVERAGE(C18:E18)</f>
        <v>1.666666667</v>
      </c>
      <c r="T18" s="17">
        <f t="shared" si="3"/>
        <v>0.009861932939</v>
      </c>
    </row>
    <row r="19">
      <c r="A19" s="9">
        <v>17.0</v>
      </c>
      <c r="B19" s="9" t="s">
        <v>417</v>
      </c>
      <c r="C19" s="203">
        <v>3.0</v>
      </c>
      <c r="D19" s="203">
        <v>1.0</v>
      </c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23">
        <f t="shared" si="1"/>
        <v>4</v>
      </c>
      <c r="S19" s="16">
        <f>AVERAGE(C19:D19)</f>
        <v>2</v>
      </c>
      <c r="T19" s="17">
        <f t="shared" si="3"/>
        <v>0.007889546351</v>
      </c>
    </row>
    <row r="20">
      <c r="A20" s="9">
        <v>18.0</v>
      </c>
      <c r="B20" s="9" t="s">
        <v>224</v>
      </c>
      <c r="C20" s="203">
        <v>2.0</v>
      </c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23">
        <f t="shared" si="1"/>
        <v>2</v>
      </c>
      <c r="S20" s="16">
        <f>AVERAGE(C20)</f>
        <v>2</v>
      </c>
      <c r="T20" s="17">
        <f t="shared" si="3"/>
        <v>0.003944773176</v>
      </c>
    </row>
    <row r="21">
      <c r="A21" s="4" t="s">
        <v>40</v>
      </c>
      <c r="B21" s="3"/>
      <c r="C21" s="23">
        <f t="shared" ref="C21:R21" si="4">SUM(C3:C20)</f>
        <v>56</v>
      </c>
      <c r="D21" s="23">
        <f t="shared" si="4"/>
        <v>40</v>
      </c>
      <c r="E21" s="23">
        <f t="shared" si="4"/>
        <v>43</v>
      </c>
      <c r="F21" s="23">
        <f t="shared" si="4"/>
        <v>36</v>
      </c>
      <c r="G21" s="23">
        <f t="shared" si="4"/>
        <v>32</v>
      </c>
      <c r="H21" s="23">
        <f t="shared" si="4"/>
        <v>48</v>
      </c>
      <c r="I21" s="23">
        <f t="shared" si="4"/>
        <v>39</v>
      </c>
      <c r="J21" s="23">
        <f t="shared" si="4"/>
        <v>34</v>
      </c>
      <c r="K21" s="23">
        <f t="shared" si="4"/>
        <v>36</v>
      </c>
      <c r="L21" s="23">
        <f t="shared" si="4"/>
        <v>19</v>
      </c>
      <c r="M21" s="23">
        <f t="shared" si="4"/>
        <v>23</v>
      </c>
      <c r="N21" s="23">
        <f t="shared" si="4"/>
        <v>25</v>
      </c>
      <c r="O21" s="23">
        <f t="shared" si="4"/>
        <v>20</v>
      </c>
      <c r="P21" s="23">
        <f t="shared" si="4"/>
        <v>27</v>
      </c>
      <c r="Q21" s="23">
        <f t="shared" si="4"/>
        <v>29</v>
      </c>
      <c r="R21" s="23">
        <f t="shared" si="4"/>
        <v>507</v>
      </c>
      <c r="S21" s="16"/>
      <c r="T21" s="82"/>
    </row>
    <row r="22">
      <c r="A22" s="35" t="s">
        <v>18</v>
      </c>
      <c r="B22" s="3"/>
      <c r="C22" s="16">
        <f>AVERAGE(C3:C20)</f>
        <v>3.111111111</v>
      </c>
      <c r="D22" s="16">
        <f>AVERAGE(D3:D19)</f>
        <v>2.352941176</v>
      </c>
      <c r="E22" s="16">
        <f>AVERAGE(E3:E18)</f>
        <v>2.6875</v>
      </c>
      <c r="F22" s="16">
        <f>AVERAGE(F3:F17)</f>
        <v>2.4</v>
      </c>
      <c r="G22" s="16">
        <f>AVERAGE(G3:G16)</f>
        <v>2.285714286</v>
      </c>
      <c r="H22" s="16">
        <f>AVERAGE(H3:H15)</f>
        <v>3.692307692</v>
      </c>
      <c r="I22" s="16">
        <f>AVERAGE(I3:I14)</f>
        <v>3.25</v>
      </c>
      <c r="J22" s="16">
        <f>AVERAGE(J3:J13)</f>
        <v>3.090909091</v>
      </c>
      <c r="K22" s="16">
        <f>AVERAGE(K3:K12)</f>
        <v>3.6</v>
      </c>
      <c r="L22" s="16">
        <f>AVERAGE(L3:L11)</f>
        <v>2.111111111</v>
      </c>
      <c r="M22" s="16">
        <f>AVERAGE(M3:M10)</f>
        <v>2.875</v>
      </c>
      <c r="N22" s="16">
        <f>AVERAGE(N3:N9)</f>
        <v>3.571428571</v>
      </c>
      <c r="O22" s="16">
        <f>AVERAGE(O3:O8)</f>
        <v>3.333333333</v>
      </c>
      <c r="P22" s="16">
        <f>AVERAGE(P3:P7)</f>
        <v>5.4</v>
      </c>
      <c r="Q22" s="16">
        <f>AVERAGE(Q3:Q6)</f>
        <v>7.25</v>
      </c>
      <c r="R22" s="16"/>
      <c r="S22" s="16"/>
      <c r="T22" s="82"/>
    </row>
    <row r="23">
      <c r="A23" s="4" t="s">
        <v>41</v>
      </c>
      <c r="B23" s="3"/>
      <c r="C23" s="40" t="str">
        <f>HYPERLINK("https://docs.google.com/document/d/1GBgZXtosKoTUaNlloWCYFHmvHLM_qPCi211l-ppEqMw/edit?usp=sharing","Link")</f>
        <v>Link</v>
      </c>
      <c r="D23" s="40" t="str">
        <f>HYPERLINK("https://docs.google.com/document/d/1C9QppTXv6I1ShmtbBz71CrU8k_VhBgAIw_Xi0mWjGbI/edit?usp=sharing","Link")</f>
        <v>Link</v>
      </c>
      <c r="E23" s="40" t="str">
        <f>HYPERLINK("https://docs.google.com/document/d/19pCkMrTuZAO9tAM5AA4r1JflCO3Jh7Ns9fOoDPMSvDk/edit?usp=sharing","Link")</f>
        <v>Link</v>
      </c>
      <c r="F23" s="40" t="str">
        <f>HYPERLINK("https://docs.google.com/document/d/1YeSXuITjiQ9pPWLkLU5NdKUq41kql9Aedl-4yRxQTt0/edit?usp=sharing","Link")</f>
        <v>Link</v>
      </c>
      <c r="G23" s="40" t="str">
        <f>HYPERLINK("https://docs.google.com/document/d/12p7YF-1QaS_FMuILy_LRZzAxn7rMRIqEJrtW397Z5a8/edit?usp=sharing","Link")</f>
        <v>Link</v>
      </c>
      <c r="H23" s="40" t="str">
        <f>HYPERLINK("https://docs.google.com/document/d/1DkK70frgvbp-Fp3sbqFCtwQtqLDeVk3isKZ2c2x2aIc/edit?usp=sharing","Link")</f>
        <v>Link</v>
      </c>
      <c r="I23" s="40" t="str">
        <f>HYPERLINK("https://docs.google.com/document/d/1QTCjyjE9OyuzhkuKzWCCAdEjLj7PL0gO-kgiqHHE6iE/edit?usp=sharing","Link")</f>
        <v>Link</v>
      </c>
      <c r="J23" s="40" t="str">
        <f>HYPERLINK("https://docs.google.com/document/d/1_iwq5p8_MVexktDArAKiCblZaM_IbixdrnpxSOzjqT4/edit?usp=sharing","Link")</f>
        <v>Link</v>
      </c>
      <c r="K23" s="40" t="str">
        <f>HYPERLINK("https://docs.google.com/document/d/1E7U8n_JYcAXaNGcxF5C1FxKjvvppapou3Md0hArg2sQ/edit?usp=sharing","Link")</f>
        <v>Link</v>
      </c>
      <c r="L23" s="40" t="str">
        <f>HYPERLINK("https://docs.google.com/document/d/1hBbSHcM7zHMszlo_XPP-xXksjWhC9P8gGEaNv5wfpGU/edit?usp=sharing","Link")</f>
        <v>Link</v>
      </c>
      <c r="M23" s="40" t="str">
        <f>HYPERLINK("https://docs.google.com/document/d/1m4Xd3b_n2KHRdzKNjA6BwIlSoE40ntAshnVlHAKpuE0/edit?usp=sharing","Link")</f>
        <v>Link</v>
      </c>
      <c r="N23" s="40" t="str">
        <f>HYPERLINK("https://docs.google.com/document/d/1In0oaMBUJXQ3pDzGpCqiDSyjMLkv773v7x2Ls-66xow/edit?usp=sharing","Link")</f>
        <v>Link</v>
      </c>
      <c r="O23" s="40" t="str">
        <f>HYPERLINK("https://docs.google.com/document/d/1Gud3rTS0kzXnkI4XDNN4rA8ndLnGZqm4X-8lwkKRLXg/edit?usp=sharing","Link")</f>
        <v>Link</v>
      </c>
      <c r="P23" s="40" t="str">
        <f>HYPERLINK("https://docs.google.com/document/d/1iZXNcKb2dhXKVOVuR7D5Hsq2jsNQZCm3OiiZCNy4u88/edit?usp=sharing","Link")</f>
        <v>Link</v>
      </c>
      <c r="Q23" s="40" t="str">
        <f>HYPERLINK("https://docs.google.com/document/d/1wUc6lpwyWI8q_70pArp7mgOuimQLEXsEPmdz3dqh0f4/edit?usp=sharing","Link")</f>
        <v>Link</v>
      </c>
      <c r="R23" s="83" t="str">
        <f>HYPERLINK("https://docs.google.com/document/d/1S5nJ52tS-MhJeYtvQZlLTdmaqb3mg457xxDJYqoyCQY/edit?usp=sharing","Season Transcript")</f>
        <v>Season Transcript</v>
      </c>
      <c r="S23" s="3"/>
      <c r="T23" s="226" t="str">
        <f>HYPERLINK("https://docs.google.com/document/d/17o2pOizWgAwFKM3-VTzTqZCB9JHHCoMbs1e_oQo0NwE/edit?usp=sharing","Differences")</f>
        <v>Differences</v>
      </c>
    </row>
    <row r="24"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3"/>
      <c r="T24" s="150"/>
    </row>
    <row r="25">
      <c r="A25" s="206" t="s">
        <v>418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7"/>
      <c r="T25" s="152"/>
    </row>
    <row r="26">
      <c r="A26" s="249" t="s">
        <v>419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7"/>
      <c r="T26" s="152"/>
    </row>
    <row r="27">
      <c r="A27" s="194" t="s">
        <v>420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7"/>
      <c r="T27" s="152"/>
    </row>
    <row r="28">
      <c r="A28" s="250" t="s">
        <v>421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7"/>
      <c r="T28" s="152"/>
    </row>
  </sheetData>
  <mergeCells count="11">
    <mergeCell ref="A25:B25"/>
    <mergeCell ref="A26:B26"/>
    <mergeCell ref="A27:B27"/>
    <mergeCell ref="A28:B28"/>
    <mergeCell ref="A1:T1"/>
    <mergeCell ref="A2:B2"/>
    <mergeCell ref="A21:B21"/>
    <mergeCell ref="A22:B22"/>
    <mergeCell ref="A23:B23"/>
    <mergeCell ref="R23:S23"/>
    <mergeCell ref="A24:B24"/>
  </mergeCells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422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17</v>
      </c>
      <c r="R2" s="7" t="s">
        <v>18</v>
      </c>
      <c r="S2" s="8" t="s">
        <v>19</v>
      </c>
    </row>
    <row r="3">
      <c r="A3" s="9">
        <v>1.0</v>
      </c>
      <c r="B3" s="9" t="s">
        <v>34</v>
      </c>
      <c r="C3" s="251">
        <v>9.0</v>
      </c>
      <c r="D3" s="251">
        <v>3.0</v>
      </c>
      <c r="E3" s="251">
        <v>2.0</v>
      </c>
      <c r="F3" s="251">
        <v>2.0</v>
      </c>
      <c r="G3" s="251">
        <v>2.0</v>
      </c>
      <c r="H3" s="251">
        <v>4.0</v>
      </c>
      <c r="I3" s="251">
        <v>3.0</v>
      </c>
      <c r="J3" s="59">
        <v>3.0</v>
      </c>
      <c r="K3" s="60">
        <v>1.0</v>
      </c>
      <c r="L3" s="60">
        <v>1.0</v>
      </c>
      <c r="M3" s="60">
        <v>5.0</v>
      </c>
      <c r="N3" s="60">
        <v>5.0</v>
      </c>
      <c r="O3" s="60">
        <v>6.0</v>
      </c>
      <c r="P3" s="61">
        <v>9.0</v>
      </c>
      <c r="Q3" s="23">
        <f t="shared" ref="Q3:Q18" si="1">SUM(C3:P3)</f>
        <v>55</v>
      </c>
      <c r="R3" s="16">
        <f t="shared" ref="R3:R6" si="2">AVERAGE(C3:P3)</f>
        <v>3.928571429</v>
      </c>
      <c r="S3" s="17">
        <f t="shared" ref="S3:S18" si="3">Q3/Q$19</f>
        <v>0.1097804391</v>
      </c>
    </row>
    <row r="4">
      <c r="A4" s="9">
        <v>2.0</v>
      </c>
      <c r="B4" s="9" t="s">
        <v>423</v>
      </c>
      <c r="C4" s="172">
        <v>6.0</v>
      </c>
      <c r="D4" s="172">
        <v>1.0</v>
      </c>
      <c r="E4" s="172">
        <v>4.0</v>
      </c>
      <c r="F4" s="177" t="s">
        <v>424</v>
      </c>
      <c r="G4" s="177" t="s">
        <v>424</v>
      </c>
      <c r="H4" s="177" t="s">
        <v>424</v>
      </c>
      <c r="I4" s="177" t="s">
        <v>424</v>
      </c>
      <c r="J4" s="55">
        <v>8.0</v>
      </c>
      <c r="K4" s="56">
        <v>5.0</v>
      </c>
      <c r="L4" s="56">
        <v>3.0</v>
      </c>
      <c r="M4" s="56">
        <v>2.0</v>
      </c>
      <c r="N4" s="56">
        <v>13.0</v>
      </c>
      <c r="O4" s="56">
        <v>3.0</v>
      </c>
      <c r="P4" s="57">
        <v>10.0</v>
      </c>
      <c r="Q4" s="23">
        <f t="shared" si="1"/>
        <v>55</v>
      </c>
      <c r="R4" s="16">
        <f t="shared" si="2"/>
        <v>5.5</v>
      </c>
      <c r="S4" s="17">
        <f t="shared" si="3"/>
        <v>0.1097804391</v>
      </c>
    </row>
    <row r="5">
      <c r="A5" s="9">
        <v>3.0</v>
      </c>
      <c r="B5" s="9" t="s">
        <v>194</v>
      </c>
      <c r="C5" s="251">
        <v>8.0</v>
      </c>
      <c r="D5" s="251">
        <v>0.0</v>
      </c>
      <c r="E5" s="251">
        <v>3.0</v>
      </c>
      <c r="F5" s="251">
        <v>3.0</v>
      </c>
      <c r="G5" s="251">
        <v>2.0</v>
      </c>
      <c r="H5" s="251">
        <v>3.0</v>
      </c>
      <c r="I5" s="251">
        <v>3.0</v>
      </c>
      <c r="J5" s="55">
        <v>1.0</v>
      </c>
      <c r="K5" s="56">
        <v>2.0</v>
      </c>
      <c r="L5" s="56">
        <v>4.0</v>
      </c>
      <c r="M5" s="56">
        <v>5.0</v>
      </c>
      <c r="N5" s="56">
        <v>9.0</v>
      </c>
      <c r="O5" s="56">
        <v>6.0</v>
      </c>
      <c r="P5" s="57">
        <v>5.0</v>
      </c>
      <c r="Q5" s="23">
        <f t="shared" si="1"/>
        <v>54</v>
      </c>
      <c r="R5" s="16">
        <f t="shared" si="2"/>
        <v>3.857142857</v>
      </c>
      <c r="S5" s="17">
        <f t="shared" si="3"/>
        <v>0.1077844311</v>
      </c>
    </row>
    <row r="6">
      <c r="A6" s="9">
        <v>4.0</v>
      </c>
      <c r="B6" s="9" t="s">
        <v>425</v>
      </c>
      <c r="C6" s="172">
        <v>1.0</v>
      </c>
      <c r="D6" s="172">
        <v>1.0</v>
      </c>
      <c r="E6" s="172">
        <v>1.0</v>
      </c>
      <c r="F6" s="172">
        <v>1.0</v>
      </c>
      <c r="G6" s="172">
        <v>2.0</v>
      </c>
      <c r="H6" s="172">
        <v>1.0</v>
      </c>
      <c r="I6" s="172">
        <v>0.0</v>
      </c>
      <c r="J6" s="55">
        <v>0.0</v>
      </c>
      <c r="K6" s="56">
        <v>0.0</v>
      </c>
      <c r="L6" s="56">
        <v>1.0</v>
      </c>
      <c r="M6" s="56">
        <v>0.0</v>
      </c>
      <c r="N6" s="56">
        <v>2.0</v>
      </c>
      <c r="O6" s="56">
        <v>1.0</v>
      </c>
      <c r="P6" s="159">
        <v>2.0</v>
      </c>
      <c r="Q6" s="23">
        <f t="shared" si="1"/>
        <v>13</v>
      </c>
      <c r="R6" s="16">
        <f t="shared" si="2"/>
        <v>0.9285714286</v>
      </c>
      <c r="S6" s="17">
        <f t="shared" si="3"/>
        <v>0.02594810379</v>
      </c>
    </row>
    <row r="7">
      <c r="A7" s="9">
        <v>5.0</v>
      </c>
      <c r="B7" s="9" t="s">
        <v>426</v>
      </c>
      <c r="C7" s="251">
        <v>4.0</v>
      </c>
      <c r="D7" s="251">
        <v>1.0</v>
      </c>
      <c r="E7" s="251">
        <v>1.0</v>
      </c>
      <c r="F7" s="251">
        <v>6.0</v>
      </c>
      <c r="G7" s="177" t="s">
        <v>424</v>
      </c>
      <c r="H7" s="177" t="s">
        <v>424</v>
      </c>
      <c r="I7" s="177" t="s">
        <v>424</v>
      </c>
      <c r="J7" s="55">
        <v>8.0</v>
      </c>
      <c r="K7" s="56">
        <v>6.0</v>
      </c>
      <c r="L7" s="56">
        <v>4.0</v>
      </c>
      <c r="M7" s="56">
        <v>3.0</v>
      </c>
      <c r="N7" s="56">
        <v>6.0</v>
      </c>
      <c r="O7" s="160">
        <v>14.0</v>
      </c>
      <c r="P7" s="252"/>
      <c r="Q7" s="23">
        <f t="shared" si="1"/>
        <v>53</v>
      </c>
      <c r="R7" s="16">
        <f>AVERAGE(C7:O7)</f>
        <v>5.3</v>
      </c>
      <c r="S7" s="17">
        <f t="shared" si="3"/>
        <v>0.1057884232</v>
      </c>
    </row>
    <row r="8">
      <c r="A8" s="9">
        <v>6.0</v>
      </c>
      <c r="B8" s="9" t="s">
        <v>427</v>
      </c>
      <c r="C8" s="251">
        <v>7.0</v>
      </c>
      <c r="D8" s="251">
        <v>1.0</v>
      </c>
      <c r="E8" s="251">
        <v>4.0</v>
      </c>
      <c r="F8" s="251">
        <v>6.0</v>
      </c>
      <c r="G8" s="251">
        <v>0.0</v>
      </c>
      <c r="H8" s="251">
        <v>0.0</v>
      </c>
      <c r="I8" s="251">
        <v>0.0</v>
      </c>
      <c r="J8" s="55">
        <v>1.0</v>
      </c>
      <c r="K8" s="56">
        <v>3.0</v>
      </c>
      <c r="L8" s="56">
        <v>0.0</v>
      </c>
      <c r="M8" s="56">
        <v>4.0</v>
      </c>
      <c r="N8" s="162">
        <v>6.0</v>
      </c>
      <c r="O8" s="76"/>
      <c r="P8" s="77"/>
      <c r="Q8" s="23">
        <f t="shared" si="1"/>
        <v>32</v>
      </c>
      <c r="R8" s="16">
        <f>AVERAGE(C8:N8)</f>
        <v>2.666666667</v>
      </c>
      <c r="S8" s="17">
        <f t="shared" si="3"/>
        <v>0.06387225549</v>
      </c>
    </row>
    <row r="9">
      <c r="A9" s="9">
        <v>7.0</v>
      </c>
      <c r="B9" s="9" t="s">
        <v>428</v>
      </c>
      <c r="C9" s="172">
        <v>6.0</v>
      </c>
      <c r="D9" s="172">
        <v>4.0</v>
      </c>
      <c r="E9" s="172">
        <v>2.0</v>
      </c>
      <c r="F9" s="172">
        <v>1.0</v>
      </c>
      <c r="G9" s="172">
        <v>2.0</v>
      </c>
      <c r="H9" s="172">
        <v>0.0</v>
      </c>
      <c r="I9" s="172">
        <v>2.0</v>
      </c>
      <c r="J9" s="55">
        <v>4.0</v>
      </c>
      <c r="K9" s="56">
        <v>3.0</v>
      </c>
      <c r="L9" s="56">
        <v>0.0</v>
      </c>
      <c r="M9" s="162">
        <v>5.0</v>
      </c>
      <c r="N9" s="76"/>
      <c r="O9" s="76"/>
      <c r="P9" s="77"/>
      <c r="Q9" s="23">
        <f t="shared" si="1"/>
        <v>29</v>
      </c>
      <c r="R9" s="16">
        <f>AVERAGE(C9:M9)</f>
        <v>2.636363636</v>
      </c>
      <c r="S9" s="17">
        <f t="shared" si="3"/>
        <v>0.05788423154</v>
      </c>
    </row>
    <row r="10">
      <c r="A10" s="9">
        <v>8.0</v>
      </c>
      <c r="B10" s="9" t="s">
        <v>234</v>
      </c>
      <c r="C10" s="251">
        <v>11.0</v>
      </c>
      <c r="D10" s="251">
        <v>6.0</v>
      </c>
      <c r="E10" s="251">
        <v>2.0</v>
      </c>
      <c r="F10" s="251">
        <v>3.0</v>
      </c>
      <c r="G10" s="251">
        <v>9.0</v>
      </c>
      <c r="H10" s="251">
        <v>6.0</v>
      </c>
      <c r="I10" s="251">
        <v>4.0</v>
      </c>
      <c r="J10" s="55">
        <v>7.0</v>
      </c>
      <c r="K10" s="56">
        <v>2.0</v>
      </c>
      <c r="L10" s="162">
        <v>11.0</v>
      </c>
      <c r="M10" s="76"/>
      <c r="N10" s="76"/>
      <c r="O10" s="76"/>
      <c r="P10" s="77"/>
      <c r="Q10" s="23">
        <f t="shared" si="1"/>
        <v>61</v>
      </c>
      <c r="R10" s="16">
        <f>AVERAGE(C10:L10)</f>
        <v>6.1</v>
      </c>
      <c r="S10" s="17">
        <f t="shared" si="3"/>
        <v>0.121756487</v>
      </c>
    </row>
    <row r="11">
      <c r="A11" s="9">
        <v>9.0</v>
      </c>
      <c r="B11" s="9" t="s">
        <v>429</v>
      </c>
      <c r="C11" s="172">
        <v>3.0</v>
      </c>
      <c r="D11" s="172">
        <v>0.0</v>
      </c>
      <c r="E11" s="172">
        <v>5.0</v>
      </c>
      <c r="F11" s="172">
        <v>2.0</v>
      </c>
      <c r="G11" s="172">
        <v>4.0</v>
      </c>
      <c r="H11" s="172">
        <v>1.0</v>
      </c>
      <c r="I11" s="172">
        <v>0.0</v>
      </c>
      <c r="J11" s="55">
        <v>0.0</v>
      </c>
      <c r="K11" s="162">
        <v>3.0</v>
      </c>
      <c r="L11" s="76"/>
      <c r="M11" s="76"/>
      <c r="N11" s="76"/>
      <c r="O11" s="76"/>
      <c r="P11" s="77"/>
      <c r="Q11" s="23">
        <f t="shared" si="1"/>
        <v>18</v>
      </c>
      <c r="R11" s="16">
        <f>AVERAGE(C11:K11)</f>
        <v>2</v>
      </c>
      <c r="S11" s="17">
        <f t="shared" si="3"/>
        <v>0.03592814371</v>
      </c>
    </row>
    <row r="12">
      <c r="A12" s="9">
        <v>10.0</v>
      </c>
      <c r="B12" s="9" t="s">
        <v>162</v>
      </c>
      <c r="C12" s="172">
        <v>7.0</v>
      </c>
      <c r="D12" s="172">
        <v>5.0</v>
      </c>
      <c r="E12" s="172">
        <v>14.0</v>
      </c>
      <c r="F12" s="172">
        <v>3.0</v>
      </c>
      <c r="G12" s="172">
        <v>5.0</v>
      </c>
      <c r="H12" s="172">
        <v>5.0</v>
      </c>
      <c r="I12" s="172">
        <v>6.0</v>
      </c>
      <c r="J12" s="163">
        <v>6.0</v>
      </c>
      <c r="K12" s="76"/>
      <c r="L12" s="76"/>
      <c r="M12" s="76"/>
      <c r="N12" s="76"/>
      <c r="O12" s="76"/>
      <c r="P12" s="77"/>
      <c r="Q12" s="23">
        <f t="shared" si="1"/>
        <v>51</v>
      </c>
      <c r="R12" s="16">
        <f>AVERAGE(C12:J12)</f>
        <v>6.375</v>
      </c>
      <c r="S12" s="17">
        <f t="shared" si="3"/>
        <v>0.1017964072</v>
      </c>
    </row>
    <row r="13">
      <c r="A13" s="9">
        <v>11.0</v>
      </c>
      <c r="B13" s="9" t="s">
        <v>430</v>
      </c>
      <c r="C13" s="172">
        <v>9.0</v>
      </c>
      <c r="D13" s="172">
        <v>3.0</v>
      </c>
      <c r="E13" s="172">
        <v>2.0</v>
      </c>
      <c r="F13" s="172">
        <v>1.0</v>
      </c>
      <c r="G13" s="172">
        <v>1.0</v>
      </c>
      <c r="H13" s="172">
        <v>1.0</v>
      </c>
      <c r="I13" s="180">
        <v>1.0</v>
      </c>
      <c r="J13" s="76"/>
      <c r="K13" s="76"/>
      <c r="L13" s="76"/>
      <c r="M13" s="76"/>
      <c r="N13" s="76"/>
      <c r="O13" s="76"/>
      <c r="P13" s="77"/>
      <c r="Q13" s="23">
        <f t="shared" si="1"/>
        <v>18</v>
      </c>
      <c r="R13" s="16">
        <f t="shared" ref="R13:R14" si="4">AVERAGE(C13:I13)</f>
        <v>2.571428571</v>
      </c>
      <c r="S13" s="17">
        <f t="shared" si="3"/>
        <v>0.03592814371</v>
      </c>
    </row>
    <row r="14">
      <c r="A14" s="9">
        <v>12.0</v>
      </c>
      <c r="B14" s="9" t="s">
        <v>431</v>
      </c>
      <c r="C14" s="251">
        <v>7.0</v>
      </c>
      <c r="D14" s="251">
        <v>2.0</v>
      </c>
      <c r="E14" s="251">
        <v>2.0</v>
      </c>
      <c r="F14" s="251">
        <v>3.0</v>
      </c>
      <c r="G14" s="251">
        <v>2.0</v>
      </c>
      <c r="H14" s="251">
        <v>3.0</v>
      </c>
      <c r="I14" s="253">
        <v>1.0</v>
      </c>
      <c r="J14" s="76"/>
      <c r="K14" s="76"/>
      <c r="L14" s="76"/>
      <c r="M14" s="76"/>
      <c r="N14" s="76"/>
      <c r="O14" s="76"/>
      <c r="P14" s="77"/>
      <c r="Q14" s="23">
        <f t="shared" si="1"/>
        <v>20</v>
      </c>
      <c r="R14" s="16">
        <f t="shared" si="4"/>
        <v>2.857142857</v>
      </c>
      <c r="S14" s="17">
        <f t="shared" si="3"/>
        <v>0.03992015968</v>
      </c>
    </row>
    <row r="15">
      <c r="A15" s="9">
        <v>13.0</v>
      </c>
      <c r="B15" s="9" t="s">
        <v>209</v>
      </c>
      <c r="C15" s="251">
        <v>2.0</v>
      </c>
      <c r="D15" s="251">
        <v>0.0</v>
      </c>
      <c r="E15" s="251">
        <v>1.0</v>
      </c>
      <c r="F15" s="251">
        <v>2.0</v>
      </c>
      <c r="G15" s="251">
        <v>4.0</v>
      </c>
      <c r="H15" s="253">
        <v>4.0</v>
      </c>
      <c r="I15" s="76"/>
      <c r="J15" s="76"/>
      <c r="K15" s="76"/>
      <c r="L15" s="76"/>
      <c r="M15" s="76"/>
      <c r="N15" s="76"/>
      <c r="O15" s="76"/>
      <c r="P15" s="77"/>
      <c r="Q15" s="23">
        <f t="shared" si="1"/>
        <v>13</v>
      </c>
      <c r="R15" s="16">
        <f>AVERAGE(C15:H15)</f>
        <v>2.166666667</v>
      </c>
      <c r="S15" s="17">
        <f t="shared" si="3"/>
        <v>0.02594810379</v>
      </c>
    </row>
    <row r="16">
      <c r="A16" s="9">
        <v>14.0</v>
      </c>
      <c r="B16" s="9" t="s">
        <v>126</v>
      </c>
      <c r="C16" s="251">
        <v>4.0</v>
      </c>
      <c r="D16" s="251">
        <v>1.0</v>
      </c>
      <c r="E16" s="254">
        <v>1.0</v>
      </c>
      <c r="F16" s="254">
        <v>1.0</v>
      </c>
      <c r="G16" s="253">
        <v>3.0</v>
      </c>
      <c r="H16" s="76"/>
      <c r="I16" s="76"/>
      <c r="J16" s="76"/>
      <c r="K16" s="76"/>
      <c r="L16" s="76"/>
      <c r="M16" s="76"/>
      <c r="N16" s="76"/>
      <c r="O16" s="76"/>
      <c r="P16" s="77"/>
      <c r="Q16" s="23">
        <f t="shared" si="1"/>
        <v>10</v>
      </c>
      <c r="R16" s="16">
        <f>AVERAGE(C16:G16)</f>
        <v>2</v>
      </c>
      <c r="S16" s="17">
        <f t="shared" si="3"/>
        <v>0.01996007984</v>
      </c>
    </row>
    <row r="17">
      <c r="A17" s="9">
        <v>15.0</v>
      </c>
      <c r="B17" s="9" t="s">
        <v>432</v>
      </c>
      <c r="C17" s="172">
        <v>8.0</v>
      </c>
      <c r="D17" s="208">
        <v>4.0</v>
      </c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23">
        <f t="shared" si="1"/>
        <v>12</v>
      </c>
      <c r="R17" s="16">
        <f>AVERAGE(C17:D17)</f>
        <v>6</v>
      </c>
      <c r="S17" s="17">
        <f t="shared" si="3"/>
        <v>0.02395209581</v>
      </c>
    </row>
    <row r="18">
      <c r="A18" s="9">
        <v>16.0</v>
      </c>
      <c r="B18" s="9" t="s">
        <v>433</v>
      </c>
      <c r="C18" s="180">
        <v>7.0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0"/>
      <c r="Q18" s="23">
        <f t="shared" si="1"/>
        <v>7</v>
      </c>
      <c r="R18" s="16">
        <f>AVERAGE(C18)</f>
        <v>7</v>
      </c>
      <c r="S18" s="17">
        <f t="shared" si="3"/>
        <v>0.01397205589</v>
      </c>
    </row>
    <row r="19">
      <c r="A19" s="4" t="s">
        <v>40</v>
      </c>
      <c r="B19" s="3"/>
      <c r="C19" s="23">
        <f t="shared" ref="C19:Q19" si="5">SUM(C3:C18)</f>
        <v>99</v>
      </c>
      <c r="D19" s="23">
        <f t="shared" si="5"/>
        <v>32</v>
      </c>
      <c r="E19" s="23">
        <f t="shared" si="5"/>
        <v>44</v>
      </c>
      <c r="F19" s="23">
        <f t="shared" si="5"/>
        <v>34</v>
      </c>
      <c r="G19" s="23">
        <f t="shared" si="5"/>
        <v>36</v>
      </c>
      <c r="H19" s="23">
        <f t="shared" si="5"/>
        <v>28</v>
      </c>
      <c r="I19" s="23">
        <f t="shared" si="5"/>
        <v>20</v>
      </c>
      <c r="J19" s="23">
        <f t="shared" si="5"/>
        <v>38</v>
      </c>
      <c r="K19" s="23">
        <f t="shared" si="5"/>
        <v>25</v>
      </c>
      <c r="L19" s="23">
        <f t="shared" si="5"/>
        <v>24</v>
      </c>
      <c r="M19" s="23">
        <f t="shared" si="5"/>
        <v>24</v>
      </c>
      <c r="N19" s="23">
        <f t="shared" si="5"/>
        <v>41</v>
      </c>
      <c r="O19" s="23">
        <f t="shared" si="5"/>
        <v>30</v>
      </c>
      <c r="P19" s="23">
        <f t="shared" si="5"/>
        <v>26</v>
      </c>
      <c r="Q19" s="23">
        <f t="shared" si="5"/>
        <v>501</v>
      </c>
      <c r="R19" s="16"/>
      <c r="S19" s="82"/>
    </row>
    <row r="20">
      <c r="A20" s="35" t="s">
        <v>18</v>
      </c>
      <c r="B20" s="3"/>
      <c r="C20" s="16">
        <f>AVERAGE(C3:C18)</f>
        <v>6.1875</v>
      </c>
      <c r="D20" s="16">
        <f>AVERAGE(D3:D17)</f>
        <v>2.133333333</v>
      </c>
      <c r="E20" s="16">
        <f>AVERAGE(E3:E16)</f>
        <v>3.142857143</v>
      </c>
      <c r="F20" s="16">
        <f>AVERAGE(F3,F5,F6,F7,F8,F9,F10,F11,F12,F13,F14,F15,F16)</f>
        <v>2.615384615</v>
      </c>
      <c r="G20" s="16">
        <f>AVERAGE(G3,G5,G6,G8,G9,G10,G11,G12,G13,G14,G15,G16)</f>
        <v>3</v>
      </c>
      <c r="H20" s="16">
        <f>AVERAGE(H3,H5,H6,H8,H9,H10,H11,H12,H13,H14,H15)</f>
        <v>2.545454545</v>
      </c>
      <c r="I20" s="16">
        <f>AVERAGE(I3,I5,I6,I8,I9,I10,I11,I12,I13,I14)</f>
        <v>2</v>
      </c>
      <c r="J20" s="16">
        <f>AVERAGE(J3:J12)</f>
        <v>3.8</v>
      </c>
      <c r="K20" s="16">
        <f>AVERAGE(K3:K11)</f>
        <v>2.777777778</v>
      </c>
      <c r="L20" s="16">
        <f>AVERAGE(L3:L10)</f>
        <v>3</v>
      </c>
      <c r="M20" s="16">
        <f>AVERAGE(M3:M9)</f>
        <v>3.428571429</v>
      </c>
      <c r="N20" s="16">
        <f>AVERAGE(N3:N8)</f>
        <v>6.833333333</v>
      </c>
      <c r="O20" s="16">
        <f>AVERAGE(O3:O7)</f>
        <v>6</v>
      </c>
      <c r="P20" s="16">
        <f>AVERAGE(P3:P6)</f>
        <v>6.5</v>
      </c>
      <c r="Q20" s="16"/>
      <c r="R20" s="16"/>
      <c r="S20" s="82"/>
    </row>
    <row r="21">
      <c r="A21" s="4" t="s">
        <v>41</v>
      </c>
      <c r="B21" s="3"/>
      <c r="C21" s="40" t="str">
        <f>HYPERLINK("https://docs.google.com/document/d/11BaKzzykZB7SG3L4ptPyy9XDuxU-Nxt0dLvT_XAFWHc/edit?usp=sharing","Link")</f>
        <v>Link</v>
      </c>
      <c r="D21" s="40" t="str">
        <f>HYPERLINK("https://docs.google.com/document/d/18RLuLT6tiSOIv4w4UKurlFi4wxDgc675RW3zkWLtRGo/edit?usp=sharing","Link")</f>
        <v>Link</v>
      </c>
      <c r="E21" s="40" t="str">
        <f>HYPERLINK("https://docs.google.com/document/d/1Z-dRuH2aU3B_OEKpAr9EVc8m_IicMQUVJpRQmN4TbD4/edit?usp=sharing","Link")</f>
        <v>Link</v>
      </c>
      <c r="F21" s="40" t="str">
        <f>HYPERLINK("https://docs.google.com/document/d/1YvWoImb3izPyXMBe7lrrVp4ygLikb2gumn57Z94Taco/edit?usp=sharing","Link")</f>
        <v>Link</v>
      </c>
      <c r="G21" s="40" t="str">
        <f>HYPERLINK("https://docs.google.com/document/d/1mHjZzCC01avhVLVoMV7e8zxFxbvWBAa6PCTl35IhKEQ/edit?usp=sharing","Link")</f>
        <v>Link</v>
      </c>
      <c r="H21" s="40" t="str">
        <f>HYPERLINK("https://docs.google.com/document/d/1PHSlY75Zwn-XEHX7Z70dbw7Tw51e5jU3tjuMHp8-_6U/edit?usp=sharing","Link")</f>
        <v>Link</v>
      </c>
      <c r="I21" s="40" t="str">
        <f>HYPERLINK("https://docs.google.com/document/d/1ZgPpwP3WjMtL8-ZiOr-KXQqNFyPlX8wKeKxWOUqFLQM/edit?usp=sharing","Link")</f>
        <v>Link</v>
      </c>
      <c r="J21" s="40" t="str">
        <f>HYPERLINK("https://docs.google.com/document/d/11czcsdsM9l3W05sxxQ0xqLX_UeeLynvjbR373Zg_Q14/edit?usp=sharing","Link")</f>
        <v>Link</v>
      </c>
      <c r="K21" s="40" t="str">
        <f>HYPERLINK("https://docs.google.com/document/d/1bV5rdPiMTzNmB0GSWyD6ltYhg5Z-a1u6fpHFURVTqBs/edit?usp=sharing","Link")</f>
        <v>Link</v>
      </c>
      <c r="L21" s="40" t="str">
        <f>HYPERLINK("https://docs.google.com/document/d/1iO5aCJ8P7x58TNzEysV6kBFMgtifbP1Kx-JzqTTrxGQ/edit?usp=sharing","Link")</f>
        <v>Link</v>
      </c>
      <c r="M21" s="40" t="str">
        <f>HYPERLINK("https://docs.google.com/document/d/1Z0_06OkrpnLCzT_0iun6ZXtHYSdIhwRr7YKrJ1F4XN4/edit?usp=sharing","Link")</f>
        <v>Link</v>
      </c>
      <c r="N21" s="40" t="str">
        <f>HYPERLINK("https://docs.google.com/document/d/1M-5D4hYphP7dU30B8PciNKjkwNyfRj0Y9HYD7GvpCrk/edit?usp=sharing","Link")</f>
        <v>Link</v>
      </c>
      <c r="O21" s="40" t="str">
        <f>HYPERLINK("https://docs.google.com/document/d/1HoduT_nCfEzALymY3hfHuf_n5jFfdK_0MQrmI4oNNyY/edit?usp=sharing","Link")</f>
        <v>Link</v>
      </c>
      <c r="P21" s="40" t="str">
        <f>HYPERLINK("https://docs.google.com/document/d/160Pr3e6DpW4NbqsoOOqHPb7DvoFIX-1I6__G5IH_AWQ/edit?usp=sharing","Link")</f>
        <v>Link</v>
      </c>
      <c r="Q21" s="83" t="str">
        <f>HYPERLINK("https://docs.google.com/document/d/11FEcukNYpMmDnH5ULnGcdPw_cAVTy7LG_RrdfIElK9k/edit?usp=sharing","Season Transcript")</f>
        <v>Season Transcript</v>
      </c>
      <c r="R21" s="3"/>
      <c r="S21" s="226" t="str">
        <f>HYPERLINK("https://docs.google.com/document/d/1bZzUF5FHe872z8AMpJfeg2NzJJg4IgG692ZWtVJM7hc/edit?usp=sharing","Differences")</f>
        <v>Differences</v>
      </c>
    </row>
    <row r="22"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3"/>
      <c r="S22" s="150"/>
    </row>
    <row r="23">
      <c r="A23" s="174" t="s">
        <v>65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152"/>
    </row>
    <row r="24">
      <c r="A24" s="255" t="s">
        <v>434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152"/>
    </row>
    <row r="25">
      <c r="A25" s="186" t="s">
        <v>435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152"/>
    </row>
    <row r="26">
      <c r="A26" s="51" t="s">
        <v>436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152"/>
    </row>
  </sheetData>
  <mergeCells count="11">
    <mergeCell ref="A23:B23"/>
    <mergeCell ref="A24:B24"/>
    <mergeCell ref="A25:B25"/>
    <mergeCell ref="A26:B26"/>
    <mergeCell ref="A1:S1"/>
    <mergeCell ref="A2:B2"/>
    <mergeCell ref="A19:B19"/>
    <mergeCell ref="A20:B20"/>
    <mergeCell ref="A21:B21"/>
    <mergeCell ref="Q21:R21"/>
    <mergeCell ref="A22:B22"/>
  </mergeCells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5" width="7.29"/>
    <col customWidth="1" min="16" max="16" width="9.43"/>
    <col customWidth="1" min="17" max="17" width="12.29"/>
  </cols>
  <sheetData>
    <row r="1">
      <c r="A1" s="1" t="s">
        <v>437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256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17</v>
      </c>
      <c r="P2" s="7" t="s">
        <v>18</v>
      </c>
      <c r="Q2" s="5" t="s">
        <v>19</v>
      </c>
    </row>
    <row r="3">
      <c r="A3" s="9" t="s">
        <v>57</v>
      </c>
      <c r="B3" s="203">
        <v>9.0</v>
      </c>
      <c r="C3" s="203">
        <v>3.0</v>
      </c>
      <c r="D3" s="203">
        <v>0.0</v>
      </c>
      <c r="E3" s="203">
        <v>2.0</v>
      </c>
      <c r="F3" s="203">
        <v>8.0</v>
      </c>
      <c r="G3" s="203">
        <v>3.0</v>
      </c>
      <c r="H3" s="158">
        <v>1.0</v>
      </c>
      <c r="I3" s="158">
        <v>3.0</v>
      </c>
      <c r="J3" s="158">
        <v>4.0</v>
      </c>
      <c r="K3" s="158">
        <v>3.0</v>
      </c>
      <c r="L3" s="158">
        <v>4.0</v>
      </c>
      <c r="M3" s="158">
        <v>4.0</v>
      </c>
      <c r="N3" s="158">
        <v>17.0</v>
      </c>
      <c r="O3" s="23">
        <f t="shared" ref="O3:O18" si="1">SUM(B3:N3)</f>
        <v>61</v>
      </c>
      <c r="P3" s="16">
        <f t="shared" ref="P3:P6" si="2">AVERAGE(B3:N3)</f>
        <v>4.692307692</v>
      </c>
      <c r="Q3" s="17">
        <v>0.1255</v>
      </c>
    </row>
    <row r="4">
      <c r="A4" s="9" t="s">
        <v>438</v>
      </c>
      <c r="B4" s="257">
        <v>1.0</v>
      </c>
      <c r="C4" s="257">
        <v>1.0</v>
      </c>
      <c r="D4" s="257">
        <v>1.0</v>
      </c>
      <c r="E4" s="257">
        <v>3.0</v>
      </c>
      <c r="F4" s="203">
        <v>1.0</v>
      </c>
      <c r="G4" s="203">
        <v>4.0</v>
      </c>
      <c r="H4" s="158">
        <v>1.0</v>
      </c>
      <c r="I4" s="158">
        <v>2.0</v>
      </c>
      <c r="J4" s="158">
        <v>2.0</v>
      </c>
      <c r="K4" s="158">
        <v>9.0</v>
      </c>
      <c r="L4" s="158">
        <v>8.0</v>
      </c>
      <c r="M4" s="158">
        <v>5.0</v>
      </c>
      <c r="N4" s="158">
        <v>15.0</v>
      </c>
      <c r="O4" s="23">
        <f t="shared" si="1"/>
        <v>53</v>
      </c>
      <c r="P4" s="16">
        <f t="shared" si="2"/>
        <v>4.076923077</v>
      </c>
      <c r="Q4" s="17">
        <v>0.1091</v>
      </c>
    </row>
    <row r="5">
      <c r="A5" s="9" t="s">
        <v>36</v>
      </c>
      <c r="B5" s="257">
        <v>12.0</v>
      </c>
      <c r="C5" s="257">
        <v>3.0</v>
      </c>
      <c r="D5" s="257">
        <v>7.0</v>
      </c>
      <c r="E5" s="257">
        <v>1.0</v>
      </c>
      <c r="F5" s="203">
        <v>4.0</v>
      </c>
      <c r="G5" s="203">
        <v>8.0</v>
      </c>
      <c r="H5" s="158">
        <v>12.0</v>
      </c>
      <c r="I5" s="158">
        <v>9.0</v>
      </c>
      <c r="J5" s="158">
        <v>13.0</v>
      </c>
      <c r="K5" s="158">
        <v>6.0</v>
      </c>
      <c r="L5" s="158">
        <v>10.0</v>
      </c>
      <c r="M5" s="158">
        <v>9.0</v>
      </c>
      <c r="N5" s="158">
        <v>10.0</v>
      </c>
      <c r="O5" s="23">
        <f t="shared" si="1"/>
        <v>104</v>
      </c>
      <c r="P5" s="16">
        <f t="shared" si="2"/>
        <v>8</v>
      </c>
      <c r="Q5" s="17">
        <v>0.214</v>
      </c>
    </row>
    <row r="6">
      <c r="A6" s="9" t="s">
        <v>439</v>
      </c>
      <c r="B6" s="257">
        <v>1.0</v>
      </c>
      <c r="C6" s="257">
        <v>0.0</v>
      </c>
      <c r="D6" s="257">
        <v>1.0</v>
      </c>
      <c r="E6" s="257">
        <v>2.0</v>
      </c>
      <c r="F6" s="257">
        <v>1.0</v>
      </c>
      <c r="G6" s="257">
        <v>0.0</v>
      </c>
      <c r="H6" s="158">
        <v>1.0</v>
      </c>
      <c r="I6" s="158">
        <v>1.0</v>
      </c>
      <c r="J6" s="158">
        <v>3.0</v>
      </c>
      <c r="K6" s="158">
        <v>1.0</v>
      </c>
      <c r="L6" s="158">
        <v>0.0</v>
      </c>
      <c r="M6" s="158">
        <v>3.0</v>
      </c>
      <c r="N6" s="158">
        <v>2.0</v>
      </c>
      <c r="O6" s="23">
        <f t="shared" si="1"/>
        <v>16</v>
      </c>
      <c r="P6" s="16">
        <f t="shared" si="2"/>
        <v>1.230769231</v>
      </c>
      <c r="Q6" s="17">
        <v>0.0329</v>
      </c>
    </row>
    <row r="7">
      <c r="A7" s="9" t="s">
        <v>440</v>
      </c>
      <c r="B7" s="203">
        <v>7.0</v>
      </c>
      <c r="C7" s="203">
        <v>2.0</v>
      </c>
      <c r="D7" s="203">
        <v>3.0</v>
      </c>
      <c r="E7" s="203">
        <v>5.0</v>
      </c>
      <c r="F7" s="257">
        <v>4.0</v>
      </c>
      <c r="G7" s="257">
        <v>3.0</v>
      </c>
      <c r="H7" s="158">
        <v>1.0</v>
      </c>
      <c r="I7" s="158">
        <v>1.0</v>
      </c>
      <c r="J7" s="158">
        <v>3.0</v>
      </c>
      <c r="K7" s="158">
        <v>3.0</v>
      </c>
      <c r="L7" s="158">
        <v>4.0</v>
      </c>
      <c r="M7" s="158">
        <v>4.0</v>
      </c>
      <c r="N7" s="92"/>
      <c r="O7" s="23">
        <f t="shared" si="1"/>
        <v>40</v>
      </c>
      <c r="P7" s="16">
        <f>AVERAGE(B7:M7)</f>
        <v>3.333333333</v>
      </c>
      <c r="Q7" s="17">
        <v>0.0823</v>
      </c>
    </row>
    <row r="8">
      <c r="A8" s="9" t="s">
        <v>441</v>
      </c>
      <c r="B8" s="203">
        <v>5.0</v>
      </c>
      <c r="C8" s="203">
        <v>4.0</v>
      </c>
      <c r="D8" s="203">
        <v>2.0</v>
      </c>
      <c r="E8" s="203">
        <v>1.0</v>
      </c>
      <c r="F8" s="257">
        <v>2.0</v>
      </c>
      <c r="G8" s="257">
        <v>2.0</v>
      </c>
      <c r="H8" s="158">
        <v>2.0</v>
      </c>
      <c r="I8" s="158">
        <v>2.0</v>
      </c>
      <c r="J8" s="158">
        <v>0.0</v>
      </c>
      <c r="K8" s="158">
        <v>5.0</v>
      </c>
      <c r="L8" s="158">
        <v>3.0</v>
      </c>
      <c r="M8" s="92"/>
      <c r="N8" s="92"/>
      <c r="O8" s="23">
        <f t="shared" si="1"/>
        <v>28</v>
      </c>
      <c r="P8" s="16">
        <f>AVERAGE(B8:L8)</f>
        <v>2.545454545</v>
      </c>
      <c r="Q8" s="17">
        <v>0.0576</v>
      </c>
    </row>
    <row r="9">
      <c r="A9" s="9" t="s">
        <v>442</v>
      </c>
      <c r="B9" s="257">
        <v>4.0</v>
      </c>
      <c r="C9" s="257">
        <v>5.0</v>
      </c>
      <c r="D9" s="257">
        <v>3.0</v>
      </c>
      <c r="E9" s="257">
        <v>1.0</v>
      </c>
      <c r="F9" s="203">
        <v>1.0</v>
      </c>
      <c r="G9" s="203">
        <v>3.0</v>
      </c>
      <c r="H9" s="158">
        <v>3.0</v>
      </c>
      <c r="I9" s="158">
        <v>2.0</v>
      </c>
      <c r="J9" s="158">
        <v>2.0</v>
      </c>
      <c r="K9" s="158">
        <v>5.0</v>
      </c>
      <c r="L9" s="92"/>
      <c r="M9" s="92"/>
      <c r="N9" s="92"/>
      <c r="O9" s="23">
        <f t="shared" si="1"/>
        <v>29</v>
      </c>
      <c r="P9" s="16">
        <f>AVERAGE(B9:K9)</f>
        <v>2.9</v>
      </c>
      <c r="Q9" s="17">
        <v>0.0597</v>
      </c>
    </row>
    <row r="10">
      <c r="A10" s="9" t="s">
        <v>443</v>
      </c>
      <c r="B10" s="203">
        <v>6.0</v>
      </c>
      <c r="C10" s="203">
        <v>5.0</v>
      </c>
      <c r="D10" s="203">
        <v>2.0</v>
      </c>
      <c r="E10" s="203">
        <v>4.0</v>
      </c>
      <c r="F10" s="203">
        <v>5.0</v>
      </c>
      <c r="G10" s="203">
        <v>5.0</v>
      </c>
      <c r="H10" s="158">
        <v>8.0</v>
      </c>
      <c r="I10" s="158">
        <v>1.0</v>
      </c>
      <c r="J10" s="158">
        <v>6.0</v>
      </c>
      <c r="K10" s="92"/>
      <c r="L10" s="92"/>
      <c r="M10" s="92"/>
      <c r="N10" s="92"/>
      <c r="O10" s="23">
        <f t="shared" si="1"/>
        <v>42</v>
      </c>
      <c r="P10" s="16">
        <f>AVERAGE(B10:J10)</f>
        <v>4.666666667</v>
      </c>
      <c r="Q10" s="17">
        <v>0.0864</v>
      </c>
    </row>
    <row r="11">
      <c r="A11" s="9" t="s">
        <v>444</v>
      </c>
      <c r="B11" s="257">
        <v>4.0</v>
      </c>
      <c r="C11" s="257">
        <v>3.0</v>
      </c>
      <c r="D11" s="257">
        <v>3.0</v>
      </c>
      <c r="E11" s="257">
        <v>4.0</v>
      </c>
      <c r="F11" s="257">
        <v>8.0</v>
      </c>
      <c r="G11" s="257">
        <v>2.0</v>
      </c>
      <c r="H11" s="158">
        <v>5.0</v>
      </c>
      <c r="I11" s="158">
        <v>4.0</v>
      </c>
      <c r="J11" s="92"/>
      <c r="K11" s="92"/>
      <c r="L11" s="92"/>
      <c r="M11" s="92"/>
      <c r="N11" s="92"/>
      <c r="O11" s="23">
        <f t="shared" si="1"/>
        <v>33</v>
      </c>
      <c r="P11" s="16">
        <f>AVERAGE(B11:I11)</f>
        <v>4.125</v>
      </c>
      <c r="Q11" s="17">
        <v>0.0679</v>
      </c>
    </row>
    <row r="12">
      <c r="A12" s="9" t="s">
        <v>445</v>
      </c>
      <c r="B12" s="257">
        <v>5.0</v>
      </c>
      <c r="C12" s="257">
        <v>1.0</v>
      </c>
      <c r="D12" s="257">
        <v>1.0</v>
      </c>
      <c r="E12" s="257">
        <v>1.0</v>
      </c>
      <c r="F12" s="257">
        <v>2.0</v>
      </c>
      <c r="G12" s="257">
        <v>0.0</v>
      </c>
      <c r="H12" s="158">
        <v>4.0</v>
      </c>
      <c r="I12" s="92"/>
      <c r="J12" s="92"/>
      <c r="K12" s="92"/>
      <c r="L12" s="92"/>
      <c r="M12" s="92"/>
      <c r="N12" s="92"/>
      <c r="O12" s="23">
        <f t="shared" si="1"/>
        <v>14</v>
      </c>
      <c r="P12" s="16">
        <f>AVERAGE(B12:H12)</f>
        <v>2</v>
      </c>
      <c r="Q12" s="17">
        <v>0.0288</v>
      </c>
    </row>
    <row r="13">
      <c r="A13" s="9" t="s">
        <v>446</v>
      </c>
      <c r="B13" s="203">
        <v>3.0</v>
      </c>
      <c r="C13" s="203">
        <v>2.0</v>
      </c>
      <c r="D13" s="203">
        <v>3.0</v>
      </c>
      <c r="E13" s="203">
        <v>5.0</v>
      </c>
      <c r="F13" s="203">
        <v>2.0</v>
      </c>
      <c r="G13" s="203">
        <v>5.0</v>
      </c>
      <c r="H13" s="148"/>
      <c r="I13" s="148"/>
      <c r="J13" s="148"/>
      <c r="K13" s="148"/>
      <c r="L13" s="148"/>
      <c r="M13" s="148"/>
      <c r="N13" s="148"/>
      <c r="O13" s="23">
        <f t="shared" si="1"/>
        <v>20</v>
      </c>
      <c r="P13" s="16">
        <f>AVERAGE(B13:G13)</f>
        <v>3.333333333</v>
      </c>
      <c r="Q13" s="17">
        <v>0.0412</v>
      </c>
    </row>
    <row r="14">
      <c r="A14" s="9" t="s">
        <v>447</v>
      </c>
      <c r="B14" s="203">
        <v>5.0</v>
      </c>
      <c r="C14" s="203">
        <v>6.0</v>
      </c>
      <c r="D14" s="203">
        <v>4.0</v>
      </c>
      <c r="E14" s="203">
        <v>2.0</v>
      </c>
      <c r="F14" s="257">
        <v>7.0</v>
      </c>
      <c r="G14" s="148"/>
      <c r="H14" s="148"/>
      <c r="I14" s="148"/>
      <c r="J14" s="148"/>
      <c r="K14" s="148"/>
      <c r="L14" s="148"/>
      <c r="M14" s="148"/>
      <c r="N14" s="148"/>
      <c r="O14" s="23">
        <f t="shared" si="1"/>
        <v>24</v>
      </c>
      <c r="P14" s="16">
        <f>AVERAGE(B14:F14)</f>
        <v>4.8</v>
      </c>
      <c r="Q14" s="17">
        <v>0.0494</v>
      </c>
    </row>
    <row r="15">
      <c r="A15" s="9" t="s">
        <v>448</v>
      </c>
      <c r="B15" s="203">
        <v>1.0</v>
      </c>
      <c r="C15" s="203">
        <v>2.0</v>
      </c>
      <c r="D15" s="203">
        <v>1.0</v>
      </c>
      <c r="E15" s="203">
        <v>0.0</v>
      </c>
      <c r="F15" s="148"/>
      <c r="G15" s="148"/>
      <c r="H15" s="148"/>
      <c r="I15" s="148"/>
      <c r="J15" s="148"/>
      <c r="K15" s="148"/>
      <c r="L15" s="148"/>
      <c r="M15" s="148"/>
      <c r="N15" s="148"/>
      <c r="O15" s="23">
        <f t="shared" si="1"/>
        <v>4</v>
      </c>
      <c r="P15" s="16">
        <f>AVERAGE(B15:E15)</f>
        <v>1</v>
      </c>
      <c r="Q15" s="17">
        <v>0.0082</v>
      </c>
    </row>
    <row r="16">
      <c r="A16" s="9" t="s">
        <v>449</v>
      </c>
      <c r="B16" s="257">
        <v>2.0</v>
      </c>
      <c r="C16" s="257">
        <v>0.0</v>
      </c>
      <c r="D16" s="257">
        <v>4.0</v>
      </c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23">
        <f t="shared" si="1"/>
        <v>6</v>
      </c>
      <c r="P16" s="16">
        <f>AVERAGE(B16:D16)</f>
        <v>2</v>
      </c>
      <c r="Q16" s="17">
        <v>0.0123</v>
      </c>
    </row>
    <row r="17">
      <c r="A17" s="9" t="s">
        <v>450</v>
      </c>
      <c r="B17" s="203">
        <v>4.0</v>
      </c>
      <c r="C17" s="203">
        <v>4.0</v>
      </c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23">
        <f t="shared" si="1"/>
        <v>8</v>
      </c>
      <c r="P17" s="16">
        <f>AVERAGE(B17:C17)</f>
        <v>4</v>
      </c>
      <c r="Q17" s="17">
        <v>0.0165</v>
      </c>
    </row>
    <row r="18">
      <c r="A18" s="9" t="s">
        <v>74</v>
      </c>
      <c r="B18" s="257">
        <v>4.0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23">
        <f t="shared" si="1"/>
        <v>4</v>
      </c>
      <c r="P18" s="16">
        <f>AVERAGE(B18)</f>
        <v>4</v>
      </c>
      <c r="Q18" s="17">
        <v>0.0082</v>
      </c>
    </row>
    <row r="19">
      <c r="A19" s="256" t="s">
        <v>40</v>
      </c>
      <c r="B19" s="23">
        <f t="shared" ref="B19:O19" si="3">SUM(B3:B18)</f>
        <v>73</v>
      </c>
      <c r="C19" s="23">
        <f t="shared" si="3"/>
        <v>41</v>
      </c>
      <c r="D19" s="23">
        <f t="shared" si="3"/>
        <v>35</v>
      </c>
      <c r="E19" s="23">
        <f t="shared" si="3"/>
        <v>31</v>
      </c>
      <c r="F19" s="23">
        <f t="shared" si="3"/>
        <v>45</v>
      </c>
      <c r="G19" s="23">
        <f t="shared" si="3"/>
        <v>35</v>
      </c>
      <c r="H19" s="23">
        <f t="shared" si="3"/>
        <v>38</v>
      </c>
      <c r="I19" s="23">
        <f t="shared" si="3"/>
        <v>25</v>
      </c>
      <c r="J19" s="23">
        <f t="shared" si="3"/>
        <v>33</v>
      </c>
      <c r="K19" s="23">
        <f t="shared" si="3"/>
        <v>32</v>
      </c>
      <c r="L19" s="23">
        <f t="shared" si="3"/>
        <v>29</v>
      </c>
      <c r="M19" s="23">
        <f t="shared" si="3"/>
        <v>25</v>
      </c>
      <c r="N19" s="23">
        <f t="shared" si="3"/>
        <v>44</v>
      </c>
      <c r="O19" s="23">
        <f t="shared" si="3"/>
        <v>486</v>
      </c>
      <c r="P19" s="16"/>
      <c r="Q19" s="23"/>
    </row>
    <row r="20">
      <c r="A20" s="258" t="s">
        <v>18</v>
      </c>
      <c r="B20" s="16">
        <f>AVERAGE(B3:B18)</f>
        <v>4.5625</v>
      </c>
      <c r="C20" s="16">
        <f>AVERAGE(C3:C17)</f>
        <v>2.733333333</v>
      </c>
      <c r="D20" s="16">
        <f>AVERAGE(D3:D16)</f>
        <v>2.5</v>
      </c>
      <c r="E20" s="16">
        <f>AVERAGE(E3:E15)</f>
        <v>2.384615385</v>
      </c>
      <c r="F20" s="16">
        <f>AVERAGE(F3:F14)</f>
        <v>3.75</v>
      </c>
      <c r="G20" s="16">
        <f>AVERAGE(G3:G13)</f>
        <v>3.181818182</v>
      </c>
      <c r="H20" s="16">
        <f>AVERAGE(H3:H12)</f>
        <v>3.8</v>
      </c>
      <c r="I20" s="16">
        <f>AVERAGE(I3:I11)</f>
        <v>2.777777778</v>
      </c>
      <c r="J20" s="16">
        <f>AVERAGE(J3:J10)</f>
        <v>4.125</v>
      </c>
      <c r="K20" s="16">
        <f>AVERAGE(K3:K9)</f>
        <v>4.571428571</v>
      </c>
      <c r="L20" s="16">
        <f>AVERAGE(L3:L8)</f>
        <v>4.833333333</v>
      </c>
      <c r="M20" s="16">
        <f>AVERAGE(M3:M7)</f>
        <v>5</v>
      </c>
      <c r="N20" s="16">
        <f>AVERAGE(N3:N6)</f>
        <v>11</v>
      </c>
      <c r="O20" s="16"/>
      <c r="P20" s="16"/>
      <c r="Q20" s="16"/>
      <c r="R20" s="259"/>
      <c r="S20" s="259"/>
      <c r="T20" s="259"/>
      <c r="U20" s="259"/>
      <c r="V20" s="259"/>
      <c r="W20" s="259"/>
      <c r="X20" s="259"/>
    </row>
    <row r="21">
      <c r="A21" s="256" t="s">
        <v>41</v>
      </c>
      <c r="B21" s="40" t="str">
        <f>HYPERLINK("https://docs.google.com/document/d/1CxmNHAx2lY_HNpcnZt5telEgcyT0qbAxfeMsax1Oe8E/edit?usp=sharing","Link")</f>
        <v>Link</v>
      </c>
      <c r="C21" s="40" t="str">
        <f>HYPERLINK("https://docs.google.com/document/d/1AZFp0rLkSHsN9paH5Qeg_kAtulL5uSniqlqhq7MdE0o/edit?usp=sharing","Link")</f>
        <v>Link</v>
      </c>
      <c r="D21" s="40" t="str">
        <f>HYPERLINK("https://docs.google.com/document/d/1AH5sr-cfz_pOSnlLUTKcOumf3miJvnEEx8zr2eWdK7M/edit?usp=sharing","Link")</f>
        <v>Link</v>
      </c>
      <c r="E21" s="40" t="str">
        <f>HYPERLINK("https://docs.google.com/document/d/1mC3Zxgh5p5XLqy6I-KVQlKBhmIFVg3g6R8nzz8_r0hk/edit?usp=sharing","Link")</f>
        <v>Link</v>
      </c>
      <c r="F21" s="40" t="str">
        <f>HYPERLINK("https://docs.google.com/document/d/1xUNj3pOiZNgbP8-S59XWLOcMzxbFBQbs5-nIsmOK9rs/edit?usp=sharing","Link")</f>
        <v>Link</v>
      </c>
      <c r="G21" s="40" t="str">
        <f>HYPERLINK("https://docs.google.com/document/d/1HjIxgJo3WEilx9CR-L8deD_xBFx3-N0vxc4RXamZGao/edit?usp=sharing","Link")</f>
        <v>Link</v>
      </c>
      <c r="H21" s="40" t="str">
        <f>HYPERLINK("https://docs.google.com/document/d/1iC5wpvVyEU8Oq5KYDwMQ4LeaYBI1z2l3CHwm7bGgxAM/edit?usp=sharing","Link")</f>
        <v>Link</v>
      </c>
      <c r="I21" s="40" t="str">
        <f>HYPERLINK("https://docs.google.com/document/d/1ADvSCaH_2GGHvuknEIGizcSgPTz1rcdxP5dTyGTek1E/edit?usp=sharing","Link")</f>
        <v>Link</v>
      </c>
      <c r="J21" s="40" t="str">
        <f>HYPERLINK("https://docs.google.com/document/d/1l8MEB2IGzdT5We1OPuSskFHYkBAdLHqE92sLrQSiXmA/edit?usp=sharing","Link")</f>
        <v>Link</v>
      </c>
      <c r="K21" s="40" t="str">
        <f>HYPERLINK("https://docs.google.com/document/d/1Jwpv9aF0dKaz27akfU8QHmrLb55PTyptFR8h_WxdR7E/edit?usp=sharing","Link")</f>
        <v>Link</v>
      </c>
      <c r="L21" s="40" t="str">
        <f>HYPERLINK("https://docs.google.com/document/d/1g41nGSQnRVTiGfVLc51JFpX-c_-gABurLX-sMTJuydQ/edit?usp=sharing","Link")</f>
        <v>Link</v>
      </c>
      <c r="M21" s="40" t="str">
        <f>HYPERLINK("https://docs.google.com/document/d/1z4KHUtbL6tuUT3b_8SzgRPJ-fxA4g4imziOmMVPyB5E/edit?usp=sharing","Link")</f>
        <v>Link</v>
      </c>
      <c r="N21" s="40" t="str">
        <f>HYPERLINK("https://docs.google.com/document/d/1VuSMg06FLgwdpwFQ0zlVDMRI3H7H36e3xB-tBJQI4ds/edit?usp=sharing","Link")</f>
        <v>Link</v>
      </c>
      <c r="O21" s="40" t="str">
        <f>HYPERLINK("https://docs.google.com/document/d/1QIibOSSaxl6kwXmQG8y2WFO28b9bzVVWK0G-nuVYfXk/edit?usp=sharing","Link")</f>
        <v>Link</v>
      </c>
      <c r="P21" s="16"/>
      <c r="Q21" s="23"/>
    </row>
    <row r="22">
      <c r="P22" s="259"/>
      <c r="Q22" s="260"/>
    </row>
    <row r="23">
      <c r="A23" s="261" t="s">
        <v>451</v>
      </c>
      <c r="P23" s="259"/>
      <c r="Q23" s="260"/>
    </row>
    <row r="24">
      <c r="A24" s="206" t="s">
        <v>452</v>
      </c>
      <c r="P24" s="259"/>
      <c r="Q24" s="260"/>
    </row>
    <row r="25">
      <c r="A25" s="168" t="s">
        <v>453</v>
      </c>
      <c r="P25" s="259"/>
      <c r="Q25" s="260"/>
    </row>
    <row r="26">
      <c r="P26" s="259"/>
      <c r="Q26" s="260"/>
    </row>
    <row r="27">
      <c r="P27" s="259"/>
      <c r="Q27" s="260"/>
    </row>
    <row r="28">
      <c r="P28" s="259"/>
      <c r="Q28" s="260"/>
    </row>
    <row r="29">
      <c r="P29" s="259"/>
      <c r="Q29" s="260"/>
    </row>
    <row r="30">
      <c r="P30" s="259"/>
      <c r="Q30" s="260"/>
    </row>
    <row r="31">
      <c r="P31" s="259"/>
      <c r="Q31" s="260"/>
    </row>
    <row r="32">
      <c r="P32" s="259"/>
      <c r="Q32" s="260"/>
    </row>
    <row r="33">
      <c r="P33" s="259"/>
      <c r="Q33" s="260"/>
    </row>
    <row r="34">
      <c r="P34" s="259"/>
      <c r="Q34" s="260"/>
    </row>
    <row r="35">
      <c r="P35" s="259"/>
      <c r="Q35" s="260"/>
    </row>
    <row r="36">
      <c r="P36" s="259"/>
      <c r="Q36" s="260"/>
    </row>
    <row r="37">
      <c r="P37" s="259"/>
      <c r="Q37" s="260"/>
    </row>
    <row r="38">
      <c r="P38" s="259"/>
      <c r="Q38" s="260"/>
    </row>
    <row r="39">
      <c r="P39" s="259"/>
      <c r="Q39" s="260"/>
    </row>
    <row r="40">
      <c r="P40" s="259"/>
      <c r="Q40" s="260"/>
    </row>
    <row r="41">
      <c r="P41" s="259"/>
      <c r="Q41" s="260"/>
    </row>
    <row r="42">
      <c r="P42" s="259"/>
      <c r="Q42" s="260"/>
    </row>
    <row r="43">
      <c r="P43" s="259"/>
      <c r="Q43" s="260"/>
    </row>
    <row r="44">
      <c r="P44" s="259"/>
      <c r="Q44" s="260"/>
    </row>
    <row r="45">
      <c r="P45" s="259"/>
      <c r="Q45" s="260"/>
    </row>
    <row r="46">
      <c r="P46" s="259"/>
      <c r="Q46" s="260"/>
    </row>
    <row r="47">
      <c r="P47" s="259"/>
      <c r="Q47" s="260"/>
    </row>
    <row r="48">
      <c r="P48" s="259"/>
      <c r="Q48" s="260"/>
    </row>
    <row r="49">
      <c r="P49" s="259"/>
      <c r="Q49" s="260"/>
    </row>
    <row r="50">
      <c r="P50" s="259"/>
      <c r="Q50" s="260"/>
    </row>
    <row r="51">
      <c r="P51" s="259"/>
      <c r="Q51" s="260"/>
    </row>
    <row r="52">
      <c r="P52" s="259"/>
      <c r="Q52" s="260"/>
    </row>
    <row r="53">
      <c r="P53" s="259"/>
      <c r="Q53" s="260"/>
    </row>
    <row r="54">
      <c r="P54" s="259"/>
      <c r="Q54" s="260"/>
    </row>
    <row r="55">
      <c r="P55" s="259"/>
      <c r="Q55" s="260"/>
    </row>
    <row r="56">
      <c r="P56" s="259"/>
      <c r="Q56" s="260"/>
    </row>
    <row r="57">
      <c r="P57" s="259"/>
      <c r="Q57" s="260"/>
    </row>
    <row r="58">
      <c r="P58" s="259"/>
      <c r="Q58" s="260"/>
    </row>
    <row r="59">
      <c r="P59" s="259"/>
      <c r="Q59" s="260"/>
    </row>
    <row r="60">
      <c r="P60" s="259"/>
      <c r="Q60" s="260"/>
    </row>
    <row r="61">
      <c r="P61" s="259"/>
      <c r="Q61" s="260"/>
    </row>
    <row r="62">
      <c r="P62" s="259"/>
      <c r="Q62" s="260"/>
    </row>
    <row r="63">
      <c r="P63" s="259"/>
      <c r="Q63" s="260"/>
    </row>
    <row r="64">
      <c r="P64" s="259"/>
      <c r="Q64" s="260"/>
    </row>
    <row r="65">
      <c r="P65" s="259"/>
      <c r="Q65" s="260"/>
    </row>
    <row r="66">
      <c r="P66" s="259"/>
      <c r="Q66" s="260"/>
    </row>
    <row r="67">
      <c r="P67" s="259"/>
      <c r="Q67" s="260"/>
    </row>
    <row r="68">
      <c r="P68" s="259"/>
      <c r="Q68" s="260"/>
    </row>
    <row r="69">
      <c r="P69" s="259"/>
      <c r="Q69" s="260"/>
    </row>
    <row r="70">
      <c r="P70" s="259"/>
      <c r="Q70" s="260"/>
    </row>
    <row r="71">
      <c r="P71" s="259"/>
      <c r="Q71" s="260"/>
    </row>
    <row r="72">
      <c r="P72" s="259"/>
      <c r="Q72" s="260"/>
    </row>
    <row r="73">
      <c r="P73" s="259"/>
      <c r="Q73" s="260"/>
    </row>
    <row r="74">
      <c r="P74" s="259"/>
      <c r="Q74" s="260"/>
    </row>
    <row r="75">
      <c r="P75" s="259"/>
      <c r="Q75" s="260"/>
    </row>
    <row r="76">
      <c r="P76" s="259"/>
      <c r="Q76" s="260"/>
    </row>
    <row r="77">
      <c r="P77" s="259"/>
      <c r="Q77" s="260"/>
    </row>
    <row r="78">
      <c r="P78" s="259"/>
      <c r="Q78" s="260"/>
    </row>
    <row r="79">
      <c r="P79" s="259"/>
      <c r="Q79" s="260"/>
    </row>
    <row r="80">
      <c r="P80" s="259"/>
      <c r="Q80" s="260"/>
    </row>
    <row r="81">
      <c r="P81" s="259"/>
      <c r="Q81" s="260"/>
    </row>
    <row r="82">
      <c r="P82" s="259"/>
      <c r="Q82" s="260"/>
    </row>
    <row r="83">
      <c r="P83" s="259"/>
      <c r="Q83" s="260"/>
    </row>
    <row r="84">
      <c r="P84" s="259"/>
      <c r="Q84" s="260"/>
    </row>
    <row r="85">
      <c r="P85" s="259"/>
      <c r="Q85" s="260"/>
    </row>
    <row r="86">
      <c r="P86" s="259"/>
      <c r="Q86" s="260"/>
    </row>
    <row r="87">
      <c r="P87" s="259"/>
      <c r="Q87" s="260"/>
    </row>
    <row r="88">
      <c r="P88" s="259"/>
      <c r="Q88" s="260"/>
    </row>
    <row r="89">
      <c r="P89" s="259"/>
      <c r="Q89" s="260"/>
    </row>
    <row r="90">
      <c r="P90" s="259"/>
      <c r="Q90" s="260"/>
    </row>
    <row r="91">
      <c r="P91" s="259"/>
      <c r="Q91" s="260"/>
    </row>
    <row r="92">
      <c r="P92" s="259"/>
      <c r="Q92" s="260"/>
    </row>
    <row r="93">
      <c r="P93" s="259"/>
      <c r="Q93" s="260"/>
    </row>
    <row r="94">
      <c r="P94" s="259"/>
      <c r="Q94" s="260"/>
    </row>
    <row r="95">
      <c r="P95" s="259"/>
      <c r="Q95" s="260"/>
    </row>
    <row r="96">
      <c r="P96" s="259"/>
      <c r="Q96" s="260"/>
    </row>
    <row r="97">
      <c r="P97" s="259"/>
      <c r="Q97" s="260"/>
    </row>
    <row r="98">
      <c r="P98" s="259"/>
      <c r="Q98" s="260"/>
    </row>
    <row r="99">
      <c r="P99" s="259"/>
      <c r="Q99" s="260"/>
    </row>
    <row r="100">
      <c r="P100" s="259"/>
      <c r="Q100" s="260"/>
    </row>
    <row r="101">
      <c r="P101" s="259"/>
      <c r="Q101" s="260"/>
    </row>
    <row r="102">
      <c r="P102" s="259"/>
      <c r="Q102" s="260"/>
    </row>
    <row r="103">
      <c r="P103" s="259"/>
      <c r="Q103" s="260"/>
    </row>
    <row r="104">
      <c r="P104" s="259"/>
      <c r="Q104" s="260"/>
    </row>
    <row r="105">
      <c r="P105" s="259"/>
      <c r="Q105" s="260"/>
    </row>
    <row r="106">
      <c r="P106" s="259"/>
      <c r="Q106" s="260"/>
    </row>
    <row r="107">
      <c r="P107" s="259"/>
      <c r="Q107" s="260"/>
    </row>
    <row r="108">
      <c r="P108" s="259"/>
      <c r="Q108" s="260"/>
    </row>
    <row r="109">
      <c r="P109" s="259"/>
      <c r="Q109" s="260"/>
    </row>
    <row r="110">
      <c r="P110" s="259"/>
      <c r="Q110" s="260"/>
    </row>
    <row r="111">
      <c r="P111" s="259"/>
      <c r="Q111" s="260"/>
    </row>
    <row r="112">
      <c r="P112" s="259"/>
      <c r="Q112" s="260"/>
    </row>
    <row r="113">
      <c r="P113" s="259"/>
      <c r="Q113" s="260"/>
    </row>
    <row r="114">
      <c r="P114" s="259"/>
      <c r="Q114" s="260"/>
    </row>
    <row r="115">
      <c r="P115" s="259"/>
      <c r="Q115" s="260"/>
    </row>
    <row r="116">
      <c r="P116" s="259"/>
      <c r="Q116" s="260"/>
    </row>
    <row r="117">
      <c r="P117" s="259"/>
      <c r="Q117" s="260"/>
    </row>
    <row r="118">
      <c r="P118" s="259"/>
      <c r="Q118" s="260"/>
    </row>
    <row r="119">
      <c r="P119" s="259"/>
      <c r="Q119" s="260"/>
    </row>
    <row r="120">
      <c r="P120" s="259"/>
      <c r="Q120" s="260"/>
    </row>
    <row r="121">
      <c r="P121" s="259"/>
      <c r="Q121" s="260"/>
    </row>
    <row r="122">
      <c r="P122" s="259"/>
      <c r="Q122" s="260"/>
    </row>
    <row r="123">
      <c r="P123" s="259"/>
      <c r="Q123" s="260"/>
    </row>
    <row r="124">
      <c r="P124" s="259"/>
      <c r="Q124" s="260"/>
    </row>
    <row r="125">
      <c r="P125" s="259"/>
      <c r="Q125" s="260"/>
    </row>
    <row r="126">
      <c r="P126" s="259"/>
      <c r="Q126" s="260"/>
    </row>
    <row r="127">
      <c r="P127" s="259"/>
      <c r="Q127" s="260"/>
    </row>
    <row r="128">
      <c r="P128" s="259"/>
      <c r="Q128" s="260"/>
    </row>
    <row r="129">
      <c r="P129" s="259"/>
      <c r="Q129" s="260"/>
    </row>
    <row r="130">
      <c r="P130" s="259"/>
      <c r="Q130" s="260"/>
    </row>
    <row r="131">
      <c r="P131" s="259"/>
      <c r="Q131" s="260"/>
    </row>
    <row r="132">
      <c r="P132" s="259"/>
      <c r="Q132" s="260"/>
    </row>
    <row r="133">
      <c r="P133" s="259"/>
      <c r="Q133" s="260"/>
    </row>
    <row r="134">
      <c r="P134" s="259"/>
      <c r="Q134" s="260"/>
    </row>
    <row r="135">
      <c r="P135" s="259"/>
      <c r="Q135" s="260"/>
    </row>
    <row r="136">
      <c r="P136" s="259"/>
      <c r="Q136" s="260"/>
    </row>
    <row r="137">
      <c r="P137" s="259"/>
      <c r="Q137" s="260"/>
    </row>
    <row r="138">
      <c r="P138" s="259"/>
      <c r="Q138" s="260"/>
    </row>
    <row r="139">
      <c r="P139" s="259"/>
      <c r="Q139" s="260"/>
    </row>
    <row r="140">
      <c r="P140" s="259"/>
      <c r="Q140" s="260"/>
    </row>
    <row r="141">
      <c r="P141" s="259"/>
      <c r="Q141" s="260"/>
    </row>
    <row r="142">
      <c r="P142" s="259"/>
      <c r="Q142" s="260"/>
    </row>
    <row r="143">
      <c r="P143" s="259"/>
      <c r="Q143" s="260"/>
    </row>
    <row r="144">
      <c r="P144" s="259"/>
      <c r="Q144" s="260"/>
    </row>
    <row r="145">
      <c r="P145" s="259"/>
      <c r="Q145" s="260"/>
    </row>
    <row r="146">
      <c r="P146" s="259"/>
      <c r="Q146" s="260"/>
    </row>
    <row r="147">
      <c r="P147" s="259"/>
      <c r="Q147" s="260"/>
    </row>
    <row r="148">
      <c r="P148" s="259"/>
      <c r="Q148" s="260"/>
    </row>
    <row r="149">
      <c r="P149" s="259"/>
      <c r="Q149" s="260"/>
    </row>
    <row r="150">
      <c r="P150" s="259"/>
      <c r="Q150" s="260"/>
    </row>
    <row r="151">
      <c r="P151" s="259"/>
      <c r="Q151" s="260"/>
    </row>
    <row r="152">
      <c r="P152" s="259"/>
      <c r="Q152" s="260"/>
    </row>
    <row r="153">
      <c r="P153" s="259"/>
      <c r="Q153" s="260"/>
    </row>
    <row r="154">
      <c r="P154" s="259"/>
      <c r="Q154" s="260"/>
    </row>
    <row r="155">
      <c r="P155" s="259"/>
      <c r="Q155" s="260"/>
    </row>
    <row r="156">
      <c r="P156" s="259"/>
      <c r="Q156" s="260"/>
    </row>
    <row r="157">
      <c r="P157" s="259"/>
      <c r="Q157" s="260"/>
    </row>
    <row r="158">
      <c r="P158" s="259"/>
      <c r="Q158" s="260"/>
    </row>
    <row r="159">
      <c r="P159" s="259"/>
      <c r="Q159" s="260"/>
    </row>
    <row r="160">
      <c r="P160" s="259"/>
      <c r="Q160" s="260"/>
    </row>
    <row r="161">
      <c r="P161" s="259"/>
      <c r="Q161" s="260"/>
    </row>
    <row r="162">
      <c r="P162" s="259"/>
      <c r="Q162" s="260"/>
    </row>
    <row r="163">
      <c r="P163" s="259"/>
      <c r="Q163" s="260"/>
    </row>
    <row r="164">
      <c r="P164" s="259"/>
      <c r="Q164" s="260"/>
    </row>
    <row r="165">
      <c r="P165" s="259"/>
      <c r="Q165" s="260"/>
    </row>
    <row r="166">
      <c r="P166" s="259"/>
      <c r="Q166" s="260"/>
    </row>
    <row r="167">
      <c r="P167" s="259"/>
      <c r="Q167" s="260"/>
    </row>
    <row r="168">
      <c r="P168" s="259"/>
      <c r="Q168" s="260"/>
    </row>
    <row r="169">
      <c r="P169" s="259"/>
      <c r="Q169" s="260"/>
    </row>
    <row r="170">
      <c r="P170" s="259"/>
      <c r="Q170" s="260"/>
    </row>
    <row r="171">
      <c r="P171" s="259"/>
      <c r="Q171" s="260"/>
    </row>
    <row r="172">
      <c r="P172" s="259"/>
      <c r="Q172" s="260"/>
    </row>
    <row r="173">
      <c r="P173" s="259"/>
      <c r="Q173" s="260"/>
    </row>
    <row r="174">
      <c r="P174" s="259"/>
      <c r="Q174" s="260"/>
    </row>
    <row r="175">
      <c r="P175" s="259"/>
      <c r="Q175" s="260"/>
    </row>
    <row r="176">
      <c r="P176" s="259"/>
      <c r="Q176" s="260"/>
    </row>
    <row r="177">
      <c r="P177" s="259"/>
      <c r="Q177" s="260"/>
    </row>
    <row r="178">
      <c r="P178" s="259"/>
      <c r="Q178" s="260"/>
    </row>
    <row r="179">
      <c r="P179" s="259"/>
      <c r="Q179" s="260"/>
    </row>
    <row r="180">
      <c r="P180" s="259"/>
      <c r="Q180" s="260"/>
    </row>
    <row r="181">
      <c r="P181" s="259"/>
      <c r="Q181" s="260"/>
    </row>
    <row r="182">
      <c r="P182" s="259"/>
      <c r="Q182" s="260"/>
    </row>
    <row r="183">
      <c r="P183" s="259"/>
      <c r="Q183" s="260"/>
    </row>
    <row r="184">
      <c r="P184" s="259"/>
      <c r="Q184" s="260"/>
    </row>
    <row r="185">
      <c r="P185" s="259"/>
      <c r="Q185" s="260"/>
    </row>
    <row r="186">
      <c r="P186" s="259"/>
      <c r="Q186" s="260"/>
    </row>
    <row r="187">
      <c r="P187" s="259"/>
      <c r="Q187" s="260"/>
    </row>
    <row r="188">
      <c r="P188" s="259"/>
      <c r="Q188" s="260"/>
    </row>
    <row r="189">
      <c r="P189" s="259"/>
      <c r="Q189" s="260"/>
    </row>
    <row r="190">
      <c r="P190" s="259"/>
      <c r="Q190" s="260"/>
    </row>
    <row r="191">
      <c r="P191" s="259"/>
      <c r="Q191" s="260"/>
    </row>
    <row r="192">
      <c r="P192" s="259"/>
      <c r="Q192" s="260"/>
    </row>
    <row r="193">
      <c r="P193" s="259"/>
      <c r="Q193" s="260"/>
    </row>
    <row r="194">
      <c r="P194" s="259"/>
      <c r="Q194" s="260"/>
    </row>
    <row r="195">
      <c r="P195" s="259"/>
      <c r="Q195" s="260"/>
    </row>
    <row r="196">
      <c r="P196" s="259"/>
      <c r="Q196" s="260"/>
    </row>
    <row r="197">
      <c r="P197" s="259"/>
      <c r="Q197" s="260"/>
    </row>
    <row r="198">
      <c r="P198" s="259"/>
      <c r="Q198" s="260"/>
    </row>
    <row r="199">
      <c r="P199" s="259"/>
      <c r="Q199" s="260"/>
    </row>
    <row r="200">
      <c r="P200" s="259"/>
      <c r="Q200" s="260"/>
    </row>
    <row r="201">
      <c r="P201" s="259"/>
      <c r="Q201" s="260"/>
    </row>
    <row r="202">
      <c r="P202" s="259"/>
      <c r="Q202" s="260"/>
    </row>
    <row r="203">
      <c r="P203" s="259"/>
      <c r="Q203" s="260"/>
    </row>
    <row r="204">
      <c r="P204" s="259"/>
      <c r="Q204" s="260"/>
    </row>
    <row r="205">
      <c r="P205" s="259"/>
      <c r="Q205" s="260"/>
    </row>
    <row r="206">
      <c r="P206" s="259"/>
      <c r="Q206" s="260"/>
    </row>
    <row r="207">
      <c r="P207" s="259"/>
      <c r="Q207" s="260"/>
    </row>
    <row r="208">
      <c r="P208" s="259"/>
      <c r="Q208" s="260"/>
    </row>
    <row r="209">
      <c r="P209" s="259"/>
      <c r="Q209" s="260"/>
    </row>
    <row r="210">
      <c r="P210" s="259"/>
      <c r="Q210" s="260"/>
    </row>
    <row r="211">
      <c r="P211" s="259"/>
      <c r="Q211" s="260"/>
    </row>
    <row r="212">
      <c r="P212" s="259"/>
      <c r="Q212" s="260"/>
    </row>
    <row r="213">
      <c r="P213" s="259"/>
      <c r="Q213" s="260"/>
    </row>
    <row r="214">
      <c r="P214" s="259"/>
      <c r="Q214" s="260"/>
    </row>
    <row r="215">
      <c r="P215" s="259"/>
      <c r="Q215" s="260"/>
    </row>
    <row r="216">
      <c r="P216" s="259"/>
      <c r="Q216" s="260"/>
    </row>
    <row r="217">
      <c r="P217" s="259"/>
      <c r="Q217" s="260"/>
    </row>
    <row r="218">
      <c r="P218" s="259"/>
      <c r="Q218" s="260"/>
    </row>
    <row r="219">
      <c r="P219" s="259"/>
      <c r="Q219" s="260"/>
    </row>
    <row r="220">
      <c r="P220" s="259"/>
      <c r="Q220" s="260"/>
    </row>
    <row r="221">
      <c r="P221" s="259"/>
      <c r="Q221" s="260"/>
    </row>
    <row r="222">
      <c r="P222" s="259"/>
      <c r="Q222" s="260"/>
    </row>
    <row r="223">
      <c r="P223" s="259"/>
      <c r="Q223" s="260"/>
    </row>
    <row r="224">
      <c r="P224" s="259"/>
      <c r="Q224" s="260"/>
    </row>
    <row r="225">
      <c r="P225" s="259"/>
      <c r="Q225" s="260"/>
    </row>
    <row r="226">
      <c r="P226" s="259"/>
      <c r="Q226" s="260"/>
    </row>
    <row r="227">
      <c r="P227" s="259"/>
      <c r="Q227" s="260"/>
    </row>
    <row r="228">
      <c r="P228" s="259"/>
      <c r="Q228" s="260"/>
    </row>
    <row r="229">
      <c r="P229" s="259"/>
      <c r="Q229" s="260"/>
    </row>
    <row r="230">
      <c r="P230" s="259"/>
      <c r="Q230" s="260"/>
    </row>
    <row r="231">
      <c r="P231" s="259"/>
      <c r="Q231" s="260"/>
    </row>
    <row r="232">
      <c r="P232" s="259"/>
      <c r="Q232" s="260"/>
    </row>
    <row r="233">
      <c r="P233" s="259"/>
      <c r="Q233" s="260"/>
    </row>
    <row r="234">
      <c r="P234" s="259"/>
      <c r="Q234" s="260"/>
    </row>
    <row r="235">
      <c r="P235" s="259"/>
      <c r="Q235" s="260"/>
    </row>
    <row r="236">
      <c r="P236" s="259"/>
      <c r="Q236" s="260"/>
    </row>
    <row r="237">
      <c r="P237" s="259"/>
      <c r="Q237" s="260"/>
    </row>
    <row r="238">
      <c r="P238" s="259"/>
      <c r="Q238" s="260"/>
    </row>
    <row r="239">
      <c r="P239" s="259"/>
      <c r="Q239" s="260"/>
    </row>
    <row r="240">
      <c r="P240" s="259"/>
      <c r="Q240" s="260"/>
    </row>
    <row r="241">
      <c r="P241" s="259"/>
      <c r="Q241" s="260"/>
    </row>
    <row r="242">
      <c r="P242" s="259"/>
      <c r="Q242" s="260"/>
    </row>
    <row r="243">
      <c r="P243" s="259"/>
      <c r="Q243" s="260"/>
    </row>
    <row r="244">
      <c r="P244" s="259"/>
      <c r="Q244" s="260"/>
    </row>
    <row r="245">
      <c r="P245" s="259"/>
      <c r="Q245" s="260"/>
    </row>
    <row r="246">
      <c r="P246" s="259"/>
      <c r="Q246" s="260"/>
    </row>
    <row r="247">
      <c r="P247" s="259"/>
      <c r="Q247" s="260"/>
    </row>
    <row r="248">
      <c r="P248" s="259"/>
      <c r="Q248" s="260"/>
    </row>
    <row r="249">
      <c r="P249" s="259"/>
      <c r="Q249" s="260"/>
    </row>
    <row r="250">
      <c r="P250" s="259"/>
      <c r="Q250" s="260"/>
    </row>
    <row r="251">
      <c r="P251" s="259"/>
      <c r="Q251" s="260"/>
    </row>
    <row r="252">
      <c r="P252" s="259"/>
      <c r="Q252" s="260"/>
    </row>
    <row r="253">
      <c r="P253" s="259"/>
      <c r="Q253" s="260"/>
    </row>
    <row r="254">
      <c r="P254" s="259"/>
      <c r="Q254" s="260"/>
    </row>
    <row r="255">
      <c r="P255" s="259"/>
      <c r="Q255" s="260"/>
    </row>
    <row r="256">
      <c r="P256" s="259"/>
      <c r="Q256" s="260"/>
    </row>
    <row r="257">
      <c r="P257" s="259"/>
      <c r="Q257" s="260"/>
    </row>
    <row r="258">
      <c r="P258" s="259"/>
      <c r="Q258" s="260"/>
    </row>
    <row r="259">
      <c r="P259" s="259"/>
      <c r="Q259" s="260"/>
    </row>
    <row r="260">
      <c r="P260" s="259"/>
      <c r="Q260" s="260"/>
    </row>
    <row r="261">
      <c r="P261" s="259"/>
      <c r="Q261" s="260"/>
    </row>
    <row r="262">
      <c r="P262" s="259"/>
      <c r="Q262" s="260"/>
    </row>
    <row r="263">
      <c r="P263" s="259"/>
      <c r="Q263" s="260"/>
    </row>
    <row r="264">
      <c r="P264" s="259"/>
      <c r="Q264" s="260"/>
    </row>
    <row r="265">
      <c r="P265" s="259"/>
      <c r="Q265" s="260"/>
    </row>
    <row r="266">
      <c r="P266" s="259"/>
      <c r="Q266" s="260"/>
    </row>
    <row r="267">
      <c r="P267" s="259"/>
      <c r="Q267" s="260"/>
    </row>
    <row r="268">
      <c r="P268" s="259"/>
      <c r="Q268" s="260"/>
    </row>
    <row r="269">
      <c r="P269" s="259"/>
      <c r="Q269" s="260"/>
    </row>
    <row r="270">
      <c r="P270" s="259"/>
      <c r="Q270" s="260"/>
    </row>
    <row r="271">
      <c r="P271" s="259"/>
      <c r="Q271" s="260"/>
    </row>
    <row r="272">
      <c r="P272" s="259"/>
      <c r="Q272" s="260"/>
    </row>
    <row r="273">
      <c r="P273" s="259"/>
      <c r="Q273" s="260"/>
    </row>
    <row r="274">
      <c r="P274" s="259"/>
      <c r="Q274" s="260"/>
    </row>
    <row r="275">
      <c r="P275" s="259"/>
      <c r="Q275" s="260"/>
    </row>
    <row r="276">
      <c r="P276" s="259"/>
      <c r="Q276" s="260"/>
    </row>
    <row r="277">
      <c r="P277" s="259"/>
      <c r="Q277" s="260"/>
    </row>
    <row r="278">
      <c r="P278" s="259"/>
      <c r="Q278" s="260"/>
    </row>
    <row r="279">
      <c r="P279" s="259"/>
      <c r="Q279" s="260"/>
    </row>
    <row r="280">
      <c r="P280" s="259"/>
      <c r="Q280" s="260"/>
    </row>
    <row r="281">
      <c r="P281" s="259"/>
      <c r="Q281" s="260"/>
    </row>
    <row r="282">
      <c r="P282" s="259"/>
      <c r="Q282" s="260"/>
    </row>
    <row r="283">
      <c r="P283" s="259"/>
      <c r="Q283" s="260"/>
    </row>
    <row r="284">
      <c r="P284" s="259"/>
      <c r="Q284" s="260"/>
    </row>
    <row r="285">
      <c r="P285" s="259"/>
      <c r="Q285" s="260"/>
    </row>
    <row r="286">
      <c r="P286" s="259"/>
      <c r="Q286" s="260"/>
    </row>
    <row r="287">
      <c r="P287" s="259"/>
      <c r="Q287" s="260"/>
    </row>
    <row r="288">
      <c r="P288" s="259"/>
      <c r="Q288" s="260"/>
    </row>
    <row r="289">
      <c r="P289" s="259"/>
      <c r="Q289" s="260"/>
    </row>
    <row r="290">
      <c r="P290" s="259"/>
      <c r="Q290" s="260"/>
    </row>
    <row r="291">
      <c r="P291" s="259"/>
      <c r="Q291" s="260"/>
    </row>
    <row r="292">
      <c r="P292" s="259"/>
      <c r="Q292" s="260"/>
    </row>
    <row r="293">
      <c r="P293" s="259"/>
      <c r="Q293" s="260"/>
    </row>
    <row r="294">
      <c r="P294" s="259"/>
      <c r="Q294" s="260"/>
    </row>
    <row r="295">
      <c r="P295" s="259"/>
      <c r="Q295" s="260"/>
    </row>
    <row r="296">
      <c r="P296" s="259"/>
      <c r="Q296" s="260"/>
    </row>
    <row r="297">
      <c r="P297" s="259"/>
      <c r="Q297" s="260"/>
    </row>
    <row r="298">
      <c r="P298" s="259"/>
      <c r="Q298" s="260"/>
    </row>
    <row r="299">
      <c r="P299" s="259"/>
      <c r="Q299" s="260"/>
    </row>
    <row r="300">
      <c r="P300" s="259"/>
      <c r="Q300" s="260"/>
    </row>
    <row r="301">
      <c r="P301" s="259"/>
      <c r="Q301" s="260"/>
    </row>
    <row r="302">
      <c r="P302" s="259"/>
      <c r="Q302" s="260"/>
    </row>
    <row r="303">
      <c r="P303" s="259"/>
      <c r="Q303" s="260"/>
    </row>
    <row r="304">
      <c r="P304" s="259"/>
      <c r="Q304" s="260"/>
    </row>
    <row r="305">
      <c r="P305" s="259"/>
      <c r="Q305" s="260"/>
    </row>
    <row r="306">
      <c r="P306" s="259"/>
      <c r="Q306" s="260"/>
    </row>
    <row r="307">
      <c r="P307" s="259"/>
      <c r="Q307" s="260"/>
    </row>
    <row r="308">
      <c r="P308" s="259"/>
      <c r="Q308" s="260"/>
    </row>
    <row r="309">
      <c r="P309" s="259"/>
      <c r="Q309" s="260"/>
    </row>
    <row r="310">
      <c r="P310" s="259"/>
      <c r="Q310" s="260"/>
    </row>
    <row r="311">
      <c r="P311" s="259"/>
      <c r="Q311" s="260"/>
    </row>
    <row r="312">
      <c r="P312" s="259"/>
      <c r="Q312" s="260"/>
    </row>
    <row r="313">
      <c r="P313" s="259"/>
      <c r="Q313" s="260"/>
    </row>
    <row r="314">
      <c r="P314" s="259"/>
      <c r="Q314" s="260"/>
    </row>
    <row r="315">
      <c r="P315" s="259"/>
      <c r="Q315" s="260"/>
    </row>
    <row r="316">
      <c r="P316" s="259"/>
      <c r="Q316" s="260"/>
    </row>
    <row r="317">
      <c r="P317" s="259"/>
      <c r="Q317" s="260"/>
    </row>
    <row r="318">
      <c r="P318" s="259"/>
      <c r="Q318" s="260"/>
    </row>
    <row r="319">
      <c r="P319" s="259"/>
      <c r="Q319" s="260"/>
    </row>
    <row r="320">
      <c r="P320" s="259"/>
      <c r="Q320" s="260"/>
    </row>
    <row r="321">
      <c r="P321" s="259"/>
      <c r="Q321" s="260"/>
    </row>
    <row r="322">
      <c r="P322" s="259"/>
      <c r="Q322" s="260"/>
    </row>
    <row r="323">
      <c r="P323" s="259"/>
      <c r="Q323" s="260"/>
    </row>
    <row r="324">
      <c r="P324" s="259"/>
      <c r="Q324" s="260"/>
    </row>
    <row r="325">
      <c r="P325" s="259"/>
      <c r="Q325" s="260"/>
    </row>
    <row r="326">
      <c r="P326" s="259"/>
      <c r="Q326" s="260"/>
    </row>
    <row r="327">
      <c r="P327" s="259"/>
      <c r="Q327" s="260"/>
    </row>
    <row r="328">
      <c r="P328" s="259"/>
      <c r="Q328" s="260"/>
    </row>
    <row r="329">
      <c r="P329" s="259"/>
      <c r="Q329" s="260"/>
    </row>
    <row r="330">
      <c r="P330" s="259"/>
      <c r="Q330" s="260"/>
    </row>
    <row r="331">
      <c r="P331" s="259"/>
      <c r="Q331" s="260"/>
    </row>
    <row r="332">
      <c r="P332" s="259"/>
      <c r="Q332" s="260"/>
    </row>
    <row r="333">
      <c r="P333" s="259"/>
      <c r="Q333" s="260"/>
    </row>
    <row r="334">
      <c r="P334" s="259"/>
      <c r="Q334" s="260"/>
    </row>
    <row r="335">
      <c r="P335" s="259"/>
      <c r="Q335" s="260"/>
    </row>
    <row r="336">
      <c r="P336" s="259"/>
      <c r="Q336" s="260"/>
    </row>
    <row r="337">
      <c r="P337" s="259"/>
      <c r="Q337" s="260"/>
    </row>
    <row r="338">
      <c r="P338" s="259"/>
      <c r="Q338" s="260"/>
    </row>
    <row r="339">
      <c r="P339" s="259"/>
      <c r="Q339" s="260"/>
    </row>
    <row r="340">
      <c r="P340" s="259"/>
      <c r="Q340" s="260"/>
    </row>
    <row r="341">
      <c r="P341" s="259"/>
      <c r="Q341" s="260"/>
    </row>
    <row r="342">
      <c r="P342" s="259"/>
      <c r="Q342" s="260"/>
    </row>
    <row r="343">
      <c r="P343" s="259"/>
      <c r="Q343" s="260"/>
    </row>
    <row r="344">
      <c r="P344" s="259"/>
      <c r="Q344" s="260"/>
    </row>
    <row r="345">
      <c r="P345" s="259"/>
      <c r="Q345" s="260"/>
    </row>
    <row r="346">
      <c r="P346" s="259"/>
      <c r="Q346" s="260"/>
    </row>
    <row r="347">
      <c r="P347" s="259"/>
      <c r="Q347" s="260"/>
    </row>
    <row r="348">
      <c r="P348" s="259"/>
      <c r="Q348" s="260"/>
    </row>
    <row r="349">
      <c r="P349" s="259"/>
      <c r="Q349" s="260"/>
    </row>
    <row r="350">
      <c r="P350" s="259"/>
      <c r="Q350" s="260"/>
    </row>
    <row r="351">
      <c r="P351" s="259"/>
      <c r="Q351" s="260"/>
    </row>
    <row r="352">
      <c r="P352" s="259"/>
      <c r="Q352" s="260"/>
    </row>
    <row r="353">
      <c r="P353" s="259"/>
      <c r="Q353" s="260"/>
    </row>
    <row r="354">
      <c r="P354" s="259"/>
      <c r="Q354" s="260"/>
    </row>
    <row r="355">
      <c r="P355" s="259"/>
      <c r="Q355" s="260"/>
    </row>
    <row r="356">
      <c r="P356" s="259"/>
      <c r="Q356" s="260"/>
    </row>
    <row r="357">
      <c r="P357" s="259"/>
      <c r="Q357" s="260"/>
    </row>
    <row r="358">
      <c r="P358" s="259"/>
      <c r="Q358" s="260"/>
    </row>
    <row r="359">
      <c r="P359" s="259"/>
      <c r="Q359" s="260"/>
    </row>
    <row r="360">
      <c r="P360" s="259"/>
      <c r="Q360" s="260"/>
    </row>
    <row r="361">
      <c r="P361" s="259"/>
      <c r="Q361" s="260"/>
    </row>
    <row r="362">
      <c r="P362" s="259"/>
      <c r="Q362" s="260"/>
    </row>
    <row r="363">
      <c r="P363" s="259"/>
      <c r="Q363" s="260"/>
    </row>
    <row r="364">
      <c r="P364" s="259"/>
      <c r="Q364" s="260"/>
    </row>
    <row r="365">
      <c r="P365" s="259"/>
      <c r="Q365" s="260"/>
    </row>
    <row r="366">
      <c r="P366" s="259"/>
      <c r="Q366" s="260"/>
    </row>
    <row r="367">
      <c r="P367" s="259"/>
      <c r="Q367" s="260"/>
    </row>
    <row r="368">
      <c r="P368" s="259"/>
      <c r="Q368" s="260"/>
    </row>
    <row r="369">
      <c r="P369" s="259"/>
      <c r="Q369" s="260"/>
    </row>
    <row r="370">
      <c r="P370" s="259"/>
      <c r="Q370" s="260"/>
    </row>
    <row r="371">
      <c r="P371" s="259"/>
      <c r="Q371" s="260"/>
    </row>
    <row r="372">
      <c r="P372" s="259"/>
      <c r="Q372" s="260"/>
    </row>
    <row r="373">
      <c r="P373" s="259"/>
      <c r="Q373" s="260"/>
    </row>
    <row r="374">
      <c r="P374" s="259"/>
      <c r="Q374" s="260"/>
    </row>
    <row r="375">
      <c r="P375" s="259"/>
      <c r="Q375" s="260"/>
    </row>
    <row r="376">
      <c r="P376" s="259"/>
      <c r="Q376" s="260"/>
    </row>
    <row r="377">
      <c r="P377" s="259"/>
      <c r="Q377" s="260"/>
    </row>
    <row r="378">
      <c r="P378" s="259"/>
      <c r="Q378" s="260"/>
    </row>
    <row r="379">
      <c r="P379" s="259"/>
      <c r="Q379" s="260"/>
    </row>
    <row r="380">
      <c r="P380" s="259"/>
      <c r="Q380" s="260"/>
    </row>
    <row r="381">
      <c r="P381" s="259"/>
      <c r="Q381" s="260"/>
    </row>
    <row r="382">
      <c r="P382" s="259"/>
      <c r="Q382" s="260"/>
    </row>
    <row r="383">
      <c r="P383" s="259"/>
      <c r="Q383" s="260"/>
    </row>
    <row r="384">
      <c r="P384" s="259"/>
      <c r="Q384" s="260"/>
    </row>
    <row r="385">
      <c r="P385" s="259"/>
      <c r="Q385" s="260"/>
    </row>
    <row r="386">
      <c r="P386" s="259"/>
      <c r="Q386" s="260"/>
    </row>
    <row r="387">
      <c r="P387" s="259"/>
      <c r="Q387" s="260"/>
    </row>
    <row r="388">
      <c r="P388" s="259"/>
      <c r="Q388" s="260"/>
    </row>
    <row r="389">
      <c r="P389" s="259"/>
      <c r="Q389" s="260"/>
    </row>
    <row r="390">
      <c r="P390" s="259"/>
      <c r="Q390" s="260"/>
    </row>
    <row r="391">
      <c r="P391" s="259"/>
      <c r="Q391" s="260"/>
    </row>
    <row r="392">
      <c r="P392" s="259"/>
      <c r="Q392" s="260"/>
    </row>
    <row r="393">
      <c r="P393" s="259"/>
      <c r="Q393" s="260"/>
    </row>
    <row r="394">
      <c r="P394" s="259"/>
      <c r="Q394" s="260"/>
    </row>
    <row r="395">
      <c r="P395" s="259"/>
      <c r="Q395" s="260"/>
    </row>
    <row r="396">
      <c r="P396" s="259"/>
      <c r="Q396" s="260"/>
    </row>
    <row r="397">
      <c r="P397" s="259"/>
      <c r="Q397" s="260"/>
    </row>
    <row r="398">
      <c r="P398" s="259"/>
      <c r="Q398" s="260"/>
    </row>
    <row r="399">
      <c r="P399" s="259"/>
      <c r="Q399" s="260"/>
    </row>
    <row r="400">
      <c r="P400" s="259"/>
      <c r="Q400" s="260"/>
    </row>
    <row r="401">
      <c r="P401" s="259"/>
      <c r="Q401" s="260"/>
    </row>
    <row r="402">
      <c r="P402" s="259"/>
      <c r="Q402" s="260"/>
    </row>
    <row r="403">
      <c r="P403" s="259"/>
      <c r="Q403" s="260"/>
    </row>
    <row r="404">
      <c r="P404" s="259"/>
      <c r="Q404" s="260"/>
    </row>
    <row r="405">
      <c r="P405" s="259"/>
      <c r="Q405" s="260"/>
    </row>
    <row r="406">
      <c r="P406" s="259"/>
      <c r="Q406" s="260"/>
    </row>
    <row r="407">
      <c r="P407" s="259"/>
      <c r="Q407" s="260"/>
    </row>
    <row r="408">
      <c r="P408" s="259"/>
      <c r="Q408" s="260"/>
    </row>
    <row r="409">
      <c r="P409" s="259"/>
      <c r="Q409" s="260"/>
    </row>
    <row r="410">
      <c r="P410" s="259"/>
      <c r="Q410" s="260"/>
    </row>
    <row r="411">
      <c r="P411" s="259"/>
      <c r="Q411" s="260"/>
    </row>
    <row r="412">
      <c r="P412" s="259"/>
      <c r="Q412" s="260"/>
    </row>
    <row r="413">
      <c r="P413" s="259"/>
      <c r="Q413" s="260"/>
    </row>
    <row r="414">
      <c r="P414" s="259"/>
      <c r="Q414" s="260"/>
    </row>
    <row r="415">
      <c r="P415" s="259"/>
      <c r="Q415" s="260"/>
    </row>
    <row r="416">
      <c r="P416" s="259"/>
      <c r="Q416" s="260"/>
    </row>
    <row r="417">
      <c r="P417" s="259"/>
      <c r="Q417" s="260"/>
    </row>
    <row r="418">
      <c r="P418" s="259"/>
      <c r="Q418" s="260"/>
    </row>
    <row r="419">
      <c r="P419" s="259"/>
      <c r="Q419" s="260"/>
    </row>
    <row r="420">
      <c r="P420" s="259"/>
      <c r="Q420" s="260"/>
    </row>
    <row r="421">
      <c r="P421" s="259"/>
      <c r="Q421" s="260"/>
    </row>
    <row r="422">
      <c r="P422" s="259"/>
      <c r="Q422" s="260"/>
    </row>
    <row r="423">
      <c r="P423" s="259"/>
      <c r="Q423" s="260"/>
    </row>
    <row r="424">
      <c r="P424" s="259"/>
      <c r="Q424" s="260"/>
    </row>
    <row r="425">
      <c r="P425" s="259"/>
      <c r="Q425" s="260"/>
    </row>
    <row r="426">
      <c r="P426" s="259"/>
      <c r="Q426" s="260"/>
    </row>
    <row r="427">
      <c r="P427" s="259"/>
      <c r="Q427" s="260"/>
    </row>
    <row r="428">
      <c r="P428" s="259"/>
      <c r="Q428" s="260"/>
    </row>
    <row r="429">
      <c r="P429" s="259"/>
      <c r="Q429" s="260"/>
    </row>
    <row r="430">
      <c r="P430" s="259"/>
      <c r="Q430" s="260"/>
    </row>
    <row r="431">
      <c r="P431" s="259"/>
      <c r="Q431" s="260"/>
    </row>
    <row r="432">
      <c r="P432" s="259"/>
      <c r="Q432" s="260"/>
    </row>
    <row r="433">
      <c r="P433" s="259"/>
      <c r="Q433" s="260"/>
    </row>
    <row r="434">
      <c r="P434" s="259"/>
      <c r="Q434" s="260"/>
    </row>
    <row r="435">
      <c r="P435" s="259"/>
      <c r="Q435" s="260"/>
    </row>
    <row r="436">
      <c r="P436" s="259"/>
      <c r="Q436" s="260"/>
    </row>
    <row r="437">
      <c r="P437" s="259"/>
      <c r="Q437" s="260"/>
    </row>
    <row r="438">
      <c r="P438" s="259"/>
      <c r="Q438" s="260"/>
    </row>
    <row r="439">
      <c r="P439" s="259"/>
      <c r="Q439" s="260"/>
    </row>
    <row r="440">
      <c r="P440" s="259"/>
      <c r="Q440" s="260"/>
    </row>
    <row r="441">
      <c r="P441" s="259"/>
      <c r="Q441" s="260"/>
    </row>
    <row r="442">
      <c r="P442" s="259"/>
      <c r="Q442" s="260"/>
    </row>
    <row r="443">
      <c r="P443" s="259"/>
      <c r="Q443" s="260"/>
    </row>
    <row r="444">
      <c r="P444" s="259"/>
      <c r="Q444" s="260"/>
    </row>
    <row r="445">
      <c r="P445" s="259"/>
      <c r="Q445" s="260"/>
    </row>
    <row r="446">
      <c r="P446" s="259"/>
      <c r="Q446" s="260"/>
    </row>
    <row r="447">
      <c r="P447" s="259"/>
      <c r="Q447" s="260"/>
    </row>
    <row r="448">
      <c r="P448" s="259"/>
      <c r="Q448" s="260"/>
    </row>
    <row r="449">
      <c r="P449" s="259"/>
      <c r="Q449" s="260"/>
    </row>
    <row r="450">
      <c r="P450" s="259"/>
      <c r="Q450" s="260"/>
    </row>
    <row r="451">
      <c r="P451" s="259"/>
      <c r="Q451" s="260"/>
    </row>
    <row r="452">
      <c r="P452" s="259"/>
      <c r="Q452" s="260"/>
    </row>
    <row r="453">
      <c r="P453" s="259"/>
      <c r="Q453" s="260"/>
    </row>
    <row r="454">
      <c r="P454" s="259"/>
      <c r="Q454" s="260"/>
    </row>
    <row r="455">
      <c r="P455" s="259"/>
      <c r="Q455" s="260"/>
    </row>
    <row r="456">
      <c r="P456" s="259"/>
      <c r="Q456" s="260"/>
    </row>
    <row r="457">
      <c r="P457" s="259"/>
      <c r="Q457" s="260"/>
    </row>
    <row r="458">
      <c r="P458" s="259"/>
      <c r="Q458" s="260"/>
    </row>
    <row r="459">
      <c r="P459" s="259"/>
      <c r="Q459" s="260"/>
    </row>
    <row r="460">
      <c r="P460" s="259"/>
      <c r="Q460" s="260"/>
    </row>
    <row r="461">
      <c r="P461" s="259"/>
      <c r="Q461" s="260"/>
    </row>
    <row r="462">
      <c r="P462" s="259"/>
      <c r="Q462" s="260"/>
    </row>
    <row r="463">
      <c r="P463" s="259"/>
      <c r="Q463" s="260"/>
    </row>
    <row r="464">
      <c r="P464" s="259"/>
      <c r="Q464" s="260"/>
    </row>
    <row r="465">
      <c r="P465" s="259"/>
      <c r="Q465" s="260"/>
    </row>
    <row r="466">
      <c r="P466" s="259"/>
      <c r="Q466" s="260"/>
    </row>
    <row r="467">
      <c r="P467" s="259"/>
      <c r="Q467" s="260"/>
    </row>
    <row r="468">
      <c r="P468" s="259"/>
      <c r="Q468" s="260"/>
    </row>
    <row r="469">
      <c r="P469" s="259"/>
      <c r="Q469" s="260"/>
    </row>
    <row r="470">
      <c r="P470" s="259"/>
      <c r="Q470" s="260"/>
    </row>
    <row r="471">
      <c r="P471" s="259"/>
      <c r="Q471" s="260"/>
    </row>
    <row r="472">
      <c r="P472" s="259"/>
      <c r="Q472" s="260"/>
    </row>
    <row r="473">
      <c r="P473" s="259"/>
      <c r="Q473" s="260"/>
    </row>
    <row r="474">
      <c r="P474" s="259"/>
      <c r="Q474" s="260"/>
    </row>
    <row r="475">
      <c r="P475" s="259"/>
      <c r="Q475" s="260"/>
    </row>
    <row r="476">
      <c r="P476" s="259"/>
      <c r="Q476" s="260"/>
    </row>
    <row r="477">
      <c r="P477" s="259"/>
      <c r="Q477" s="260"/>
    </row>
    <row r="478">
      <c r="P478" s="259"/>
      <c r="Q478" s="260"/>
    </row>
    <row r="479">
      <c r="P479" s="259"/>
      <c r="Q479" s="260"/>
    </row>
    <row r="480">
      <c r="P480" s="259"/>
      <c r="Q480" s="260"/>
    </row>
    <row r="481">
      <c r="P481" s="259"/>
      <c r="Q481" s="260"/>
    </row>
    <row r="482">
      <c r="P482" s="259"/>
      <c r="Q482" s="260"/>
    </row>
    <row r="483">
      <c r="P483" s="259"/>
      <c r="Q483" s="260"/>
    </row>
    <row r="484">
      <c r="P484" s="259"/>
      <c r="Q484" s="260"/>
    </row>
    <row r="485">
      <c r="P485" s="259"/>
      <c r="Q485" s="260"/>
    </row>
    <row r="486">
      <c r="P486" s="259"/>
      <c r="Q486" s="260"/>
    </row>
    <row r="487">
      <c r="P487" s="259"/>
      <c r="Q487" s="260"/>
    </row>
    <row r="488">
      <c r="P488" s="259"/>
      <c r="Q488" s="260"/>
    </row>
    <row r="489">
      <c r="P489" s="259"/>
      <c r="Q489" s="260"/>
    </row>
    <row r="490">
      <c r="P490" s="259"/>
      <c r="Q490" s="260"/>
    </row>
    <row r="491">
      <c r="P491" s="259"/>
      <c r="Q491" s="260"/>
    </row>
    <row r="492">
      <c r="P492" s="259"/>
      <c r="Q492" s="260"/>
    </row>
    <row r="493">
      <c r="P493" s="259"/>
      <c r="Q493" s="260"/>
    </row>
    <row r="494">
      <c r="P494" s="259"/>
      <c r="Q494" s="260"/>
    </row>
    <row r="495">
      <c r="P495" s="259"/>
      <c r="Q495" s="260"/>
    </row>
    <row r="496">
      <c r="P496" s="259"/>
      <c r="Q496" s="260"/>
    </row>
    <row r="497">
      <c r="P497" s="259"/>
      <c r="Q497" s="260"/>
    </row>
    <row r="498">
      <c r="P498" s="259"/>
      <c r="Q498" s="260"/>
    </row>
    <row r="499">
      <c r="P499" s="259"/>
      <c r="Q499" s="260"/>
    </row>
    <row r="500">
      <c r="P500" s="259"/>
      <c r="Q500" s="260"/>
    </row>
    <row r="501">
      <c r="P501" s="259"/>
      <c r="Q501" s="260"/>
    </row>
    <row r="502">
      <c r="P502" s="259"/>
      <c r="Q502" s="260"/>
    </row>
    <row r="503">
      <c r="P503" s="259"/>
      <c r="Q503" s="260"/>
    </row>
    <row r="504">
      <c r="P504" s="259"/>
      <c r="Q504" s="260"/>
    </row>
    <row r="505">
      <c r="P505" s="259"/>
      <c r="Q505" s="260"/>
    </row>
    <row r="506">
      <c r="P506" s="259"/>
      <c r="Q506" s="260"/>
    </row>
    <row r="507">
      <c r="P507" s="259"/>
      <c r="Q507" s="260"/>
    </row>
    <row r="508">
      <c r="P508" s="259"/>
      <c r="Q508" s="260"/>
    </row>
    <row r="509">
      <c r="P509" s="259"/>
      <c r="Q509" s="260"/>
    </row>
    <row r="510">
      <c r="P510" s="259"/>
      <c r="Q510" s="260"/>
    </row>
    <row r="511">
      <c r="P511" s="259"/>
      <c r="Q511" s="260"/>
    </row>
    <row r="512">
      <c r="P512" s="259"/>
      <c r="Q512" s="260"/>
    </row>
    <row r="513">
      <c r="P513" s="259"/>
      <c r="Q513" s="260"/>
    </row>
    <row r="514">
      <c r="P514" s="259"/>
      <c r="Q514" s="260"/>
    </row>
    <row r="515">
      <c r="P515" s="259"/>
      <c r="Q515" s="260"/>
    </row>
    <row r="516">
      <c r="P516" s="259"/>
      <c r="Q516" s="260"/>
    </row>
    <row r="517">
      <c r="P517" s="259"/>
      <c r="Q517" s="260"/>
    </row>
    <row r="518">
      <c r="P518" s="259"/>
      <c r="Q518" s="260"/>
    </row>
    <row r="519">
      <c r="P519" s="259"/>
      <c r="Q519" s="260"/>
    </row>
    <row r="520">
      <c r="P520" s="259"/>
      <c r="Q520" s="260"/>
    </row>
    <row r="521">
      <c r="P521" s="259"/>
      <c r="Q521" s="260"/>
    </row>
    <row r="522">
      <c r="P522" s="259"/>
      <c r="Q522" s="260"/>
    </row>
    <row r="523">
      <c r="P523" s="259"/>
      <c r="Q523" s="260"/>
    </row>
    <row r="524">
      <c r="P524" s="259"/>
      <c r="Q524" s="260"/>
    </row>
    <row r="525">
      <c r="P525" s="259"/>
      <c r="Q525" s="260"/>
    </row>
    <row r="526">
      <c r="P526" s="259"/>
      <c r="Q526" s="260"/>
    </row>
    <row r="527">
      <c r="P527" s="259"/>
      <c r="Q527" s="260"/>
    </row>
    <row r="528">
      <c r="P528" s="259"/>
      <c r="Q528" s="260"/>
    </row>
    <row r="529">
      <c r="P529" s="259"/>
      <c r="Q529" s="260"/>
    </row>
    <row r="530">
      <c r="P530" s="259"/>
      <c r="Q530" s="260"/>
    </row>
    <row r="531">
      <c r="P531" s="259"/>
      <c r="Q531" s="260"/>
    </row>
    <row r="532">
      <c r="P532" s="259"/>
      <c r="Q532" s="260"/>
    </row>
    <row r="533">
      <c r="P533" s="259"/>
      <c r="Q533" s="260"/>
    </row>
    <row r="534">
      <c r="P534" s="259"/>
      <c r="Q534" s="260"/>
    </row>
    <row r="535">
      <c r="P535" s="259"/>
      <c r="Q535" s="260"/>
    </row>
    <row r="536">
      <c r="P536" s="259"/>
      <c r="Q536" s="260"/>
    </row>
    <row r="537">
      <c r="P537" s="259"/>
      <c r="Q537" s="260"/>
    </row>
    <row r="538">
      <c r="P538" s="259"/>
      <c r="Q538" s="260"/>
    </row>
    <row r="539">
      <c r="P539" s="259"/>
      <c r="Q539" s="260"/>
    </row>
    <row r="540">
      <c r="P540" s="259"/>
      <c r="Q540" s="260"/>
    </row>
    <row r="541">
      <c r="P541" s="259"/>
      <c r="Q541" s="260"/>
    </row>
    <row r="542">
      <c r="P542" s="259"/>
      <c r="Q542" s="260"/>
    </row>
    <row r="543">
      <c r="P543" s="259"/>
      <c r="Q543" s="260"/>
    </row>
    <row r="544">
      <c r="P544" s="259"/>
      <c r="Q544" s="260"/>
    </row>
    <row r="545">
      <c r="P545" s="259"/>
      <c r="Q545" s="260"/>
    </row>
    <row r="546">
      <c r="P546" s="259"/>
      <c r="Q546" s="260"/>
    </row>
    <row r="547">
      <c r="P547" s="259"/>
      <c r="Q547" s="260"/>
    </row>
    <row r="548">
      <c r="P548" s="259"/>
      <c r="Q548" s="260"/>
    </row>
    <row r="549">
      <c r="P549" s="259"/>
      <c r="Q549" s="260"/>
    </row>
    <row r="550">
      <c r="P550" s="259"/>
      <c r="Q550" s="260"/>
    </row>
    <row r="551">
      <c r="P551" s="259"/>
      <c r="Q551" s="260"/>
    </row>
    <row r="552">
      <c r="P552" s="259"/>
      <c r="Q552" s="260"/>
    </row>
    <row r="553">
      <c r="P553" s="259"/>
      <c r="Q553" s="260"/>
    </row>
    <row r="554">
      <c r="P554" s="259"/>
      <c r="Q554" s="260"/>
    </row>
    <row r="555">
      <c r="P555" s="259"/>
      <c r="Q555" s="260"/>
    </row>
    <row r="556">
      <c r="P556" s="259"/>
      <c r="Q556" s="260"/>
    </row>
    <row r="557">
      <c r="P557" s="259"/>
      <c r="Q557" s="260"/>
    </row>
    <row r="558">
      <c r="P558" s="259"/>
      <c r="Q558" s="260"/>
    </row>
    <row r="559">
      <c r="P559" s="259"/>
      <c r="Q559" s="260"/>
    </row>
    <row r="560">
      <c r="P560" s="259"/>
      <c r="Q560" s="260"/>
    </row>
    <row r="561">
      <c r="P561" s="259"/>
      <c r="Q561" s="260"/>
    </row>
    <row r="562">
      <c r="P562" s="259"/>
      <c r="Q562" s="260"/>
    </row>
    <row r="563">
      <c r="P563" s="259"/>
      <c r="Q563" s="260"/>
    </row>
    <row r="564">
      <c r="P564" s="259"/>
      <c r="Q564" s="260"/>
    </row>
    <row r="565">
      <c r="P565" s="259"/>
      <c r="Q565" s="260"/>
    </row>
    <row r="566">
      <c r="P566" s="259"/>
      <c r="Q566" s="260"/>
    </row>
    <row r="567">
      <c r="P567" s="259"/>
      <c r="Q567" s="260"/>
    </row>
    <row r="568">
      <c r="P568" s="259"/>
      <c r="Q568" s="260"/>
    </row>
    <row r="569">
      <c r="P569" s="259"/>
      <c r="Q569" s="260"/>
    </row>
    <row r="570">
      <c r="P570" s="259"/>
      <c r="Q570" s="260"/>
    </row>
    <row r="571">
      <c r="P571" s="259"/>
      <c r="Q571" s="260"/>
    </row>
    <row r="572">
      <c r="P572" s="259"/>
      <c r="Q572" s="260"/>
    </row>
    <row r="573">
      <c r="P573" s="259"/>
      <c r="Q573" s="260"/>
    </row>
    <row r="574">
      <c r="P574" s="259"/>
      <c r="Q574" s="260"/>
    </row>
    <row r="575">
      <c r="P575" s="259"/>
      <c r="Q575" s="260"/>
    </row>
    <row r="576">
      <c r="P576" s="259"/>
      <c r="Q576" s="260"/>
    </row>
    <row r="577">
      <c r="P577" s="259"/>
      <c r="Q577" s="260"/>
    </row>
    <row r="578">
      <c r="P578" s="259"/>
      <c r="Q578" s="260"/>
    </row>
    <row r="579">
      <c r="P579" s="259"/>
      <c r="Q579" s="260"/>
    </row>
    <row r="580">
      <c r="P580" s="259"/>
      <c r="Q580" s="260"/>
    </row>
    <row r="581">
      <c r="P581" s="259"/>
      <c r="Q581" s="260"/>
    </row>
    <row r="582">
      <c r="P582" s="259"/>
      <c r="Q582" s="260"/>
    </row>
    <row r="583">
      <c r="P583" s="259"/>
      <c r="Q583" s="260"/>
    </row>
    <row r="584">
      <c r="P584" s="259"/>
      <c r="Q584" s="260"/>
    </row>
    <row r="585">
      <c r="P585" s="259"/>
      <c r="Q585" s="260"/>
    </row>
    <row r="586">
      <c r="P586" s="259"/>
      <c r="Q586" s="260"/>
    </row>
    <row r="587">
      <c r="P587" s="259"/>
      <c r="Q587" s="260"/>
    </row>
    <row r="588">
      <c r="P588" s="259"/>
      <c r="Q588" s="260"/>
    </row>
    <row r="589">
      <c r="P589" s="259"/>
      <c r="Q589" s="260"/>
    </row>
    <row r="590">
      <c r="P590" s="259"/>
      <c r="Q590" s="260"/>
    </row>
    <row r="591">
      <c r="P591" s="259"/>
      <c r="Q591" s="260"/>
    </row>
    <row r="592">
      <c r="P592" s="259"/>
      <c r="Q592" s="260"/>
    </row>
    <row r="593">
      <c r="P593" s="259"/>
      <c r="Q593" s="260"/>
    </row>
    <row r="594">
      <c r="P594" s="259"/>
      <c r="Q594" s="260"/>
    </row>
    <row r="595">
      <c r="P595" s="259"/>
      <c r="Q595" s="260"/>
    </row>
    <row r="596">
      <c r="P596" s="259"/>
      <c r="Q596" s="260"/>
    </row>
    <row r="597">
      <c r="P597" s="259"/>
      <c r="Q597" s="260"/>
    </row>
    <row r="598">
      <c r="P598" s="259"/>
      <c r="Q598" s="260"/>
    </row>
    <row r="599">
      <c r="P599" s="259"/>
      <c r="Q599" s="260"/>
    </row>
    <row r="600">
      <c r="P600" s="259"/>
      <c r="Q600" s="260"/>
    </row>
    <row r="601">
      <c r="P601" s="259"/>
      <c r="Q601" s="260"/>
    </row>
    <row r="602">
      <c r="P602" s="259"/>
      <c r="Q602" s="260"/>
    </row>
    <row r="603">
      <c r="P603" s="259"/>
      <c r="Q603" s="260"/>
    </row>
    <row r="604">
      <c r="P604" s="259"/>
      <c r="Q604" s="260"/>
    </row>
    <row r="605">
      <c r="P605" s="259"/>
      <c r="Q605" s="260"/>
    </row>
    <row r="606">
      <c r="P606" s="259"/>
      <c r="Q606" s="260"/>
    </row>
    <row r="607">
      <c r="P607" s="259"/>
      <c r="Q607" s="260"/>
    </row>
    <row r="608">
      <c r="P608" s="259"/>
      <c r="Q608" s="260"/>
    </row>
    <row r="609">
      <c r="P609" s="259"/>
      <c r="Q609" s="260"/>
    </row>
    <row r="610">
      <c r="P610" s="259"/>
      <c r="Q610" s="260"/>
    </row>
    <row r="611">
      <c r="P611" s="259"/>
      <c r="Q611" s="260"/>
    </row>
    <row r="612">
      <c r="P612" s="259"/>
      <c r="Q612" s="260"/>
    </row>
    <row r="613">
      <c r="P613" s="259"/>
      <c r="Q613" s="260"/>
    </row>
    <row r="614">
      <c r="P614" s="259"/>
      <c r="Q614" s="260"/>
    </row>
    <row r="615">
      <c r="P615" s="259"/>
      <c r="Q615" s="260"/>
    </row>
    <row r="616">
      <c r="P616" s="259"/>
      <c r="Q616" s="260"/>
    </row>
    <row r="617">
      <c r="P617" s="259"/>
      <c r="Q617" s="260"/>
    </row>
    <row r="618">
      <c r="P618" s="259"/>
      <c r="Q618" s="260"/>
    </row>
    <row r="619">
      <c r="P619" s="259"/>
      <c r="Q619" s="260"/>
    </row>
    <row r="620">
      <c r="P620" s="259"/>
      <c r="Q620" s="260"/>
    </row>
    <row r="621">
      <c r="P621" s="259"/>
      <c r="Q621" s="260"/>
    </row>
    <row r="622">
      <c r="P622" s="259"/>
      <c r="Q622" s="260"/>
    </row>
    <row r="623">
      <c r="P623" s="259"/>
      <c r="Q623" s="260"/>
    </row>
    <row r="624">
      <c r="P624" s="259"/>
      <c r="Q624" s="260"/>
    </row>
    <row r="625">
      <c r="P625" s="259"/>
      <c r="Q625" s="260"/>
    </row>
    <row r="626">
      <c r="P626" s="259"/>
      <c r="Q626" s="260"/>
    </row>
    <row r="627">
      <c r="P627" s="259"/>
      <c r="Q627" s="260"/>
    </row>
    <row r="628">
      <c r="P628" s="259"/>
      <c r="Q628" s="260"/>
    </row>
    <row r="629">
      <c r="P629" s="259"/>
      <c r="Q629" s="260"/>
    </row>
    <row r="630">
      <c r="P630" s="259"/>
      <c r="Q630" s="260"/>
    </row>
    <row r="631">
      <c r="P631" s="259"/>
      <c r="Q631" s="260"/>
    </row>
    <row r="632">
      <c r="P632" s="259"/>
      <c r="Q632" s="260"/>
    </row>
    <row r="633">
      <c r="P633" s="259"/>
      <c r="Q633" s="260"/>
    </row>
    <row r="634">
      <c r="P634" s="259"/>
      <c r="Q634" s="260"/>
    </row>
    <row r="635">
      <c r="P635" s="259"/>
      <c r="Q635" s="260"/>
    </row>
    <row r="636">
      <c r="P636" s="259"/>
      <c r="Q636" s="260"/>
    </row>
    <row r="637">
      <c r="P637" s="259"/>
      <c r="Q637" s="260"/>
    </row>
    <row r="638">
      <c r="P638" s="259"/>
      <c r="Q638" s="260"/>
    </row>
    <row r="639">
      <c r="P639" s="259"/>
      <c r="Q639" s="260"/>
    </row>
    <row r="640">
      <c r="P640" s="259"/>
      <c r="Q640" s="260"/>
    </row>
    <row r="641">
      <c r="P641" s="259"/>
      <c r="Q641" s="260"/>
    </row>
    <row r="642">
      <c r="P642" s="259"/>
      <c r="Q642" s="260"/>
    </row>
    <row r="643">
      <c r="P643" s="259"/>
      <c r="Q643" s="260"/>
    </row>
    <row r="644">
      <c r="P644" s="259"/>
      <c r="Q644" s="260"/>
    </row>
    <row r="645">
      <c r="P645" s="259"/>
      <c r="Q645" s="260"/>
    </row>
    <row r="646">
      <c r="P646" s="259"/>
      <c r="Q646" s="260"/>
    </row>
    <row r="647">
      <c r="P647" s="259"/>
      <c r="Q647" s="260"/>
    </row>
    <row r="648">
      <c r="P648" s="259"/>
      <c r="Q648" s="260"/>
    </row>
    <row r="649">
      <c r="P649" s="259"/>
      <c r="Q649" s="260"/>
    </row>
    <row r="650">
      <c r="P650" s="259"/>
      <c r="Q650" s="260"/>
    </row>
    <row r="651">
      <c r="P651" s="259"/>
      <c r="Q651" s="260"/>
    </row>
    <row r="652">
      <c r="P652" s="259"/>
      <c r="Q652" s="260"/>
    </row>
    <row r="653">
      <c r="P653" s="259"/>
      <c r="Q653" s="260"/>
    </row>
    <row r="654">
      <c r="P654" s="259"/>
      <c r="Q654" s="260"/>
    </row>
    <row r="655">
      <c r="P655" s="259"/>
      <c r="Q655" s="260"/>
    </row>
    <row r="656">
      <c r="P656" s="259"/>
      <c r="Q656" s="260"/>
    </row>
    <row r="657">
      <c r="P657" s="259"/>
      <c r="Q657" s="260"/>
    </row>
    <row r="658">
      <c r="P658" s="259"/>
      <c r="Q658" s="260"/>
    </row>
    <row r="659">
      <c r="P659" s="259"/>
      <c r="Q659" s="260"/>
    </row>
    <row r="660">
      <c r="P660" s="259"/>
      <c r="Q660" s="260"/>
    </row>
    <row r="661">
      <c r="P661" s="259"/>
      <c r="Q661" s="260"/>
    </row>
    <row r="662">
      <c r="P662" s="259"/>
      <c r="Q662" s="260"/>
    </row>
    <row r="663">
      <c r="P663" s="259"/>
      <c r="Q663" s="260"/>
    </row>
    <row r="664">
      <c r="P664" s="259"/>
      <c r="Q664" s="260"/>
    </row>
    <row r="665">
      <c r="P665" s="259"/>
      <c r="Q665" s="260"/>
    </row>
    <row r="666">
      <c r="P666" s="259"/>
      <c r="Q666" s="260"/>
    </row>
    <row r="667">
      <c r="P667" s="259"/>
      <c r="Q667" s="260"/>
    </row>
    <row r="668">
      <c r="P668" s="259"/>
      <c r="Q668" s="260"/>
    </row>
    <row r="669">
      <c r="P669" s="259"/>
      <c r="Q669" s="260"/>
    </row>
    <row r="670">
      <c r="P670" s="259"/>
      <c r="Q670" s="260"/>
    </row>
    <row r="671">
      <c r="P671" s="259"/>
      <c r="Q671" s="260"/>
    </row>
    <row r="672">
      <c r="P672" s="259"/>
      <c r="Q672" s="260"/>
    </row>
    <row r="673">
      <c r="P673" s="259"/>
      <c r="Q673" s="260"/>
    </row>
    <row r="674">
      <c r="P674" s="259"/>
      <c r="Q674" s="260"/>
    </row>
    <row r="675">
      <c r="P675" s="259"/>
      <c r="Q675" s="260"/>
    </row>
    <row r="676">
      <c r="P676" s="259"/>
      <c r="Q676" s="260"/>
    </row>
    <row r="677">
      <c r="P677" s="259"/>
      <c r="Q677" s="260"/>
    </row>
    <row r="678">
      <c r="P678" s="259"/>
      <c r="Q678" s="260"/>
    </row>
    <row r="679">
      <c r="P679" s="259"/>
      <c r="Q679" s="260"/>
    </row>
    <row r="680">
      <c r="P680" s="259"/>
      <c r="Q680" s="260"/>
    </row>
    <row r="681">
      <c r="P681" s="259"/>
      <c r="Q681" s="260"/>
    </row>
    <row r="682">
      <c r="P682" s="259"/>
      <c r="Q682" s="260"/>
    </row>
    <row r="683">
      <c r="P683" s="259"/>
      <c r="Q683" s="260"/>
    </row>
    <row r="684">
      <c r="P684" s="259"/>
      <c r="Q684" s="260"/>
    </row>
    <row r="685">
      <c r="P685" s="259"/>
      <c r="Q685" s="260"/>
    </row>
    <row r="686">
      <c r="P686" s="259"/>
      <c r="Q686" s="260"/>
    </row>
    <row r="687">
      <c r="P687" s="259"/>
      <c r="Q687" s="260"/>
    </row>
    <row r="688">
      <c r="P688" s="259"/>
      <c r="Q688" s="260"/>
    </row>
    <row r="689">
      <c r="P689" s="259"/>
      <c r="Q689" s="260"/>
    </row>
    <row r="690">
      <c r="P690" s="259"/>
      <c r="Q690" s="260"/>
    </row>
    <row r="691">
      <c r="P691" s="259"/>
      <c r="Q691" s="260"/>
    </row>
    <row r="692">
      <c r="P692" s="259"/>
      <c r="Q692" s="260"/>
    </row>
    <row r="693">
      <c r="P693" s="259"/>
      <c r="Q693" s="260"/>
    </row>
    <row r="694">
      <c r="P694" s="259"/>
      <c r="Q694" s="260"/>
    </row>
    <row r="695">
      <c r="P695" s="259"/>
      <c r="Q695" s="260"/>
    </row>
    <row r="696">
      <c r="P696" s="259"/>
      <c r="Q696" s="260"/>
    </row>
    <row r="697">
      <c r="P697" s="259"/>
      <c r="Q697" s="260"/>
    </row>
    <row r="698">
      <c r="P698" s="259"/>
      <c r="Q698" s="260"/>
    </row>
    <row r="699">
      <c r="P699" s="259"/>
      <c r="Q699" s="260"/>
    </row>
    <row r="700">
      <c r="P700" s="259"/>
      <c r="Q700" s="260"/>
    </row>
    <row r="701">
      <c r="P701" s="259"/>
      <c r="Q701" s="260"/>
    </row>
    <row r="702">
      <c r="P702" s="259"/>
      <c r="Q702" s="260"/>
    </row>
    <row r="703">
      <c r="P703" s="259"/>
      <c r="Q703" s="260"/>
    </row>
    <row r="704">
      <c r="P704" s="259"/>
      <c r="Q704" s="260"/>
    </row>
    <row r="705">
      <c r="P705" s="259"/>
      <c r="Q705" s="260"/>
    </row>
    <row r="706">
      <c r="P706" s="259"/>
      <c r="Q706" s="260"/>
    </row>
    <row r="707">
      <c r="P707" s="259"/>
      <c r="Q707" s="260"/>
    </row>
    <row r="708">
      <c r="P708" s="259"/>
      <c r="Q708" s="260"/>
    </row>
    <row r="709">
      <c r="P709" s="259"/>
      <c r="Q709" s="260"/>
    </row>
    <row r="710">
      <c r="P710" s="259"/>
      <c r="Q710" s="260"/>
    </row>
    <row r="711">
      <c r="P711" s="259"/>
      <c r="Q711" s="260"/>
    </row>
    <row r="712">
      <c r="P712" s="259"/>
      <c r="Q712" s="260"/>
    </row>
    <row r="713">
      <c r="P713" s="259"/>
      <c r="Q713" s="260"/>
    </row>
    <row r="714">
      <c r="P714" s="259"/>
      <c r="Q714" s="260"/>
    </row>
    <row r="715">
      <c r="P715" s="259"/>
      <c r="Q715" s="260"/>
    </row>
    <row r="716">
      <c r="P716" s="259"/>
      <c r="Q716" s="260"/>
    </row>
    <row r="717">
      <c r="P717" s="259"/>
      <c r="Q717" s="260"/>
    </row>
    <row r="718">
      <c r="P718" s="259"/>
      <c r="Q718" s="260"/>
    </row>
    <row r="719">
      <c r="P719" s="259"/>
      <c r="Q719" s="260"/>
    </row>
    <row r="720">
      <c r="P720" s="259"/>
      <c r="Q720" s="260"/>
    </row>
    <row r="721">
      <c r="P721" s="259"/>
      <c r="Q721" s="260"/>
    </row>
    <row r="722">
      <c r="P722" s="259"/>
      <c r="Q722" s="260"/>
    </row>
    <row r="723">
      <c r="P723" s="259"/>
      <c r="Q723" s="260"/>
    </row>
    <row r="724">
      <c r="P724" s="259"/>
      <c r="Q724" s="260"/>
    </row>
    <row r="725">
      <c r="P725" s="259"/>
      <c r="Q725" s="260"/>
    </row>
    <row r="726">
      <c r="P726" s="259"/>
      <c r="Q726" s="260"/>
    </row>
    <row r="727">
      <c r="P727" s="259"/>
      <c r="Q727" s="260"/>
    </row>
    <row r="728">
      <c r="P728" s="259"/>
      <c r="Q728" s="260"/>
    </row>
    <row r="729">
      <c r="P729" s="259"/>
      <c r="Q729" s="260"/>
    </row>
    <row r="730">
      <c r="P730" s="259"/>
      <c r="Q730" s="260"/>
    </row>
    <row r="731">
      <c r="P731" s="259"/>
      <c r="Q731" s="260"/>
    </row>
    <row r="732">
      <c r="P732" s="259"/>
      <c r="Q732" s="260"/>
    </row>
    <row r="733">
      <c r="P733" s="259"/>
      <c r="Q733" s="260"/>
    </row>
    <row r="734">
      <c r="P734" s="259"/>
      <c r="Q734" s="260"/>
    </row>
    <row r="735">
      <c r="P735" s="259"/>
      <c r="Q735" s="260"/>
    </row>
    <row r="736">
      <c r="P736" s="259"/>
      <c r="Q736" s="260"/>
    </row>
    <row r="737">
      <c r="P737" s="259"/>
      <c r="Q737" s="260"/>
    </row>
    <row r="738">
      <c r="P738" s="259"/>
      <c r="Q738" s="260"/>
    </row>
    <row r="739">
      <c r="P739" s="259"/>
      <c r="Q739" s="260"/>
    </row>
    <row r="740">
      <c r="P740" s="259"/>
      <c r="Q740" s="260"/>
    </row>
    <row r="741">
      <c r="P741" s="259"/>
      <c r="Q741" s="260"/>
    </row>
    <row r="742">
      <c r="P742" s="259"/>
      <c r="Q742" s="260"/>
    </row>
    <row r="743">
      <c r="P743" s="259"/>
      <c r="Q743" s="260"/>
    </row>
    <row r="744">
      <c r="P744" s="259"/>
      <c r="Q744" s="260"/>
    </row>
    <row r="745">
      <c r="P745" s="259"/>
      <c r="Q745" s="260"/>
    </row>
    <row r="746">
      <c r="P746" s="259"/>
      <c r="Q746" s="260"/>
    </row>
    <row r="747">
      <c r="P747" s="259"/>
      <c r="Q747" s="260"/>
    </row>
    <row r="748">
      <c r="P748" s="259"/>
      <c r="Q748" s="260"/>
    </row>
    <row r="749">
      <c r="P749" s="259"/>
      <c r="Q749" s="260"/>
    </row>
    <row r="750">
      <c r="P750" s="259"/>
      <c r="Q750" s="260"/>
    </row>
    <row r="751">
      <c r="P751" s="259"/>
      <c r="Q751" s="260"/>
    </row>
    <row r="752">
      <c r="P752" s="259"/>
      <c r="Q752" s="260"/>
    </row>
    <row r="753">
      <c r="P753" s="259"/>
      <c r="Q753" s="260"/>
    </row>
    <row r="754">
      <c r="P754" s="259"/>
      <c r="Q754" s="260"/>
    </row>
    <row r="755">
      <c r="P755" s="259"/>
      <c r="Q755" s="260"/>
    </row>
    <row r="756">
      <c r="P756" s="259"/>
      <c r="Q756" s="260"/>
    </row>
    <row r="757">
      <c r="P757" s="259"/>
      <c r="Q757" s="260"/>
    </row>
    <row r="758">
      <c r="P758" s="259"/>
      <c r="Q758" s="260"/>
    </row>
    <row r="759">
      <c r="P759" s="259"/>
      <c r="Q759" s="260"/>
    </row>
    <row r="760">
      <c r="P760" s="259"/>
      <c r="Q760" s="260"/>
    </row>
    <row r="761">
      <c r="P761" s="259"/>
      <c r="Q761" s="260"/>
    </row>
    <row r="762">
      <c r="P762" s="259"/>
      <c r="Q762" s="260"/>
    </row>
    <row r="763">
      <c r="P763" s="259"/>
      <c r="Q763" s="260"/>
    </row>
    <row r="764">
      <c r="P764" s="259"/>
      <c r="Q764" s="260"/>
    </row>
    <row r="765">
      <c r="P765" s="259"/>
      <c r="Q765" s="260"/>
    </row>
    <row r="766">
      <c r="P766" s="259"/>
      <c r="Q766" s="260"/>
    </row>
    <row r="767">
      <c r="P767" s="259"/>
      <c r="Q767" s="260"/>
    </row>
    <row r="768">
      <c r="P768" s="259"/>
      <c r="Q768" s="260"/>
    </row>
    <row r="769">
      <c r="P769" s="259"/>
      <c r="Q769" s="260"/>
    </row>
    <row r="770">
      <c r="P770" s="259"/>
      <c r="Q770" s="260"/>
    </row>
    <row r="771">
      <c r="P771" s="259"/>
      <c r="Q771" s="260"/>
    </row>
    <row r="772">
      <c r="P772" s="259"/>
      <c r="Q772" s="260"/>
    </row>
    <row r="773">
      <c r="P773" s="259"/>
      <c r="Q773" s="260"/>
    </row>
    <row r="774">
      <c r="P774" s="259"/>
      <c r="Q774" s="260"/>
    </row>
    <row r="775">
      <c r="P775" s="259"/>
      <c r="Q775" s="260"/>
    </row>
    <row r="776">
      <c r="P776" s="259"/>
      <c r="Q776" s="260"/>
    </row>
    <row r="777">
      <c r="P777" s="259"/>
      <c r="Q777" s="260"/>
    </row>
    <row r="778">
      <c r="P778" s="259"/>
      <c r="Q778" s="260"/>
    </row>
    <row r="779">
      <c r="P779" s="259"/>
      <c r="Q779" s="260"/>
    </row>
    <row r="780">
      <c r="P780" s="259"/>
      <c r="Q780" s="260"/>
    </row>
    <row r="781">
      <c r="P781" s="259"/>
      <c r="Q781" s="260"/>
    </row>
    <row r="782">
      <c r="P782" s="259"/>
      <c r="Q782" s="260"/>
    </row>
    <row r="783">
      <c r="P783" s="259"/>
      <c r="Q783" s="260"/>
    </row>
    <row r="784">
      <c r="P784" s="259"/>
      <c r="Q784" s="260"/>
    </row>
    <row r="785">
      <c r="P785" s="259"/>
      <c r="Q785" s="260"/>
    </row>
    <row r="786">
      <c r="P786" s="259"/>
      <c r="Q786" s="260"/>
    </row>
    <row r="787">
      <c r="P787" s="259"/>
      <c r="Q787" s="260"/>
    </row>
    <row r="788">
      <c r="P788" s="259"/>
      <c r="Q788" s="260"/>
    </row>
    <row r="789">
      <c r="P789" s="259"/>
      <c r="Q789" s="260"/>
    </row>
    <row r="790">
      <c r="P790" s="259"/>
      <c r="Q790" s="260"/>
    </row>
    <row r="791">
      <c r="P791" s="259"/>
      <c r="Q791" s="260"/>
    </row>
    <row r="792">
      <c r="P792" s="259"/>
      <c r="Q792" s="260"/>
    </row>
    <row r="793">
      <c r="P793" s="259"/>
      <c r="Q793" s="260"/>
    </row>
    <row r="794">
      <c r="P794" s="259"/>
      <c r="Q794" s="260"/>
    </row>
    <row r="795">
      <c r="P795" s="259"/>
      <c r="Q795" s="260"/>
    </row>
    <row r="796">
      <c r="P796" s="259"/>
      <c r="Q796" s="260"/>
    </row>
    <row r="797">
      <c r="P797" s="259"/>
      <c r="Q797" s="260"/>
    </row>
    <row r="798">
      <c r="P798" s="259"/>
      <c r="Q798" s="260"/>
    </row>
    <row r="799">
      <c r="P799" s="259"/>
      <c r="Q799" s="260"/>
    </row>
    <row r="800">
      <c r="P800" s="259"/>
      <c r="Q800" s="260"/>
    </row>
    <row r="801">
      <c r="P801" s="259"/>
      <c r="Q801" s="260"/>
    </row>
    <row r="802">
      <c r="P802" s="259"/>
      <c r="Q802" s="260"/>
    </row>
    <row r="803">
      <c r="P803" s="259"/>
      <c r="Q803" s="260"/>
    </row>
    <row r="804">
      <c r="P804" s="259"/>
      <c r="Q804" s="260"/>
    </row>
    <row r="805">
      <c r="P805" s="259"/>
      <c r="Q805" s="260"/>
    </row>
    <row r="806">
      <c r="P806" s="259"/>
      <c r="Q806" s="260"/>
    </row>
    <row r="807">
      <c r="P807" s="259"/>
      <c r="Q807" s="260"/>
    </row>
    <row r="808">
      <c r="P808" s="259"/>
      <c r="Q808" s="260"/>
    </row>
    <row r="809">
      <c r="P809" s="259"/>
      <c r="Q809" s="260"/>
    </row>
    <row r="810">
      <c r="P810" s="259"/>
      <c r="Q810" s="260"/>
    </row>
    <row r="811">
      <c r="P811" s="259"/>
      <c r="Q811" s="260"/>
    </row>
    <row r="812">
      <c r="P812" s="259"/>
      <c r="Q812" s="260"/>
    </row>
    <row r="813">
      <c r="P813" s="259"/>
      <c r="Q813" s="260"/>
    </row>
    <row r="814">
      <c r="P814" s="259"/>
      <c r="Q814" s="260"/>
    </row>
    <row r="815">
      <c r="P815" s="259"/>
      <c r="Q815" s="260"/>
    </row>
    <row r="816">
      <c r="P816" s="259"/>
      <c r="Q816" s="260"/>
    </row>
    <row r="817">
      <c r="P817" s="259"/>
      <c r="Q817" s="260"/>
    </row>
    <row r="818">
      <c r="P818" s="259"/>
      <c r="Q818" s="260"/>
    </row>
    <row r="819">
      <c r="P819" s="259"/>
      <c r="Q819" s="260"/>
    </row>
    <row r="820">
      <c r="P820" s="259"/>
      <c r="Q820" s="260"/>
    </row>
    <row r="821">
      <c r="P821" s="259"/>
      <c r="Q821" s="260"/>
    </row>
    <row r="822">
      <c r="P822" s="259"/>
      <c r="Q822" s="260"/>
    </row>
    <row r="823">
      <c r="P823" s="259"/>
      <c r="Q823" s="260"/>
    </row>
    <row r="824">
      <c r="P824" s="259"/>
      <c r="Q824" s="260"/>
    </row>
    <row r="825">
      <c r="P825" s="259"/>
      <c r="Q825" s="260"/>
    </row>
    <row r="826">
      <c r="P826" s="259"/>
      <c r="Q826" s="260"/>
    </row>
    <row r="827">
      <c r="P827" s="259"/>
      <c r="Q827" s="260"/>
    </row>
    <row r="828">
      <c r="P828" s="259"/>
      <c r="Q828" s="260"/>
    </row>
    <row r="829">
      <c r="P829" s="259"/>
      <c r="Q829" s="260"/>
    </row>
    <row r="830">
      <c r="P830" s="259"/>
      <c r="Q830" s="260"/>
    </row>
    <row r="831">
      <c r="P831" s="259"/>
      <c r="Q831" s="260"/>
    </row>
    <row r="832">
      <c r="P832" s="259"/>
      <c r="Q832" s="260"/>
    </row>
    <row r="833">
      <c r="P833" s="259"/>
      <c r="Q833" s="260"/>
    </row>
    <row r="834">
      <c r="P834" s="259"/>
      <c r="Q834" s="260"/>
    </row>
    <row r="835">
      <c r="P835" s="259"/>
      <c r="Q835" s="260"/>
    </row>
    <row r="836">
      <c r="P836" s="259"/>
      <c r="Q836" s="260"/>
    </row>
    <row r="837">
      <c r="P837" s="259"/>
      <c r="Q837" s="260"/>
    </row>
    <row r="838">
      <c r="P838" s="259"/>
      <c r="Q838" s="260"/>
    </row>
    <row r="839">
      <c r="P839" s="259"/>
      <c r="Q839" s="260"/>
    </row>
    <row r="840">
      <c r="P840" s="259"/>
      <c r="Q840" s="260"/>
    </row>
    <row r="841">
      <c r="P841" s="259"/>
      <c r="Q841" s="260"/>
    </row>
    <row r="842">
      <c r="P842" s="259"/>
      <c r="Q842" s="260"/>
    </row>
    <row r="843">
      <c r="P843" s="259"/>
      <c r="Q843" s="260"/>
    </row>
    <row r="844">
      <c r="P844" s="259"/>
      <c r="Q844" s="260"/>
    </row>
    <row r="845">
      <c r="P845" s="259"/>
      <c r="Q845" s="260"/>
    </row>
    <row r="846">
      <c r="P846" s="259"/>
      <c r="Q846" s="260"/>
    </row>
    <row r="847">
      <c r="P847" s="259"/>
      <c r="Q847" s="260"/>
    </row>
    <row r="848">
      <c r="P848" s="259"/>
      <c r="Q848" s="260"/>
    </row>
    <row r="849">
      <c r="P849" s="259"/>
      <c r="Q849" s="260"/>
    </row>
    <row r="850">
      <c r="P850" s="259"/>
      <c r="Q850" s="260"/>
    </row>
    <row r="851">
      <c r="P851" s="259"/>
      <c r="Q851" s="260"/>
    </row>
    <row r="852">
      <c r="P852" s="259"/>
      <c r="Q852" s="260"/>
    </row>
    <row r="853">
      <c r="P853" s="259"/>
      <c r="Q853" s="260"/>
    </row>
    <row r="854">
      <c r="P854" s="259"/>
      <c r="Q854" s="260"/>
    </row>
    <row r="855">
      <c r="P855" s="259"/>
      <c r="Q855" s="260"/>
    </row>
    <row r="856">
      <c r="P856" s="259"/>
      <c r="Q856" s="260"/>
    </row>
    <row r="857">
      <c r="P857" s="259"/>
      <c r="Q857" s="260"/>
    </row>
    <row r="858">
      <c r="P858" s="259"/>
      <c r="Q858" s="260"/>
    </row>
    <row r="859">
      <c r="P859" s="259"/>
      <c r="Q859" s="260"/>
    </row>
    <row r="860">
      <c r="P860" s="259"/>
      <c r="Q860" s="260"/>
    </row>
    <row r="861">
      <c r="P861" s="259"/>
      <c r="Q861" s="260"/>
    </row>
    <row r="862">
      <c r="P862" s="259"/>
      <c r="Q862" s="260"/>
    </row>
    <row r="863">
      <c r="P863" s="259"/>
      <c r="Q863" s="260"/>
    </row>
    <row r="864">
      <c r="P864" s="259"/>
      <c r="Q864" s="260"/>
    </row>
    <row r="865">
      <c r="P865" s="259"/>
      <c r="Q865" s="260"/>
    </row>
    <row r="866">
      <c r="P866" s="259"/>
      <c r="Q866" s="260"/>
    </row>
    <row r="867">
      <c r="P867" s="259"/>
      <c r="Q867" s="260"/>
    </row>
    <row r="868">
      <c r="P868" s="259"/>
      <c r="Q868" s="260"/>
    </row>
    <row r="869">
      <c r="P869" s="259"/>
      <c r="Q869" s="260"/>
    </row>
    <row r="870">
      <c r="P870" s="259"/>
      <c r="Q870" s="260"/>
    </row>
    <row r="871">
      <c r="P871" s="259"/>
      <c r="Q871" s="260"/>
    </row>
    <row r="872">
      <c r="P872" s="259"/>
      <c r="Q872" s="260"/>
    </row>
    <row r="873">
      <c r="P873" s="259"/>
      <c r="Q873" s="260"/>
    </row>
    <row r="874">
      <c r="P874" s="259"/>
      <c r="Q874" s="260"/>
    </row>
    <row r="875">
      <c r="P875" s="259"/>
      <c r="Q875" s="260"/>
    </row>
    <row r="876">
      <c r="P876" s="259"/>
      <c r="Q876" s="260"/>
    </row>
    <row r="877">
      <c r="P877" s="259"/>
      <c r="Q877" s="260"/>
    </row>
    <row r="878">
      <c r="P878" s="259"/>
      <c r="Q878" s="260"/>
    </row>
    <row r="879">
      <c r="P879" s="259"/>
      <c r="Q879" s="260"/>
    </row>
    <row r="880">
      <c r="P880" s="259"/>
      <c r="Q880" s="260"/>
    </row>
    <row r="881">
      <c r="P881" s="259"/>
      <c r="Q881" s="260"/>
    </row>
    <row r="882">
      <c r="P882" s="259"/>
      <c r="Q882" s="260"/>
    </row>
    <row r="883">
      <c r="P883" s="259"/>
      <c r="Q883" s="260"/>
    </row>
    <row r="884">
      <c r="P884" s="259"/>
      <c r="Q884" s="260"/>
    </row>
    <row r="885">
      <c r="P885" s="259"/>
      <c r="Q885" s="260"/>
    </row>
    <row r="886">
      <c r="P886" s="259"/>
      <c r="Q886" s="260"/>
    </row>
    <row r="887">
      <c r="P887" s="259"/>
      <c r="Q887" s="260"/>
    </row>
    <row r="888">
      <c r="P888" s="259"/>
      <c r="Q888" s="260"/>
    </row>
    <row r="889">
      <c r="P889" s="259"/>
      <c r="Q889" s="260"/>
    </row>
    <row r="890">
      <c r="P890" s="259"/>
      <c r="Q890" s="260"/>
    </row>
    <row r="891">
      <c r="P891" s="259"/>
      <c r="Q891" s="260"/>
    </row>
    <row r="892">
      <c r="P892" s="259"/>
      <c r="Q892" s="260"/>
    </row>
    <row r="893">
      <c r="P893" s="259"/>
      <c r="Q893" s="260"/>
    </row>
    <row r="894">
      <c r="P894" s="259"/>
      <c r="Q894" s="260"/>
    </row>
    <row r="895">
      <c r="P895" s="259"/>
      <c r="Q895" s="260"/>
    </row>
    <row r="896">
      <c r="P896" s="259"/>
      <c r="Q896" s="260"/>
    </row>
    <row r="897">
      <c r="P897" s="259"/>
      <c r="Q897" s="260"/>
    </row>
    <row r="898">
      <c r="P898" s="259"/>
      <c r="Q898" s="260"/>
    </row>
    <row r="899">
      <c r="P899" s="259"/>
      <c r="Q899" s="260"/>
    </row>
    <row r="900">
      <c r="P900" s="259"/>
      <c r="Q900" s="260"/>
    </row>
    <row r="901">
      <c r="P901" s="259"/>
      <c r="Q901" s="260"/>
    </row>
    <row r="902">
      <c r="P902" s="259"/>
      <c r="Q902" s="260"/>
    </row>
    <row r="903">
      <c r="P903" s="259"/>
      <c r="Q903" s="260"/>
    </row>
    <row r="904">
      <c r="P904" s="259"/>
      <c r="Q904" s="260"/>
    </row>
    <row r="905">
      <c r="P905" s="259"/>
      <c r="Q905" s="260"/>
    </row>
    <row r="906">
      <c r="P906" s="259"/>
      <c r="Q906" s="260"/>
    </row>
    <row r="907">
      <c r="P907" s="259"/>
      <c r="Q907" s="260"/>
    </row>
    <row r="908">
      <c r="P908" s="259"/>
      <c r="Q908" s="260"/>
    </row>
    <row r="909">
      <c r="P909" s="259"/>
      <c r="Q909" s="260"/>
    </row>
    <row r="910">
      <c r="P910" s="259"/>
      <c r="Q910" s="260"/>
    </row>
    <row r="911">
      <c r="P911" s="259"/>
      <c r="Q911" s="260"/>
    </row>
    <row r="912">
      <c r="P912" s="259"/>
      <c r="Q912" s="260"/>
    </row>
    <row r="913">
      <c r="P913" s="259"/>
      <c r="Q913" s="260"/>
    </row>
    <row r="914">
      <c r="P914" s="259"/>
      <c r="Q914" s="260"/>
    </row>
    <row r="915">
      <c r="P915" s="259"/>
      <c r="Q915" s="260"/>
    </row>
    <row r="916">
      <c r="P916" s="259"/>
      <c r="Q916" s="260"/>
    </row>
    <row r="917">
      <c r="P917" s="259"/>
      <c r="Q917" s="260"/>
    </row>
    <row r="918">
      <c r="P918" s="259"/>
      <c r="Q918" s="260"/>
    </row>
    <row r="919">
      <c r="P919" s="259"/>
      <c r="Q919" s="260"/>
    </row>
    <row r="920">
      <c r="P920" s="259"/>
      <c r="Q920" s="260"/>
    </row>
    <row r="921">
      <c r="P921" s="259"/>
      <c r="Q921" s="260"/>
    </row>
    <row r="922">
      <c r="P922" s="259"/>
      <c r="Q922" s="260"/>
    </row>
    <row r="923">
      <c r="P923" s="259"/>
      <c r="Q923" s="260"/>
    </row>
    <row r="924">
      <c r="P924" s="259"/>
      <c r="Q924" s="260"/>
    </row>
    <row r="925">
      <c r="P925" s="259"/>
      <c r="Q925" s="260"/>
    </row>
    <row r="926">
      <c r="P926" s="259"/>
      <c r="Q926" s="260"/>
    </row>
    <row r="927">
      <c r="P927" s="259"/>
      <c r="Q927" s="260"/>
    </row>
    <row r="928">
      <c r="P928" s="259"/>
      <c r="Q928" s="260"/>
    </row>
    <row r="929">
      <c r="P929" s="259"/>
      <c r="Q929" s="260"/>
    </row>
    <row r="930">
      <c r="P930" s="259"/>
      <c r="Q930" s="260"/>
    </row>
    <row r="931">
      <c r="P931" s="259"/>
      <c r="Q931" s="260"/>
    </row>
    <row r="932">
      <c r="P932" s="259"/>
      <c r="Q932" s="260"/>
    </row>
    <row r="933">
      <c r="P933" s="259"/>
      <c r="Q933" s="260"/>
    </row>
    <row r="934">
      <c r="P934" s="259"/>
      <c r="Q934" s="260"/>
    </row>
    <row r="935">
      <c r="P935" s="259"/>
      <c r="Q935" s="260"/>
    </row>
    <row r="936">
      <c r="P936" s="259"/>
      <c r="Q936" s="260"/>
    </row>
    <row r="937">
      <c r="P937" s="259"/>
      <c r="Q937" s="260"/>
    </row>
    <row r="938">
      <c r="P938" s="259"/>
      <c r="Q938" s="260"/>
    </row>
    <row r="939">
      <c r="P939" s="259"/>
      <c r="Q939" s="260"/>
    </row>
    <row r="940">
      <c r="P940" s="259"/>
      <c r="Q940" s="260"/>
    </row>
    <row r="941">
      <c r="P941" s="259"/>
      <c r="Q941" s="260"/>
    </row>
    <row r="942">
      <c r="P942" s="259"/>
      <c r="Q942" s="260"/>
    </row>
    <row r="943">
      <c r="P943" s="259"/>
      <c r="Q943" s="260"/>
    </row>
    <row r="944">
      <c r="P944" s="259"/>
      <c r="Q944" s="260"/>
    </row>
    <row r="945">
      <c r="P945" s="259"/>
      <c r="Q945" s="260"/>
    </row>
    <row r="946">
      <c r="P946" s="259"/>
      <c r="Q946" s="260"/>
    </row>
    <row r="947">
      <c r="P947" s="259"/>
      <c r="Q947" s="260"/>
    </row>
    <row r="948">
      <c r="P948" s="259"/>
      <c r="Q948" s="260"/>
    </row>
    <row r="949">
      <c r="P949" s="259"/>
      <c r="Q949" s="260"/>
    </row>
    <row r="950">
      <c r="P950" s="259"/>
      <c r="Q950" s="260"/>
    </row>
    <row r="951">
      <c r="P951" s="259"/>
      <c r="Q951" s="260"/>
    </row>
    <row r="952">
      <c r="P952" s="259"/>
      <c r="Q952" s="260"/>
    </row>
    <row r="953">
      <c r="P953" s="259"/>
      <c r="Q953" s="260"/>
    </row>
    <row r="954">
      <c r="P954" s="259"/>
      <c r="Q954" s="260"/>
    </row>
    <row r="955">
      <c r="P955" s="259"/>
      <c r="Q955" s="260"/>
    </row>
    <row r="956">
      <c r="P956" s="259"/>
      <c r="Q956" s="260"/>
    </row>
    <row r="957">
      <c r="P957" s="259"/>
      <c r="Q957" s="260"/>
    </row>
    <row r="958">
      <c r="P958" s="259"/>
      <c r="Q958" s="260"/>
    </row>
    <row r="959">
      <c r="P959" s="259"/>
      <c r="Q959" s="260"/>
    </row>
    <row r="960">
      <c r="P960" s="259"/>
      <c r="Q960" s="260"/>
    </row>
    <row r="961">
      <c r="P961" s="259"/>
      <c r="Q961" s="260"/>
    </row>
    <row r="962">
      <c r="P962" s="259"/>
      <c r="Q962" s="260"/>
    </row>
    <row r="963">
      <c r="P963" s="259"/>
      <c r="Q963" s="260"/>
    </row>
    <row r="964">
      <c r="P964" s="259"/>
      <c r="Q964" s="260"/>
    </row>
    <row r="965">
      <c r="P965" s="259"/>
      <c r="Q965" s="260"/>
    </row>
    <row r="966">
      <c r="P966" s="259"/>
      <c r="Q966" s="260"/>
    </row>
    <row r="967">
      <c r="P967" s="259"/>
      <c r="Q967" s="260"/>
    </row>
    <row r="968">
      <c r="P968" s="259"/>
      <c r="Q968" s="260"/>
    </row>
    <row r="969">
      <c r="P969" s="259"/>
      <c r="Q969" s="260"/>
    </row>
    <row r="970">
      <c r="P970" s="259"/>
      <c r="Q970" s="260"/>
    </row>
    <row r="971">
      <c r="P971" s="259"/>
      <c r="Q971" s="260"/>
    </row>
    <row r="972">
      <c r="P972" s="259"/>
      <c r="Q972" s="260"/>
    </row>
    <row r="973">
      <c r="P973" s="259"/>
      <c r="Q973" s="260"/>
    </row>
    <row r="974">
      <c r="P974" s="259"/>
      <c r="Q974" s="260"/>
    </row>
    <row r="975">
      <c r="P975" s="259"/>
      <c r="Q975" s="260"/>
    </row>
    <row r="976">
      <c r="P976" s="259"/>
      <c r="Q976" s="260"/>
    </row>
    <row r="977">
      <c r="P977" s="259"/>
      <c r="Q977" s="260"/>
    </row>
    <row r="978">
      <c r="P978" s="259"/>
      <c r="Q978" s="260"/>
    </row>
    <row r="979">
      <c r="P979" s="259"/>
      <c r="Q979" s="260"/>
    </row>
    <row r="980">
      <c r="P980" s="259"/>
      <c r="Q980" s="260"/>
    </row>
    <row r="981">
      <c r="P981" s="259"/>
      <c r="Q981" s="260"/>
    </row>
    <row r="982">
      <c r="P982" s="259"/>
      <c r="Q982" s="260"/>
    </row>
    <row r="983">
      <c r="P983" s="259"/>
      <c r="Q983" s="260"/>
    </row>
    <row r="984">
      <c r="P984" s="259"/>
      <c r="Q984" s="260"/>
    </row>
    <row r="985">
      <c r="P985" s="259"/>
      <c r="Q985" s="260"/>
    </row>
    <row r="986">
      <c r="P986" s="259"/>
      <c r="Q986" s="260"/>
    </row>
    <row r="987">
      <c r="P987" s="259"/>
      <c r="Q987" s="260"/>
    </row>
    <row r="988">
      <c r="P988" s="259"/>
      <c r="Q988" s="260"/>
    </row>
    <row r="989">
      <c r="P989" s="259"/>
      <c r="Q989" s="260"/>
    </row>
    <row r="990">
      <c r="P990" s="259"/>
      <c r="Q990" s="260"/>
    </row>
    <row r="991">
      <c r="P991" s="259"/>
      <c r="Q991" s="260"/>
    </row>
    <row r="992">
      <c r="P992" s="259"/>
      <c r="Q992" s="260"/>
    </row>
    <row r="993">
      <c r="P993" s="259"/>
      <c r="Q993" s="260"/>
    </row>
    <row r="994">
      <c r="P994" s="259"/>
      <c r="Q994" s="260"/>
    </row>
    <row r="995">
      <c r="P995" s="259"/>
      <c r="Q995" s="260"/>
    </row>
    <row r="996">
      <c r="P996" s="259"/>
      <c r="Q996" s="260"/>
    </row>
    <row r="997">
      <c r="P997" s="259"/>
      <c r="Q997" s="260"/>
    </row>
  </sheetData>
  <mergeCells count="1">
    <mergeCell ref="A1:Q1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5" width="7.29"/>
    <col customWidth="1" min="16" max="16" width="9.43"/>
    <col customWidth="1" min="17" max="17" width="12.29"/>
  </cols>
  <sheetData>
    <row r="1">
      <c r="A1" s="1" t="s">
        <v>454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256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13</v>
      </c>
      <c r="M2" s="5" t="s">
        <v>14</v>
      </c>
      <c r="N2" s="5" t="s">
        <v>15</v>
      </c>
      <c r="O2" s="5" t="s">
        <v>17</v>
      </c>
      <c r="P2" s="7" t="s">
        <v>18</v>
      </c>
      <c r="Q2" s="5" t="s">
        <v>19</v>
      </c>
    </row>
    <row r="3">
      <c r="A3" s="9" t="s">
        <v>362</v>
      </c>
      <c r="B3" s="262">
        <v>1.0</v>
      </c>
      <c r="C3" s="262">
        <v>2.0</v>
      </c>
      <c r="D3" s="262">
        <v>5.0</v>
      </c>
      <c r="E3" s="262">
        <v>1.0</v>
      </c>
      <c r="F3" s="262">
        <v>4.0</v>
      </c>
      <c r="G3" s="262">
        <v>3.0</v>
      </c>
      <c r="H3" s="262">
        <v>5.0</v>
      </c>
      <c r="I3" s="262">
        <v>6.0</v>
      </c>
      <c r="J3" s="263">
        <v>4.0</v>
      </c>
      <c r="K3" s="263">
        <v>8.0</v>
      </c>
      <c r="L3" s="263">
        <v>1.0</v>
      </c>
      <c r="M3" s="263">
        <v>4.0</v>
      </c>
      <c r="N3" s="263">
        <v>10.0</v>
      </c>
      <c r="O3" s="23">
        <f t="shared" ref="O3:O18" si="1">SUM(B3:N3)</f>
        <v>54</v>
      </c>
      <c r="P3" s="16">
        <f t="shared" ref="P3:P6" si="2">AVERAGE(B3:N3)</f>
        <v>4.153846154</v>
      </c>
      <c r="Q3" s="17">
        <v>0.1118</v>
      </c>
    </row>
    <row r="4">
      <c r="A4" s="9" t="s">
        <v>455</v>
      </c>
      <c r="B4" s="262">
        <v>1.0</v>
      </c>
      <c r="C4" s="262">
        <v>7.0</v>
      </c>
      <c r="D4" s="262">
        <v>3.0</v>
      </c>
      <c r="E4" s="262">
        <v>4.0</v>
      </c>
      <c r="F4" s="262">
        <v>5.0</v>
      </c>
      <c r="G4" s="262">
        <v>5.0</v>
      </c>
      <c r="H4" s="262">
        <v>3.0</v>
      </c>
      <c r="I4" s="262">
        <v>4.0</v>
      </c>
      <c r="J4" s="263">
        <v>5.0</v>
      </c>
      <c r="K4" s="263">
        <v>13.0</v>
      </c>
      <c r="L4" s="263">
        <v>1.0</v>
      </c>
      <c r="M4" s="263">
        <v>3.0</v>
      </c>
      <c r="N4" s="263">
        <v>14.0</v>
      </c>
      <c r="O4" s="23">
        <f t="shared" si="1"/>
        <v>68</v>
      </c>
      <c r="P4" s="16">
        <f t="shared" si="2"/>
        <v>5.230769231</v>
      </c>
      <c r="Q4" s="17">
        <v>0.1408</v>
      </c>
    </row>
    <row r="5">
      <c r="A5" s="9" t="s">
        <v>456</v>
      </c>
      <c r="B5" s="262">
        <v>3.0</v>
      </c>
      <c r="C5" s="262">
        <v>1.0</v>
      </c>
      <c r="D5" s="262">
        <v>0.0</v>
      </c>
      <c r="E5" s="262">
        <v>3.0</v>
      </c>
      <c r="F5" s="262">
        <v>2.0</v>
      </c>
      <c r="G5" s="262">
        <v>2.0</v>
      </c>
      <c r="H5" s="262">
        <v>3.0</v>
      </c>
      <c r="I5" s="262">
        <v>3.0</v>
      </c>
      <c r="J5" s="263">
        <v>3.0</v>
      </c>
      <c r="K5" s="263">
        <v>1.0</v>
      </c>
      <c r="L5" s="263">
        <v>3.0</v>
      </c>
      <c r="M5" s="263">
        <v>3.0</v>
      </c>
      <c r="N5" s="263">
        <v>8.0</v>
      </c>
      <c r="O5" s="23">
        <f t="shared" si="1"/>
        <v>35</v>
      </c>
      <c r="P5" s="16">
        <f t="shared" si="2"/>
        <v>2.692307692</v>
      </c>
      <c r="Q5" s="17">
        <v>0.0725</v>
      </c>
    </row>
    <row r="6">
      <c r="A6" s="9" t="s">
        <v>457</v>
      </c>
      <c r="B6" s="262">
        <v>5.0</v>
      </c>
      <c r="C6" s="262">
        <v>11.0</v>
      </c>
      <c r="D6" s="262">
        <v>3.0</v>
      </c>
      <c r="E6" s="262">
        <v>5.0</v>
      </c>
      <c r="F6" s="262">
        <v>4.0</v>
      </c>
      <c r="G6" s="262">
        <v>4.0</v>
      </c>
      <c r="H6" s="262">
        <v>3.0</v>
      </c>
      <c r="I6" s="262">
        <v>2.0</v>
      </c>
      <c r="J6" s="263">
        <v>1.0</v>
      </c>
      <c r="K6" s="263">
        <v>3.0</v>
      </c>
      <c r="L6" s="263">
        <v>10.0</v>
      </c>
      <c r="M6" s="263">
        <v>8.0</v>
      </c>
      <c r="N6" s="263">
        <v>4.0</v>
      </c>
      <c r="O6" s="23">
        <f t="shared" si="1"/>
        <v>63</v>
      </c>
      <c r="P6" s="16">
        <f t="shared" si="2"/>
        <v>4.846153846</v>
      </c>
      <c r="Q6" s="17">
        <v>0.1304</v>
      </c>
    </row>
    <row r="7">
      <c r="A7" s="9" t="s">
        <v>458</v>
      </c>
      <c r="B7" s="262">
        <v>3.0</v>
      </c>
      <c r="C7" s="262">
        <v>0.0</v>
      </c>
      <c r="D7" s="262">
        <v>5.0</v>
      </c>
      <c r="E7" s="262">
        <v>1.0</v>
      </c>
      <c r="F7" s="262">
        <v>5.0</v>
      </c>
      <c r="G7" s="262">
        <v>6.0</v>
      </c>
      <c r="H7" s="262">
        <v>5.0</v>
      </c>
      <c r="I7" s="262">
        <v>4.0</v>
      </c>
      <c r="J7" s="263">
        <v>5.0</v>
      </c>
      <c r="K7" s="263">
        <v>5.0</v>
      </c>
      <c r="L7" s="263">
        <v>2.0</v>
      </c>
      <c r="M7" s="263">
        <v>11.0</v>
      </c>
      <c r="N7" s="148"/>
      <c r="O7" s="23">
        <f t="shared" si="1"/>
        <v>52</v>
      </c>
      <c r="P7" s="16">
        <f>AVERAGE(B7:M7)</f>
        <v>4.333333333</v>
      </c>
      <c r="Q7" s="17">
        <v>0.1077</v>
      </c>
    </row>
    <row r="8">
      <c r="A8" s="9" t="s">
        <v>459</v>
      </c>
      <c r="B8" s="177">
        <v>5.0</v>
      </c>
      <c r="C8" s="177">
        <v>4.0</v>
      </c>
      <c r="D8" s="177">
        <v>1.0</v>
      </c>
      <c r="E8" s="177">
        <v>0.0</v>
      </c>
      <c r="F8" s="177">
        <v>4.0</v>
      </c>
      <c r="G8" s="177">
        <v>3.0</v>
      </c>
      <c r="H8" s="177">
        <v>0.0</v>
      </c>
      <c r="I8" s="177">
        <v>6.0</v>
      </c>
      <c r="J8" s="263">
        <v>7.0</v>
      </c>
      <c r="K8" s="263">
        <v>6.0</v>
      </c>
      <c r="L8" s="263">
        <v>5.0</v>
      </c>
      <c r="M8" s="148"/>
      <c r="N8" s="148"/>
      <c r="O8" s="23">
        <f t="shared" si="1"/>
        <v>41</v>
      </c>
      <c r="P8" s="16">
        <f>AVERAGE(B8:L8)</f>
        <v>3.727272727</v>
      </c>
      <c r="Q8" s="17">
        <v>0.0849</v>
      </c>
    </row>
    <row r="9">
      <c r="A9" s="9" t="s">
        <v>460</v>
      </c>
      <c r="B9" s="177">
        <v>3.0</v>
      </c>
      <c r="C9" s="177">
        <v>0.0</v>
      </c>
      <c r="D9" s="177">
        <v>1.0</v>
      </c>
      <c r="E9" s="177">
        <v>1.0</v>
      </c>
      <c r="F9" s="177">
        <v>4.0</v>
      </c>
      <c r="G9" s="177">
        <v>5.0</v>
      </c>
      <c r="H9" s="177">
        <v>1.0</v>
      </c>
      <c r="I9" s="177">
        <v>2.0</v>
      </c>
      <c r="J9" s="263">
        <v>2.0</v>
      </c>
      <c r="K9" s="263">
        <v>4.0</v>
      </c>
      <c r="L9" s="148"/>
      <c r="M9" s="148"/>
      <c r="N9" s="148"/>
      <c r="O9" s="23">
        <f t="shared" si="1"/>
        <v>23</v>
      </c>
      <c r="P9" s="16">
        <f>AVERAGE(B9:K9)</f>
        <v>2.3</v>
      </c>
      <c r="Q9" s="17">
        <v>0.0476</v>
      </c>
    </row>
    <row r="10">
      <c r="A10" s="9" t="s">
        <v>119</v>
      </c>
      <c r="B10" s="177">
        <v>1.0</v>
      </c>
      <c r="C10" s="177">
        <v>2.0</v>
      </c>
      <c r="D10" s="177">
        <v>1.0</v>
      </c>
      <c r="E10" s="177">
        <v>1.0</v>
      </c>
      <c r="F10" s="177">
        <v>0.0</v>
      </c>
      <c r="G10" s="177">
        <v>3.0</v>
      </c>
      <c r="H10" s="177">
        <v>5.0</v>
      </c>
      <c r="I10" s="177">
        <v>5.0</v>
      </c>
      <c r="J10" s="263">
        <v>3.0</v>
      </c>
      <c r="K10" s="148"/>
      <c r="L10" s="148"/>
      <c r="M10" s="148"/>
      <c r="N10" s="148"/>
      <c r="O10" s="23">
        <f t="shared" si="1"/>
        <v>21</v>
      </c>
      <c r="P10" s="16">
        <f>AVERAGE(B10:J10)</f>
        <v>2.333333333</v>
      </c>
      <c r="Q10" s="17">
        <v>0.0435</v>
      </c>
    </row>
    <row r="11">
      <c r="A11" s="9" t="s">
        <v>461</v>
      </c>
      <c r="B11" s="177">
        <v>1.0</v>
      </c>
      <c r="C11" s="177">
        <v>2.0</v>
      </c>
      <c r="D11" s="177">
        <v>2.0</v>
      </c>
      <c r="E11" s="177">
        <v>1.0</v>
      </c>
      <c r="F11" s="177">
        <v>2.0</v>
      </c>
      <c r="G11" s="177">
        <v>3.0</v>
      </c>
      <c r="H11" s="177">
        <v>4.0</v>
      </c>
      <c r="I11" s="177">
        <v>0.0</v>
      </c>
      <c r="J11" s="148"/>
      <c r="K11" s="148"/>
      <c r="L11" s="148"/>
      <c r="M11" s="148"/>
      <c r="N11" s="148"/>
      <c r="O11" s="23">
        <f t="shared" si="1"/>
        <v>15</v>
      </c>
      <c r="P11" s="16">
        <f>AVERAGE(B11:I11)</f>
        <v>1.875</v>
      </c>
      <c r="Q11" s="17">
        <v>0.0311</v>
      </c>
    </row>
    <row r="12">
      <c r="A12" s="9" t="s">
        <v>408</v>
      </c>
      <c r="B12" s="177">
        <v>3.0</v>
      </c>
      <c r="C12" s="177">
        <v>5.0</v>
      </c>
      <c r="D12" s="177">
        <v>4.0</v>
      </c>
      <c r="E12" s="177">
        <v>3.0</v>
      </c>
      <c r="F12" s="177">
        <v>5.0</v>
      </c>
      <c r="G12" s="177">
        <v>2.0</v>
      </c>
      <c r="H12" s="177">
        <v>11.0</v>
      </c>
      <c r="I12" s="92"/>
      <c r="J12" s="148"/>
      <c r="K12" s="148"/>
      <c r="L12" s="148"/>
      <c r="M12" s="148"/>
      <c r="N12" s="148"/>
      <c r="O12" s="23">
        <f t="shared" si="1"/>
        <v>33</v>
      </c>
      <c r="P12" s="16">
        <f>AVERAGE(B12:H12)</f>
        <v>4.714285714</v>
      </c>
      <c r="Q12" s="17">
        <v>0.0683</v>
      </c>
    </row>
    <row r="13">
      <c r="A13" s="9" t="s">
        <v>462</v>
      </c>
      <c r="B13" s="177">
        <v>6.0</v>
      </c>
      <c r="C13" s="177">
        <v>1.0</v>
      </c>
      <c r="D13" s="177">
        <v>6.0</v>
      </c>
      <c r="E13" s="177">
        <v>4.0</v>
      </c>
      <c r="F13" s="177">
        <v>2.0</v>
      </c>
      <c r="G13" s="177">
        <v>8.0</v>
      </c>
      <c r="H13" s="92"/>
      <c r="I13" s="92"/>
      <c r="J13" s="148"/>
      <c r="K13" s="148"/>
      <c r="L13" s="148"/>
      <c r="M13" s="148"/>
      <c r="N13" s="148"/>
      <c r="O13" s="23">
        <f t="shared" si="1"/>
        <v>27</v>
      </c>
      <c r="P13" s="16">
        <f>AVERAGE(B13:G13)</f>
        <v>4.5</v>
      </c>
      <c r="Q13" s="17">
        <v>0.056</v>
      </c>
    </row>
    <row r="14">
      <c r="A14" s="9" t="s">
        <v>63</v>
      </c>
      <c r="B14" s="177">
        <v>1.0</v>
      </c>
      <c r="C14" s="177">
        <v>2.0</v>
      </c>
      <c r="D14" s="177">
        <v>0.0</v>
      </c>
      <c r="E14" s="177">
        <v>3.0</v>
      </c>
      <c r="F14" s="177">
        <v>4.0</v>
      </c>
      <c r="G14" s="92"/>
      <c r="H14" s="92"/>
      <c r="I14" s="92"/>
      <c r="J14" s="148"/>
      <c r="K14" s="148"/>
      <c r="L14" s="148"/>
      <c r="M14" s="148"/>
      <c r="N14" s="148"/>
      <c r="O14" s="23">
        <f t="shared" si="1"/>
        <v>10</v>
      </c>
      <c r="P14" s="16">
        <f>AVERAGE(B14:F14)</f>
        <v>2</v>
      </c>
      <c r="Q14" s="17">
        <v>0.0207</v>
      </c>
    </row>
    <row r="15">
      <c r="A15" s="9" t="s">
        <v>463</v>
      </c>
      <c r="B15" s="262">
        <v>10.0</v>
      </c>
      <c r="C15" s="262">
        <v>2.0</v>
      </c>
      <c r="D15" s="262">
        <v>6.0</v>
      </c>
      <c r="E15" s="262">
        <v>4.0</v>
      </c>
      <c r="F15" s="148"/>
      <c r="G15" s="148"/>
      <c r="H15" s="148"/>
      <c r="I15" s="148"/>
      <c r="J15" s="148"/>
      <c r="K15" s="148"/>
      <c r="L15" s="148"/>
      <c r="M15" s="148"/>
      <c r="N15" s="148"/>
      <c r="O15" s="23">
        <f t="shared" si="1"/>
        <v>22</v>
      </c>
      <c r="P15" s="16">
        <f>AVERAGE(B15:E15)</f>
        <v>5.5</v>
      </c>
      <c r="Q15" s="17">
        <v>0.0455</v>
      </c>
    </row>
    <row r="16">
      <c r="A16" s="9" t="s">
        <v>464</v>
      </c>
      <c r="B16" s="177">
        <v>2.0</v>
      </c>
      <c r="C16" s="177">
        <v>4.0</v>
      </c>
      <c r="D16" s="177">
        <v>1.0</v>
      </c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23">
        <f t="shared" si="1"/>
        <v>7</v>
      </c>
      <c r="P16" s="16">
        <f>AVERAGE(B16:D16)</f>
        <v>2.333333333</v>
      </c>
      <c r="Q16" s="17">
        <v>0.0145</v>
      </c>
    </row>
    <row r="17">
      <c r="A17" s="9" t="s">
        <v>465</v>
      </c>
      <c r="B17" s="262">
        <v>3.0</v>
      </c>
      <c r="C17" s="262">
        <v>1.0</v>
      </c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23">
        <f t="shared" si="1"/>
        <v>4</v>
      </c>
      <c r="P17" s="16">
        <f>AVERAGE(B17:C17)</f>
        <v>2</v>
      </c>
      <c r="Q17" s="17">
        <v>0.0083</v>
      </c>
    </row>
    <row r="18">
      <c r="A18" s="9" t="s">
        <v>202</v>
      </c>
      <c r="B18" s="262">
        <v>8.0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23">
        <f t="shared" si="1"/>
        <v>8</v>
      </c>
      <c r="P18" s="16">
        <f>AVERAGE(B18)</f>
        <v>8</v>
      </c>
      <c r="Q18" s="17">
        <v>0.0166</v>
      </c>
    </row>
    <row r="19">
      <c r="A19" s="256" t="s">
        <v>40</v>
      </c>
      <c r="B19" s="23">
        <f t="shared" ref="B19:O19" si="3">SUM(B3:B18)</f>
        <v>56</v>
      </c>
      <c r="C19" s="23">
        <f t="shared" si="3"/>
        <v>44</v>
      </c>
      <c r="D19" s="23">
        <f t="shared" si="3"/>
        <v>38</v>
      </c>
      <c r="E19" s="23">
        <f t="shared" si="3"/>
        <v>31</v>
      </c>
      <c r="F19" s="23">
        <f t="shared" si="3"/>
        <v>41</v>
      </c>
      <c r="G19" s="23">
        <f t="shared" si="3"/>
        <v>44</v>
      </c>
      <c r="H19" s="23">
        <f t="shared" si="3"/>
        <v>40</v>
      </c>
      <c r="I19" s="23">
        <f t="shared" si="3"/>
        <v>32</v>
      </c>
      <c r="J19" s="23">
        <f t="shared" si="3"/>
        <v>30</v>
      </c>
      <c r="K19" s="23">
        <f t="shared" si="3"/>
        <v>40</v>
      </c>
      <c r="L19" s="23">
        <f t="shared" si="3"/>
        <v>22</v>
      </c>
      <c r="M19" s="23">
        <f t="shared" si="3"/>
        <v>29</v>
      </c>
      <c r="N19" s="23">
        <f t="shared" si="3"/>
        <v>36</v>
      </c>
      <c r="O19" s="23">
        <f t="shared" si="3"/>
        <v>483</v>
      </c>
      <c r="P19" s="16"/>
      <c r="Q19" s="23"/>
    </row>
    <row r="20">
      <c r="A20" s="258" t="s">
        <v>18</v>
      </c>
      <c r="B20" s="16">
        <f>AVERAGE(B3:B18)</f>
        <v>3.5</v>
      </c>
      <c r="C20" s="16">
        <f>AVERAGE(C3:C17)</f>
        <v>2.933333333</v>
      </c>
      <c r="D20" s="16">
        <f>AVERAGE(D3:D16)</f>
        <v>2.714285714</v>
      </c>
      <c r="E20" s="16">
        <f>AVERAGE(E3:E15)</f>
        <v>2.384615385</v>
      </c>
      <c r="F20" s="16">
        <f>AVERAGE(F3:F14)</f>
        <v>3.416666667</v>
      </c>
      <c r="G20" s="16">
        <f>AVERAGE(G3:G13)</f>
        <v>4</v>
      </c>
      <c r="H20" s="16">
        <f>AVERAGE(H3:H12)</f>
        <v>4</v>
      </c>
      <c r="I20" s="16">
        <f>AVERAGE(I3:I11)</f>
        <v>3.555555556</v>
      </c>
      <c r="J20" s="16">
        <f>AVERAGE(J3:J10)</f>
        <v>3.75</v>
      </c>
      <c r="K20" s="16">
        <f>AVERAGE(K3:K9)</f>
        <v>5.714285714</v>
      </c>
      <c r="L20" s="16">
        <f>AVERAGE(L3:L8)</f>
        <v>3.666666667</v>
      </c>
      <c r="M20" s="16">
        <f>AVERAGE(M3:M7)</f>
        <v>5.8</v>
      </c>
      <c r="N20" s="16">
        <f>AVERAGE(N3:N6)</f>
        <v>9</v>
      </c>
      <c r="O20" s="16"/>
      <c r="P20" s="16"/>
      <c r="Q20" s="16"/>
      <c r="R20" s="259"/>
      <c r="S20" s="259"/>
      <c r="T20" s="259"/>
      <c r="U20" s="259"/>
      <c r="V20" s="259"/>
      <c r="W20" s="259"/>
      <c r="X20" s="259"/>
    </row>
    <row r="21">
      <c r="A21" s="256" t="s">
        <v>41</v>
      </c>
      <c r="B21" s="40" t="str">
        <f>HYPERLINK("https://docs.google.com/document/d/1fnQp31vpa65Lx5QgLXS2kGDBtDsBE9LLRRykzCEGKdk/edit?usp=sharing","Link")</f>
        <v>Link</v>
      </c>
      <c r="C21" s="40" t="str">
        <f>HYPERLINK("https://docs.google.com/document/d/1jX4VXlrhLsGMxFCfUOFJ3ks-YnBloiuCCShzMgaIkl4/edit?usp=sharing","Link")</f>
        <v>Link</v>
      </c>
      <c r="D21" s="40" t="str">
        <f>HYPERLINK("https://docs.google.com/document/d/1EhGwo4AP2Cgfnk3r9HKe2_fJr-xnfoTh1qQZlPMMH54/edit?usp=sharing","Link")</f>
        <v>Link</v>
      </c>
      <c r="E21" s="40" t="str">
        <f>HYPERLINK("https://docs.google.com/document/d/1JTPfTa1Nf06cVMcDPLRfJRDZqW4mRuYrKpRMogyLqYo/edit?usp=sharing","Link")</f>
        <v>Link</v>
      </c>
      <c r="F21" s="40" t="str">
        <f>HYPERLINK("https://docs.google.com/document/d/1a5g8Eetet_yNNDHJjznuo3XiJeJCsX98GbXQqEDyD40/edit?usp=sharing","Link")</f>
        <v>Link</v>
      </c>
      <c r="G21" s="40" t="str">
        <f>HYPERLINK("https://docs.google.com/document/d/1eirRk4XtQZNWD6LstPDtx3xY3cp5YFyxZMcxAO65si0/edit?usp=sharing","Link")</f>
        <v>Link</v>
      </c>
      <c r="H21" s="40" t="str">
        <f>HYPERLINK("https://docs.google.com/document/d/1lMENBU0ZfTgCFdKoU2c5syxJyBFAIW8R4NnXtftfUJk/edit?usp=sharing","Link")</f>
        <v>Link</v>
      </c>
      <c r="I21" s="40" t="str">
        <f>HYPERLINK("https://docs.google.com/document/d/1OLbq4HAqRLYl3X2m0rjl3V8A_4M8Bc-GVjRoTV3FpnY/edit?usp=sharing","Link")</f>
        <v>Link</v>
      </c>
      <c r="J21" s="40" t="str">
        <f>HYPERLINK("https://docs.google.com/document/d/10xrxvBkxZZck0VmNldIBBM7rPDHb4K6yj_GposFSpIg/edit?usp=sharing","Link")</f>
        <v>Link</v>
      </c>
      <c r="K21" s="40" t="str">
        <f>HYPERLINK("https://docs.google.com/document/d/1Ilx9o1j_EvWzETO6aWkypXPRXvrhGreaDNKMx5lCF6g/edit?usp=sharing","Link")</f>
        <v>Link</v>
      </c>
      <c r="L21" s="40" t="str">
        <f>HYPERLINK("https://docs.google.com/document/d/1XmHSx6gcs-z2sov7Rh_d6BfaEgnp3DnheBfLVKgZjxs/edit?usp=sharing","Link")</f>
        <v>Link</v>
      </c>
      <c r="M21" s="40" t="str">
        <f>HYPERLINK("https://docs.google.com/document/d/10-6kt8mFVS0PfriwKkZdMrbDXjinOR65xyGWU4ZCM7Y/edit?usp=sharing","Link")</f>
        <v>Link</v>
      </c>
      <c r="N21" s="40" t="str">
        <f>HYPERLINK("https://docs.google.com/document/d/1lpCwx9tV2MXRj7mhI4Ve0KkHX47mR40YH10ZO9c-qzk/edit?usp=sharing","Link")</f>
        <v>Link</v>
      </c>
      <c r="O21" s="40" t="str">
        <f>HYPERLINK("https://docs.google.com/document/d/1Khlti8ILACkKpQ2UyUKIJvKeVQ5AxtcTq7t8hS1nZDU/edit?usp=sharing","Link")</f>
        <v>Link</v>
      </c>
      <c r="P21" s="16"/>
      <c r="Q21" s="23"/>
    </row>
    <row r="22">
      <c r="P22" s="259"/>
      <c r="Q22" s="260"/>
    </row>
    <row r="23">
      <c r="A23" s="264" t="s">
        <v>466</v>
      </c>
      <c r="P23" s="259"/>
      <c r="Q23" s="260"/>
    </row>
    <row r="24">
      <c r="A24" s="186" t="s">
        <v>467</v>
      </c>
      <c r="P24" s="259"/>
      <c r="Q24" s="260"/>
    </row>
    <row r="25">
      <c r="A25" s="265" t="s">
        <v>468</v>
      </c>
      <c r="P25" s="259"/>
      <c r="Q25" s="260"/>
    </row>
    <row r="26">
      <c r="P26" s="259"/>
      <c r="Q26" s="260"/>
    </row>
    <row r="27">
      <c r="P27" s="259"/>
      <c r="Q27" s="260"/>
    </row>
    <row r="28">
      <c r="P28" s="259"/>
      <c r="Q28" s="260"/>
    </row>
    <row r="29">
      <c r="P29" s="259"/>
      <c r="Q29" s="260"/>
    </row>
    <row r="30">
      <c r="P30" s="259"/>
      <c r="Q30" s="260"/>
    </row>
    <row r="31">
      <c r="P31" s="259"/>
      <c r="Q31" s="260"/>
    </row>
    <row r="32">
      <c r="P32" s="259"/>
      <c r="Q32" s="260"/>
    </row>
    <row r="33">
      <c r="P33" s="259"/>
      <c r="Q33" s="260"/>
    </row>
    <row r="34">
      <c r="P34" s="259"/>
      <c r="Q34" s="260"/>
    </row>
    <row r="35">
      <c r="P35" s="259"/>
      <c r="Q35" s="260"/>
    </row>
    <row r="36">
      <c r="P36" s="259"/>
      <c r="Q36" s="260"/>
    </row>
    <row r="37">
      <c r="P37" s="259"/>
      <c r="Q37" s="260"/>
    </row>
    <row r="38">
      <c r="P38" s="259"/>
      <c r="Q38" s="260"/>
    </row>
    <row r="39">
      <c r="P39" s="259"/>
      <c r="Q39" s="260"/>
    </row>
    <row r="40">
      <c r="P40" s="259"/>
      <c r="Q40" s="260"/>
    </row>
    <row r="41">
      <c r="P41" s="259"/>
      <c r="Q41" s="260"/>
    </row>
    <row r="42">
      <c r="P42" s="259"/>
      <c r="Q42" s="260"/>
    </row>
    <row r="43">
      <c r="P43" s="259"/>
      <c r="Q43" s="260"/>
    </row>
    <row r="44">
      <c r="P44" s="259"/>
      <c r="Q44" s="260"/>
    </row>
    <row r="45">
      <c r="P45" s="259"/>
      <c r="Q45" s="260"/>
    </row>
    <row r="46">
      <c r="P46" s="259"/>
      <c r="Q46" s="260"/>
    </row>
    <row r="47">
      <c r="P47" s="259"/>
      <c r="Q47" s="260"/>
    </row>
    <row r="48">
      <c r="P48" s="259"/>
      <c r="Q48" s="260"/>
    </row>
    <row r="49">
      <c r="P49" s="259"/>
      <c r="Q49" s="260"/>
    </row>
    <row r="50">
      <c r="P50" s="259"/>
      <c r="Q50" s="260"/>
    </row>
    <row r="51">
      <c r="P51" s="259"/>
      <c r="Q51" s="260"/>
    </row>
    <row r="52">
      <c r="P52" s="259"/>
      <c r="Q52" s="260"/>
    </row>
    <row r="53">
      <c r="P53" s="259"/>
      <c r="Q53" s="260"/>
    </row>
    <row r="54">
      <c r="P54" s="259"/>
      <c r="Q54" s="260"/>
    </row>
    <row r="55">
      <c r="P55" s="259"/>
      <c r="Q55" s="260"/>
    </row>
    <row r="56">
      <c r="P56" s="259"/>
      <c r="Q56" s="260"/>
    </row>
    <row r="57">
      <c r="P57" s="259"/>
      <c r="Q57" s="260"/>
    </row>
    <row r="58">
      <c r="P58" s="259"/>
      <c r="Q58" s="260"/>
    </row>
    <row r="59">
      <c r="P59" s="259"/>
      <c r="Q59" s="260"/>
    </row>
    <row r="60">
      <c r="P60" s="259"/>
      <c r="Q60" s="260"/>
    </row>
    <row r="61">
      <c r="P61" s="259"/>
      <c r="Q61" s="260"/>
    </row>
    <row r="62">
      <c r="P62" s="259"/>
      <c r="Q62" s="260"/>
    </row>
    <row r="63">
      <c r="P63" s="259"/>
      <c r="Q63" s="260"/>
    </row>
    <row r="64">
      <c r="P64" s="259"/>
      <c r="Q64" s="260"/>
    </row>
    <row r="65">
      <c r="P65" s="259"/>
      <c r="Q65" s="260"/>
    </row>
    <row r="66">
      <c r="P66" s="259"/>
      <c r="Q66" s="260"/>
    </row>
    <row r="67">
      <c r="P67" s="259"/>
      <c r="Q67" s="260"/>
    </row>
    <row r="68">
      <c r="P68" s="259"/>
      <c r="Q68" s="260"/>
    </row>
    <row r="69">
      <c r="P69" s="259"/>
      <c r="Q69" s="260"/>
    </row>
    <row r="70">
      <c r="P70" s="259"/>
      <c r="Q70" s="260"/>
    </row>
    <row r="71">
      <c r="P71" s="259"/>
      <c r="Q71" s="260"/>
    </row>
    <row r="72">
      <c r="P72" s="259"/>
      <c r="Q72" s="260"/>
    </row>
    <row r="73">
      <c r="P73" s="259"/>
      <c r="Q73" s="260"/>
    </row>
    <row r="74">
      <c r="P74" s="259"/>
      <c r="Q74" s="260"/>
    </row>
    <row r="75">
      <c r="P75" s="259"/>
      <c r="Q75" s="260"/>
    </row>
    <row r="76">
      <c r="P76" s="259"/>
      <c r="Q76" s="260"/>
    </row>
    <row r="77">
      <c r="P77" s="259"/>
      <c r="Q77" s="260"/>
    </row>
    <row r="78">
      <c r="P78" s="259"/>
      <c r="Q78" s="260"/>
    </row>
    <row r="79">
      <c r="P79" s="259"/>
      <c r="Q79" s="260"/>
    </row>
    <row r="80">
      <c r="P80" s="259"/>
      <c r="Q80" s="260"/>
    </row>
    <row r="81">
      <c r="P81" s="259"/>
      <c r="Q81" s="260"/>
    </row>
    <row r="82">
      <c r="P82" s="259"/>
      <c r="Q82" s="260"/>
    </row>
    <row r="83">
      <c r="P83" s="259"/>
      <c r="Q83" s="260"/>
    </row>
    <row r="84">
      <c r="P84" s="259"/>
      <c r="Q84" s="260"/>
    </row>
    <row r="85">
      <c r="P85" s="259"/>
      <c r="Q85" s="260"/>
    </row>
    <row r="86">
      <c r="P86" s="259"/>
      <c r="Q86" s="260"/>
    </row>
    <row r="87">
      <c r="P87" s="259"/>
      <c r="Q87" s="260"/>
    </row>
    <row r="88">
      <c r="P88" s="259"/>
      <c r="Q88" s="260"/>
    </row>
    <row r="89">
      <c r="P89" s="259"/>
      <c r="Q89" s="260"/>
    </row>
    <row r="90">
      <c r="P90" s="259"/>
      <c r="Q90" s="260"/>
    </row>
    <row r="91">
      <c r="P91" s="259"/>
      <c r="Q91" s="260"/>
    </row>
    <row r="92">
      <c r="P92" s="259"/>
      <c r="Q92" s="260"/>
    </row>
    <row r="93">
      <c r="P93" s="259"/>
      <c r="Q93" s="260"/>
    </row>
    <row r="94">
      <c r="P94" s="259"/>
      <c r="Q94" s="260"/>
    </row>
    <row r="95">
      <c r="P95" s="259"/>
      <c r="Q95" s="260"/>
    </row>
    <row r="96">
      <c r="P96" s="259"/>
      <c r="Q96" s="260"/>
    </row>
    <row r="97">
      <c r="P97" s="259"/>
      <c r="Q97" s="260"/>
    </row>
    <row r="98">
      <c r="P98" s="259"/>
      <c r="Q98" s="260"/>
    </row>
    <row r="99">
      <c r="P99" s="259"/>
      <c r="Q99" s="260"/>
    </row>
    <row r="100">
      <c r="P100" s="259"/>
      <c r="Q100" s="260"/>
    </row>
    <row r="101">
      <c r="P101" s="259"/>
      <c r="Q101" s="260"/>
    </row>
    <row r="102">
      <c r="P102" s="259"/>
      <c r="Q102" s="260"/>
    </row>
    <row r="103">
      <c r="P103" s="259"/>
      <c r="Q103" s="260"/>
    </row>
    <row r="104">
      <c r="P104" s="259"/>
      <c r="Q104" s="260"/>
    </row>
    <row r="105">
      <c r="P105" s="259"/>
      <c r="Q105" s="260"/>
    </row>
    <row r="106">
      <c r="P106" s="259"/>
      <c r="Q106" s="260"/>
    </row>
    <row r="107">
      <c r="P107" s="259"/>
      <c r="Q107" s="260"/>
    </row>
    <row r="108">
      <c r="P108" s="259"/>
      <c r="Q108" s="260"/>
    </row>
    <row r="109">
      <c r="P109" s="259"/>
      <c r="Q109" s="260"/>
    </row>
    <row r="110">
      <c r="P110" s="259"/>
      <c r="Q110" s="260"/>
    </row>
    <row r="111">
      <c r="P111" s="259"/>
      <c r="Q111" s="260"/>
    </row>
    <row r="112">
      <c r="P112" s="259"/>
      <c r="Q112" s="260"/>
    </row>
    <row r="113">
      <c r="P113" s="259"/>
      <c r="Q113" s="260"/>
    </row>
    <row r="114">
      <c r="P114" s="259"/>
      <c r="Q114" s="260"/>
    </row>
    <row r="115">
      <c r="P115" s="259"/>
      <c r="Q115" s="260"/>
    </row>
    <row r="116">
      <c r="P116" s="259"/>
      <c r="Q116" s="260"/>
    </row>
    <row r="117">
      <c r="P117" s="259"/>
      <c r="Q117" s="260"/>
    </row>
    <row r="118">
      <c r="P118" s="259"/>
      <c r="Q118" s="260"/>
    </row>
    <row r="119">
      <c r="P119" s="259"/>
      <c r="Q119" s="260"/>
    </row>
    <row r="120">
      <c r="P120" s="259"/>
      <c r="Q120" s="260"/>
    </row>
    <row r="121">
      <c r="P121" s="259"/>
      <c r="Q121" s="260"/>
    </row>
    <row r="122">
      <c r="P122" s="259"/>
      <c r="Q122" s="260"/>
    </row>
    <row r="123">
      <c r="P123" s="259"/>
      <c r="Q123" s="260"/>
    </row>
    <row r="124">
      <c r="P124" s="259"/>
      <c r="Q124" s="260"/>
    </row>
    <row r="125">
      <c r="P125" s="259"/>
      <c r="Q125" s="260"/>
    </row>
    <row r="126">
      <c r="P126" s="259"/>
      <c r="Q126" s="260"/>
    </row>
    <row r="127">
      <c r="P127" s="259"/>
      <c r="Q127" s="260"/>
    </row>
    <row r="128">
      <c r="P128" s="259"/>
      <c r="Q128" s="260"/>
    </row>
    <row r="129">
      <c r="P129" s="259"/>
      <c r="Q129" s="260"/>
    </row>
    <row r="130">
      <c r="P130" s="259"/>
      <c r="Q130" s="260"/>
    </row>
    <row r="131">
      <c r="P131" s="259"/>
      <c r="Q131" s="260"/>
    </row>
    <row r="132">
      <c r="P132" s="259"/>
      <c r="Q132" s="260"/>
    </row>
    <row r="133">
      <c r="P133" s="259"/>
      <c r="Q133" s="260"/>
    </row>
    <row r="134">
      <c r="P134" s="259"/>
      <c r="Q134" s="260"/>
    </row>
    <row r="135">
      <c r="P135" s="259"/>
      <c r="Q135" s="260"/>
    </row>
    <row r="136">
      <c r="P136" s="259"/>
      <c r="Q136" s="260"/>
    </row>
    <row r="137">
      <c r="P137" s="259"/>
      <c r="Q137" s="260"/>
    </row>
    <row r="138">
      <c r="P138" s="259"/>
      <c r="Q138" s="260"/>
    </row>
    <row r="139">
      <c r="P139" s="259"/>
      <c r="Q139" s="260"/>
    </row>
    <row r="140">
      <c r="P140" s="259"/>
      <c r="Q140" s="260"/>
    </row>
    <row r="141">
      <c r="P141" s="259"/>
      <c r="Q141" s="260"/>
    </row>
    <row r="142">
      <c r="P142" s="259"/>
      <c r="Q142" s="260"/>
    </row>
    <row r="143">
      <c r="P143" s="259"/>
      <c r="Q143" s="260"/>
    </row>
    <row r="144">
      <c r="P144" s="259"/>
      <c r="Q144" s="260"/>
    </row>
    <row r="145">
      <c r="P145" s="259"/>
      <c r="Q145" s="260"/>
    </row>
    <row r="146">
      <c r="P146" s="259"/>
      <c r="Q146" s="260"/>
    </row>
    <row r="147">
      <c r="P147" s="259"/>
      <c r="Q147" s="260"/>
    </row>
    <row r="148">
      <c r="P148" s="259"/>
      <c r="Q148" s="260"/>
    </row>
    <row r="149">
      <c r="P149" s="259"/>
      <c r="Q149" s="260"/>
    </row>
    <row r="150">
      <c r="P150" s="259"/>
      <c r="Q150" s="260"/>
    </row>
    <row r="151">
      <c r="P151" s="259"/>
      <c r="Q151" s="260"/>
    </row>
    <row r="152">
      <c r="P152" s="259"/>
      <c r="Q152" s="260"/>
    </row>
    <row r="153">
      <c r="P153" s="259"/>
      <c r="Q153" s="260"/>
    </row>
    <row r="154">
      <c r="P154" s="259"/>
      <c r="Q154" s="260"/>
    </row>
    <row r="155">
      <c r="P155" s="259"/>
      <c r="Q155" s="260"/>
    </row>
    <row r="156">
      <c r="P156" s="259"/>
      <c r="Q156" s="260"/>
    </row>
    <row r="157">
      <c r="P157" s="259"/>
      <c r="Q157" s="260"/>
    </row>
    <row r="158">
      <c r="P158" s="259"/>
      <c r="Q158" s="260"/>
    </row>
    <row r="159">
      <c r="P159" s="259"/>
      <c r="Q159" s="260"/>
    </row>
    <row r="160">
      <c r="P160" s="259"/>
      <c r="Q160" s="260"/>
    </row>
    <row r="161">
      <c r="P161" s="259"/>
      <c r="Q161" s="260"/>
    </row>
    <row r="162">
      <c r="P162" s="259"/>
      <c r="Q162" s="260"/>
    </row>
    <row r="163">
      <c r="P163" s="259"/>
      <c r="Q163" s="260"/>
    </row>
    <row r="164">
      <c r="P164" s="259"/>
      <c r="Q164" s="260"/>
    </row>
    <row r="165">
      <c r="P165" s="259"/>
      <c r="Q165" s="260"/>
    </row>
    <row r="166">
      <c r="P166" s="259"/>
      <c r="Q166" s="260"/>
    </row>
    <row r="167">
      <c r="P167" s="259"/>
      <c r="Q167" s="260"/>
    </row>
    <row r="168">
      <c r="P168" s="259"/>
      <c r="Q168" s="260"/>
    </row>
    <row r="169">
      <c r="P169" s="259"/>
      <c r="Q169" s="260"/>
    </row>
    <row r="170">
      <c r="P170" s="259"/>
      <c r="Q170" s="260"/>
    </row>
    <row r="171">
      <c r="P171" s="259"/>
      <c r="Q171" s="260"/>
    </row>
    <row r="172">
      <c r="P172" s="259"/>
      <c r="Q172" s="260"/>
    </row>
    <row r="173">
      <c r="P173" s="259"/>
      <c r="Q173" s="260"/>
    </row>
    <row r="174">
      <c r="P174" s="259"/>
      <c r="Q174" s="260"/>
    </row>
    <row r="175">
      <c r="P175" s="259"/>
      <c r="Q175" s="260"/>
    </row>
    <row r="176">
      <c r="P176" s="259"/>
      <c r="Q176" s="260"/>
    </row>
    <row r="177">
      <c r="P177" s="259"/>
      <c r="Q177" s="260"/>
    </row>
    <row r="178">
      <c r="P178" s="259"/>
      <c r="Q178" s="260"/>
    </row>
    <row r="179">
      <c r="P179" s="259"/>
      <c r="Q179" s="260"/>
    </row>
    <row r="180">
      <c r="P180" s="259"/>
      <c r="Q180" s="260"/>
    </row>
    <row r="181">
      <c r="P181" s="259"/>
      <c r="Q181" s="260"/>
    </row>
    <row r="182">
      <c r="P182" s="259"/>
      <c r="Q182" s="260"/>
    </row>
    <row r="183">
      <c r="P183" s="259"/>
      <c r="Q183" s="260"/>
    </row>
    <row r="184">
      <c r="P184" s="259"/>
      <c r="Q184" s="260"/>
    </row>
    <row r="185">
      <c r="P185" s="259"/>
      <c r="Q185" s="260"/>
    </row>
    <row r="186">
      <c r="P186" s="259"/>
      <c r="Q186" s="260"/>
    </row>
    <row r="187">
      <c r="P187" s="259"/>
      <c r="Q187" s="260"/>
    </row>
    <row r="188">
      <c r="P188" s="259"/>
      <c r="Q188" s="260"/>
    </row>
    <row r="189">
      <c r="P189" s="259"/>
      <c r="Q189" s="260"/>
    </row>
    <row r="190">
      <c r="P190" s="259"/>
      <c r="Q190" s="260"/>
    </row>
    <row r="191">
      <c r="P191" s="259"/>
      <c r="Q191" s="260"/>
    </row>
    <row r="192">
      <c r="P192" s="259"/>
      <c r="Q192" s="260"/>
    </row>
    <row r="193">
      <c r="P193" s="259"/>
      <c r="Q193" s="260"/>
    </row>
    <row r="194">
      <c r="P194" s="259"/>
      <c r="Q194" s="260"/>
    </row>
    <row r="195">
      <c r="P195" s="259"/>
      <c r="Q195" s="260"/>
    </row>
    <row r="196">
      <c r="P196" s="259"/>
      <c r="Q196" s="260"/>
    </row>
    <row r="197">
      <c r="P197" s="259"/>
      <c r="Q197" s="260"/>
    </row>
    <row r="198">
      <c r="P198" s="259"/>
      <c r="Q198" s="260"/>
    </row>
    <row r="199">
      <c r="P199" s="259"/>
      <c r="Q199" s="260"/>
    </row>
    <row r="200">
      <c r="P200" s="259"/>
      <c r="Q200" s="260"/>
    </row>
    <row r="201">
      <c r="P201" s="259"/>
      <c r="Q201" s="260"/>
    </row>
    <row r="202">
      <c r="P202" s="259"/>
      <c r="Q202" s="260"/>
    </row>
    <row r="203">
      <c r="P203" s="259"/>
      <c r="Q203" s="260"/>
    </row>
    <row r="204">
      <c r="P204" s="259"/>
      <c r="Q204" s="260"/>
    </row>
    <row r="205">
      <c r="P205" s="259"/>
      <c r="Q205" s="260"/>
    </row>
    <row r="206">
      <c r="P206" s="259"/>
      <c r="Q206" s="260"/>
    </row>
    <row r="207">
      <c r="P207" s="259"/>
      <c r="Q207" s="260"/>
    </row>
    <row r="208">
      <c r="P208" s="259"/>
      <c r="Q208" s="260"/>
    </row>
    <row r="209">
      <c r="P209" s="259"/>
      <c r="Q209" s="260"/>
    </row>
    <row r="210">
      <c r="P210" s="259"/>
      <c r="Q210" s="260"/>
    </row>
    <row r="211">
      <c r="P211" s="259"/>
      <c r="Q211" s="260"/>
    </row>
    <row r="212">
      <c r="P212" s="259"/>
      <c r="Q212" s="260"/>
    </row>
    <row r="213">
      <c r="P213" s="259"/>
      <c r="Q213" s="260"/>
    </row>
    <row r="214">
      <c r="P214" s="259"/>
      <c r="Q214" s="260"/>
    </row>
    <row r="215">
      <c r="P215" s="259"/>
      <c r="Q215" s="260"/>
    </row>
    <row r="216">
      <c r="P216" s="259"/>
      <c r="Q216" s="260"/>
    </row>
    <row r="217">
      <c r="P217" s="259"/>
      <c r="Q217" s="260"/>
    </row>
    <row r="218">
      <c r="P218" s="259"/>
      <c r="Q218" s="260"/>
    </row>
    <row r="219">
      <c r="P219" s="259"/>
      <c r="Q219" s="260"/>
    </row>
    <row r="220">
      <c r="P220" s="259"/>
      <c r="Q220" s="260"/>
    </row>
    <row r="221">
      <c r="P221" s="259"/>
      <c r="Q221" s="260"/>
    </row>
    <row r="222">
      <c r="P222" s="259"/>
      <c r="Q222" s="260"/>
    </row>
    <row r="223">
      <c r="P223" s="259"/>
      <c r="Q223" s="260"/>
    </row>
    <row r="224">
      <c r="P224" s="259"/>
      <c r="Q224" s="260"/>
    </row>
    <row r="225">
      <c r="P225" s="259"/>
      <c r="Q225" s="260"/>
    </row>
    <row r="226">
      <c r="P226" s="259"/>
      <c r="Q226" s="260"/>
    </row>
    <row r="227">
      <c r="P227" s="259"/>
      <c r="Q227" s="260"/>
    </row>
    <row r="228">
      <c r="P228" s="259"/>
      <c r="Q228" s="260"/>
    </row>
    <row r="229">
      <c r="P229" s="259"/>
      <c r="Q229" s="260"/>
    </row>
    <row r="230">
      <c r="P230" s="259"/>
      <c r="Q230" s="260"/>
    </row>
    <row r="231">
      <c r="P231" s="259"/>
      <c r="Q231" s="260"/>
    </row>
    <row r="232">
      <c r="P232" s="259"/>
      <c r="Q232" s="260"/>
    </row>
    <row r="233">
      <c r="P233" s="259"/>
      <c r="Q233" s="260"/>
    </row>
    <row r="234">
      <c r="P234" s="259"/>
      <c r="Q234" s="260"/>
    </row>
    <row r="235">
      <c r="P235" s="259"/>
      <c r="Q235" s="260"/>
    </row>
    <row r="236">
      <c r="P236" s="259"/>
      <c r="Q236" s="260"/>
    </row>
    <row r="237">
      <c r="P237" s="259"/>
      <c r="Q237" s="260"/>
    </row>
    <row r="238">
      <c r="P238" s="259"/>
      <c r="Q238" s="260"/>
    </row>
    <row r="239">
      <c r="P239" s="259"/>
      <c r="Q239" s="260"/>
    </row>
    <row r="240">
      <c r="P240" s="259"/>
      <c r="Q240" s="260"/>
    </row>
    <row r="241">
      <c r="P241" s="259"/>
      <c r="Q241" s="260"/>
    </row>
    <row r="242">
      <c r="P242" s="259"/>
      <c r="Q242" s="260"/>
    </row>
    <row r="243">
      <c r="P243" s="259"/>
      <c r="Q243" s="260"/>
    </row>
    <row r="244">
      <c r="P244" s="259"/>
      <c r="Q244" s="260"/>
    </row>
    <row r="245">
      <c r="P245" s="259"/>
      <c r="Q245" s="260"/>
    </row>
    <row r="246">
      <c r="P246" s="259"/>
      <c r="Q246" s="260"/>
    </row>
    <row r="247">
      <c r="P247" s="259"/>
      <c r="Q247" s="260"/>
    </row>
    <row r="248">
      <c r="P248" s="259"/>
      <c r="Q248" s="260"/>
    </row>
    <row r="249">
      <c r="P249" s="259"/>
      <c r="Q249" s="260"/>
    </row>
    <row r="250">
      <c r="P250" s="259"/>
      <c r="Q250" s="260"/>
    </row>
    <row r="251">
      <c r="P251" s="259"/>
      <c r="Q251" s="260"/>
    </row>
    <row r="252">
      <c r="P252" s="259"/>
      <c r="Q252" s="260"/>
    </row>
    <row r="253">
      <c r="P253" s="259"/>
      <c r="Q253" s="260"/>
    </row>
    <row r="254">
      <c r="P254" s="259"/>
      <c r="Q254" s="260"/>
    </row>
    <row r="255">
      <c r="P255" s="259"/>
      <c r="Q255" s="260"/>
    </row>
    <row r="256">
      <c r="P256" s="259"/>
      <c r="Q256" s="260"/>
    </row>
    <row r="257">
      <c r="P257" s="259"/>
      <c r="Q257" s="260"/>
    </row>
    <row r="258">
      <c r="P258" s="259"/>
      <c r="Q258" s="260"/>
    </row>
    <row r="259">
      <c r="P259" s="259"/>
      <c r="Q259" s="260"/>
    </row>
    <row r="260">
      <c r="P260" s="259"/>
      <c r="Q260" s="260"/>
    </row>
    <row r="261">
      <c r="P261" s="259"/>
      <c r="Q261" s="260"/>
    </row>
    <row r="262">
      <c r="P262" s="259"/>
      <c r="Q262" s="260"/>
    </row>
    <row r="263">
      <c r="P263" s="259"/>
      <c r="Q263" s="260"/>
    </row>
    <row r="264">
      <c r="P264" s="259"/>
      <c r="Q264" s="260"/>
    </row>
    <row r="265">
      <c r="P265" s="259"/>
      <c r="Q265" s="260"/>
    </row>
    <row r="266">
      <c r="P266" s="259"/>
      <c r="Q266" s="260"/>
    </row>
    <row r="267">
      <c r="P267" s="259"/>
      <c r="Q267" s="260"/>
    </row>
    <row r="268">
      <c r="P268" s="259"/>
      <c r="Q268" s="260"/>
    </row>
    <row r="269">
      <c r="P269" s="259"/>
      <c r="Q269" s="260"/>
    </row>
    <row r="270">
      <c r="P270" s="259"/>
      <c r="Q270" s="260"/>
    </row>
    <row r="271">
      <c r="P271" s="259"/>
      <c r="Q271" s="260"/>
    </row>
    <row r="272">
      <c r="P272" s="259"/>
      <c r="Q272" s="260"/>
    </row>
    <row r="273">
      <c r="P273" s="259"/>
      <c r="Q273" s="260"/>
    </row>
    <row r="274">
      <c r="P274" s="259"/>
      <c r="Q274" s="260"/>
    </row>
    <row r="275">
      <c r="P275" s="259"/>
      <c r="Q275" s="260"/>
    </row>
    <row r="276">
      <c r="P276" s="259"/>
      <c r="Q276" s="260"/>
    </row>
    <row r="277">
      <c r="P277" s="259"/>
      <c r="Q277" s="260"/>
    </row>
    <row r="278">
      <c r="P278" s="259"/>
      <c r="Q278" s="260"/>
    </row>
    <row r="279">
      <c r="P279" s="259"/>
      <c r="Q279" s="260"/>
    </row>
    <row r="280">
      <c r="P280" s="259"/>
      <c r="Q280" s="260"/>
    </row>
    <row r="281">
      <c r="P281" s="259"/>
      <c r="Q281" s="260"/>
    </row>
    <row r="282">
      <c r="P282" s="259"/>
      <c r="Q282" s="260"/>
    </row>
    <row r="283">
      <c r="P283" s="259"/>
      <c r="Q283" s="260"/>
    </row>
    <row r="284">
      <c r="P284" s="259"/>
      <c r="Q284" s="260"/>
    </row>
    <row r="285">
      <c r="P285" s="259"/>
      <c r="Q285" s="260"/>
    </row>
    <row r="286">
      <c r="P286" s="259"/>
      <c r="Q286" s="260"/>
    </row>
    <row r="287">
      <c r="P287" s="259"/>
      <c r="Q287" s="260"/>
    </row>
    <row r="288">
      <c r="P288" s="259"/>
      <c r="Q288" s="260"/>
    </row>
    <row r="289">
      <c r="P289" s="259"/>
      <c r="Q289" s="260"/>
    </row>
    <row r="290">
      <c r="P290" s="259"/>
      <c r="Q290" s="260"/>
    </row>
    <row r="291">
      <c r="P291" s="259"/>
      <c r="Q291" s="260"/>
    </row>
    <row r="292">
      <c r="P292" s="259"/>
      <c r="Q292" s="260"/>
    </row>
    <row r="293">
      <c r="P293" s="259"/>
      <c r="Q293" s="260"/>
    </row>
    <row r="294">
      <c r="P294" s="259"/>
      <c r="Q294" s="260"/>
    </row>
    <row r="295">
      <c r="P295" s="259"/>
      <c r="Q295" s="260"/>
    </row>
    <row r="296">
      <c r="P296" s="259"/>
      <c r="Q296" s="260"/>
    </row>
    <row r="297">
      <c r="P297" s="259"/>
      <c r="Q297" s="260"/>
    </row>
    <row r="298">
      <c r="P298" s="259"/>
      <c r="Q298" s="260"/>
    </row>
    <row r="299">
      <c r="P299" s="259"/>
      <c r="Q299" s="260"/>
    </row>
    <row r="300">
      <c r="P300" s="259"/>
      <c r="Q300" s="260"/>
    </row>
    <row r="301">
      <c r="P301" s="259"/>
      <c r="Q301" s="260"/>
    </row>
    <row r="302">
      <c r="P302" s="259"/>
      <c r="Q302" s="260"/>
    </row>
    <row r="303">
      <c r="P303" s="259"/>
      <c r="Q303" s="260"/>
    </row>
    <row r="304">
      <c r="P304" s="259"/>
      <c r="Q304" s="260"/>
    </row>
    <row r="305">
      <c r="P305" s="259"/>
      <c r="Q305" s="260"/>
    </row>
    <row r="306">
      <c r="P306" s="259"/>
      <c r="Q306" s="260"/>
    </row>
    <row r="307">
      <c r="P307" s="259"/>
      <c r="Q307" s="260"/>
    </row>
    <row r="308">
      <c r="P308" s="259"/>
      <c r="Q308" s="260"/>
    </row>
    <row r="309">
      <c r="P309" s="259"/>
      <c r="Q309" s="260"/>
    </row>
    <row r="310">
      <c r="P310" s="259"/>
      <c r="Q310" s="260"/>
    </row>
    <row r="311">
      <c r="P311" s="259"/>
      <c r="Q311" s="260"/>
    </row>
    <row r="312">
      <c r="P312" s="259"/>
      <c r="Q312" s="260"/>
    </row>
    <row r="313">
      <c r="P313" s="259"/>
      <c r="Q313" s="260"/>
    </row>
    <row r="314">
      <c r="P314" s="259"/>
      <c r="Q314" s="260"/>
    </row>
    <row r="315">
      <c r="P315" s="259"/>
      <c r="Q315" s="260"/>
    </row>
    <row r="316">
      <c r="P316" s="259"/>
      <c r="Q316" s="260"/>
    </row>
    <row r="317">
      <c r="P317" s="259"/>
      <c r="Q317" s="260"/>
    </row>
    <row r="318">
      <c r="P318" s="259"/>
      <c r="Q318" s="260"/>
    </row>
    <row r="319">
      <c r="P319" s="259"/>
      <c r="Q319" s="260"/>
    </row>
    <row r="320">
      <c r="P320" s="259"/>
      <c r="Q320" s="260"/>
    </row>
    <row r="321">
      <c r="P321" s="259"/>
      <c r="Q321" s="260"/>
    </row>
    <row r="322">
      <c r="P322" s="259"/>
      <c r="Q322" s="260"/>
    </row>
    <row r="323">
      <c r="P323" s="259"/>
      <c r="Q323" s="260"/>
    </row>
    <row r="324">
      <c r="P324" s="259"/>
      <c r="Q324" s="260"/>
    </row>
    <row r="325">
      <c r="P325" s="259"/>
      <c r="Q325" s="260"/>
    </row>
    <row r="326">
      <c r="P326" s="259"/>
      <c r="Q326" s="260"/>
    </row>
    <row r="327">
      <c r="P327" s="259"/>
      <c r="Q327" s="260"/>
    </row>
    <row r="328">
      <c r="P328" s="259"/>
      <c r="Q328" s="260"/>
    </row>
    <row r="329">
      <c r="P329" s="259"/>
      <c r="Q329" s="260"/>
    </row>
    <row r="330">
      <c r="P330" s="259"/>
      <c r="Q330" s="260"/>
    </row>
    <row r="331">
      <c r="P331" s="259"/>
      <c r="Q331" s="260"/>
    </row>
    <row r="332">
      <c r="P332" s="259"/>
      <c r="Q332" s="260"/>
    </row>
    <row r="333">
      <c r="P333" s="259"/>
      <c r="Q333" s="260"/>
    </row>
    <row r="334">
      <c r="P334" s="259"/>
      <c r="Q334" s="260"/>
    </row>
    <row r="335">
      <c r="P335" s="259"/>
      <c r="Q335" s="260"/>
    </row>
    <row r="336">
      <c r="P336" s="259"/>
      <c r="Q336" s="260"/>
    </row>
    <row r="337">
      <c r="P337" s="259"/>
      <c r="Q337" s="260"/>
    </row>
    <row r="338">
      <c r="P338" s="259"/>
      <c r="Q338" s="260"/>
    </row>
    <row r="339">
      <c r="P339" s="259"/>
      <c r="Q339" s="260"/>
    </row>
    <row r="340">
      <c r="P340" s="259"/>
      <c r="Q340" s="260"/>
    </row>
    <row r="341">
      <c r="P341" s="259"/>
      <c r="Q341" s="260"/>
    </row>
    <row r="342">
      <c r="P342" s="259"/>
      <c r="Q342" s="260"/>
    </row>
    <row r="343">
      <c r="P343" s="259"/>
      <c r="Q343" s="260"/>
    </row>
    <row r="344">
      <c r="P344" s="259"/>
      <c r="Q344" s="260"/>
    </row>
    <row r="345">
      <c r="P345" s="259"/>
      <c r="Q345" s="260"/>
    </row>
    <row r="346">
      <c r="P346" s="259"/>
      <c r="Q346" s="260"/>
    </row>
    <row r="347">
      <c r="P347" s="259"/>
      <c r="Q347" s="260"/>
    </row>
    <row r="348">
      <c r="P348" s="259"/>
      <c r="Q348" s="260"/>
    </row>
    <row r="349">
      <c r="P349" s="259"/>
      <c r="Q349" s="260"/>
    </row>
    <row r="350">
      <c r="P350" s="259"/>
      <c r="Q350" s="260"/>
    </row>
    <row r="351">
      <c r="P351" s="259"/>
      <c r="Q351" s="260"/>
    </row>
    <row r="352">
      <c r="P352" s="259"/>
      <c r="Q352" s="260"/>
    </row>
    <row r="353">
      <c r="P353" s="259"/>
      <c r="Q353" s="260"/>
    </row>
    <row r="354">
      <c r="P354" s="259"/>
      <c r="Q354" s="260"/>
    </row>
    <row r="355">
      <c r="P355" s="259"/>
      <c r="Q355" s="260"/>
    </row>
    <row r="356">
      <c r="P356" s="259"/>
      <c r="Q356" s="260"/>
    </row>
    <row r="357">
      <c r="P357" s="259"/>
      <c r="Q357" s="260"/>
    </row>
    <row r="358">
      <c r="P358" s="259"/>
      <c r="Q358" s="260"/>
    </row>
    <row r="359">
      <c r="P359" s="259"/>
      <c r="Q359" s="260"/>
    </row>
    <row r="360">
      <c r="P360" s="259"/>
      <c r="Q360" s="260"/>
    </row>
    <row r="361">
      <c r="P361" s="259"/>
      <c r="Q361" s="260"/>
    </row>
    <row r="362">
      <c r="P362" s="259"/>
      <c r="Q362" s="260"/>
    </row>
    <row r="363">
      <c r="P363" s="259"/>
      <c r="Q363" s="260"/>
    </row>
    <row r="364">
      <c r="P364" s="259"/>
      <c r="Q364" s="260"/>
    </row>
    <row r="365">
      <c r="P365" s="259"/>
      <c r="Q365" s="260"/>
    </row>
    <row r="366">
      <c r="P366" s="259"/>
      <c r="Q366" s="260"/>
    </row>
    <row r="367">
      <c r="P367" s="259"/>
      <c r="Q367" s="260"/>
    </row>
    <row r="368">
      <c r="P368" s="259"/>
      <c r="Q368" s="260"/>
    </row>
    <row r="369">
      <c r="P369" s="259"/>
      <c r="Q369" s="260"/>
    </row>
    <row r="370">
      <c r="P370" s="259"/>
      <c r="Q370" s="260"/>
    </row>
    <row r="371">
      <c r="P371" s="259"/>
      <c r="Q371" s="260"/>
    </row>
    <row r="372">
      <c r="P372" s="259"/>
      <c r="Q372" s="260"/>
    </row>
    <row r="373">
      <c r="P373" s="259"/>
      <c r="Q373" s="260"/>
    </row>
    <row r="374">
      <c r="P374" s="259"/>
      <c r="Q374" s="260"/>
    </row>
    <row r="375">
      <c r="P375" s="259"/>
      <c r="Q375" s="260"/>
    </row>
    <row r="376">
      <c r="P376" s="259"/>
      <c r="Q376" s="260"/>
    </row>
    <row r="377">
      <c r="P377" s="259"/>
      <c r="Q377" s="260"/>
    </row>
    <row r="378">
      <c r="P378" s="259"/>
      <c r="Q378" s="260"/>
    </row>
    <row r="379">
      <c r="P379" s="259"/>
      <c r="Q379" s="260"/>
    </row>
    <row r="380">
      <c r="P380" s="259"/>
      <c r="Q380" s="260"/>
    </row>
    <row r="381">
      <c r="P381" s="259"/>
      <c r="Q381" s="260"/>
    </row>
    <row r="382">
      <c r="P382" s="259"/>
      <c r="Q382" s="260"/>
    </row>
    <row r="383">
      <c r="P383" s="259"/>
      <c r="Q383" s="260"/>
    </row>
    <row r="384">
      <c r="P384" s="259"/>
      <c r="Q384" s="260"/>
    </row>
    <row r="385">
      <c r="P385" s="259"/>
      <c r="Q385" s="260"/>
    </row>
    <row r="386">
      <c r="P386" s="259"/>
      <c r="Q386" s="260"/>
    </row>
    <row r="387">
      <c r="P387" s="259"/>
      <c r="Q387" s="260"/>
    </row>
    <row r="388">
      <c r="P388" s="259"/>
      <c r="Q388" s="260"/>
    </row>
    <row r="389">
      <c r="P389" s="259"/>
      <c r="Q389" s="260"/>
    </row>
    <row r="390">
      <c r="P390" s="259"/>
      <c r="Q390" s="260"/>
    </row>
    <row r="391">
      <c r="P391" s="259"/>
      <c r="Q391" s="260"/>
    </row>
    <row r="392">
      <c r="P392" s="259"/>
      <c r="Q392" s="260"/>
    </row>
    <row r="393">
      <c r="P393" s="259"/>
      <c r="Q393" s="260"/>
    </row>
    <row r="394">
      <c r="P394" s="259"/>
      <c r="Q394" s="260"/>
    </row>
    <row r="395">
      <c r="P395" s="259"/>
      <c r="Q395" s="260"/>
    </row>
    <row r="396">
      <c r="P396" s="259"/>
      <c r="Q396" s="260"/>
    </row>
    <row r="397">
      <c r="P397" s="259"/>
      <c r="Q397" s="260"/>
    </row>
    <row r="398">
      <c r="P398" s="259"/>
      <c r="Q398" s="260"/>
    </row>
    <row r="399">
      <c r="P399" s="259"/>
      <c r="Q399" s="260"/>
    </row>
    <row r="400">
      <c r="P400" s="259"/>
      <c r="Q400" s="260"/>
    </row>
    <row r="401">
      <c r="P401" s="259"/>
      <c r="Q401" s="260"/>
    </row>
    <row r="402">
      <c r="P402" s="259"/>
      <c r="Q402" s="260"/>
    </row>
    <row r="403">
      <c r="P403" s="259"/>
      <c r="Q403" s="260"/>
    </row>
    <row r="404">
      <c r="P404" s="259"/>
      <c r="Q404" s="260"/>
    </row>
    <row r="405">
      <c r="P405" s="259"/>
      <c r="Q405" s="260"/>
    </row>
    <row r="406">
      <c r="P406" s="259"/>
      <c r="Q406" s="260"/>
    </row>
    <row r="407">
      <c r="P407" s="259"/>
      <c r="Q407" s="260"/>
    </row>
    <row r="408">
      <c r="P408" s="259"/>
      <c r="Q408" s="260"/>
    </row>
    <row r="409">
      <c r="P409" s="259"/>
      <c r="Q409" s="260"/>
    </row>
    <row r="410">
      <c r="P410" s="259"/>
      <c r="Q410" s="260"/>
    </row>
    <row r="411">
      <c r="P411" s="259"/>
      <c r="Q411" s="260"/>
    </row>
    <row r="412">
      <c r="P412" s="259"/>
      <c r="Q412" s="260"/>
    </row>
    <row r="413">
      <c r="P413" s="259"/>
      <c r="Q413" s="260"/>
    </row>
    <row r="414">
      <c r="P414" s="259"/>
      <c r="Q414" s="260"/>
    </row>
    <row r="415">
      <c r="P415" s="259"/>
      <c r="Q415" s="260"/>
    </row>
    <row r="416">
      <c r="P416" s="259"/>
      <c r="Q416" s="260"/>
    </row>
    <row r="417">
      <c r="P417" s="259"/>
      <c r="Q417" s="260"/>
    </row>
    <row r="418">
      <c r="P418" s="259"/>
      <c r="Q418" s="260"/>
    </row>
    <row r="419">
      <c r="P419" s="259"/>
      <c r="Q419" s="260"/>
    </row>
    <row r="420">
      <c r="P420" s="259"/>
      <c r="Q420" s="260"/>
    </row>
    <row r="421">
      <c r="P421" s="259"/>
      <c r="Q421" s="260"/>
    </row>
    <row r="422">
      <c r="P422" s="259"/>
      <c r="Q422" s="260"/>
    </row>
    <row r="423">
      <c r="P423" s="259"/>
      <c r="Q423" s="260"/>
    </row>
    <row r="424">
      <c r="P424" s="259"/>
      <c r="Q424" s="260"/>
    </row>
    <row r="425">
      <c r="P425" s="259"/>
      <c r="Q425" s="260"/>
    </row>
    <row r="426">
      <c r="P426" s="259"/>
      <c r="Q426" s="260"/>
    </row>
    <row r="427">
      <c r="P427" s="259"/>
      <c r="Q427" s="260"/>
    </row>
    <row r="428">
      <c r="P428" s="259"/>
      <c r="Q428" s="260"/>
    </row>
    <row r="429">
      <c r="P429" s="259"/>
      <c r="Q429" s="260"/>
    </row>
    <row r="430">
      <c r="P430" s="259"/>
      <c r="Q430" s="260"/>
    </row>
    <row r="431">
      <c r="P431" s="259"/>
      <c r="Q431" s="260"/>
    </row>
    <row r="432">
      <c r="P432" s="259"/>
      <c r="Q432" s="260"/>
    </row>
    <row r="433">
      <c r="P433" s="259"/>
      <c r="Q433" s="260"/>
    </row>
    <row r="434">
      <c r="P434" s="259"/>
      <c r="Q434" s="260"/>
    </row>
    <row r="435">
      <c r="P435" s="259"/>
      <c r="Q435" s="260"/>
    </row>
    <row r="436">
      <c r="P436" s="259"/>
      <c r="Q436" s="260"/>
    </row>
    <row r="437">
      <c r="P437" s="259"/>
      <c r="Q437" s="260"/>
    </row>
    <row r="438">
      <c r="P438" s="259"/>
      <c r="Q438" s="260"/>
    </row>
    <row r="439">
      <c r="P439" s="259"/>
      <c r="Q439" s="260"/>
    </row>
    <row r="440">
      <c r="P440" s="259"/>
      <c r="Q440" s="260"/>
    </row>
    <row r="441">
      <c r="P441" s="259"/>
      <c r="Q441" s="260"/>
    </row>
    <row r="442">
      <c r="P442" s="259"/>
      <c r="Q442" s="260"/>
    </row>
    <row r="443">
      <c r="P443" s="259"/>
      <c r="Q443" s="260"/>
    </row>
    <row r="444">
      <c r="P444" s="259"/>
      <c r="Q444" s="260"/>
    </row>
    <row r="445">
      <c r="P445" s="259"/>
      <c r="Q445" s="260"/>
    </row>
    <row r="446">
      <c r="P446" s="259"/>
      <c r="Q446" s="260"/>
    </row>
    <row r="447">
      <c r="P447" s="259"/>
      <c r="Q447" s="260"/>
    </row>
    <row r="448">
      <c r="P448" s="259"/>
      <c r="Q448" s="260"/>
    </row>
    <row r="449">
      <c r="P449" s="259"/>
      <c r="Q449" s="260"/>
    </row>
    <row r="450">
      <c r="P450" s="259"/>
      <c r="Q450" s="260"/>
    </row>
    <row r="451">
      <c r="P451" s="259"/>
      <c r="Q451" s="260"/>
    </row>
    <row r="452">
      <c r="P452" s="259"/>
      <c r="Q452" s="260"/>
    </row>
    <row r="453">
      <c r="P453" s="259"/>
      <c r="Q453" s="260"/>
    </row>
    <row r="454">
      <c r="P454" s="259"/>
      <c r="Q454" s="260"/>
    </row>
    <row r="455">
      <c r="P455" s="259"/>
      <c r="Q455" s="260"/>
    </row>
    <row r="456">
      <c r="P456" s="259"/>
      <c r="Q456" s="260"/>
    </row>
    <row r="457">
      <c r="P457" s="259"/>
      <c r="Q457" s="260"/>
    </row>
    <row r="458">
      <c r="P458" s="259"/>
      <c r="Q458" s="260"/>
    </row>
    <row r="459">
      <c r="P459" s="259"/>
      <c r="Q459" s="260"/>
    </row>
    <row r="460">
      <c r="P460" s="259"/>
      <c r="Q460" s="260"/>
    </row>
    <row r="461">
      <c r="P461" s="259"/>
      <c r="Q461" s="260"/>
    </row>
    <row r="462">
      <c r="P462" s="259"/>
      <c r="Q462" s="260"/>
    </row>
    <row r="463">
      <c r="P463" s="259"/>
      <c r="Q463" s="260"/>
    </row>
    <row r="464">
      <c r="P464" s="259"/>
      <c r="Q464" s="260"/>
    </row>
    <row r="465">
      <c r="P465" s="259"/>
      <c r="Q465" s="260"/>
    </row>
    <row r="466">
      <c r="P466" s="259"/>
      <c r="Q466" s="260"/>
    </row>
    <row r="467">
      <c r="P467" s="259"/>
      <c r="Q467" s="260"/>
    </row>
    <row r="468">
      <c r="P468" s="259"/>
      <c r="Q468" s="260"/>
    </row>
    <row r="469">
      <c r="P469" s="259"/>
      <c r="Q469" s="260"/>
    </row>
    <row r="470">
      <c r="P470" s="259"/>
      <c r="Q470" s="260"/>
    </row>
    <row r="471">
      <c r="P471" s="259"/>
      <c r="Q471" s="260"/>
    </row>
    <row r="472">
      <c r="P472" s="259"/>
      <c r="Q472" s="260"/>
    </row>
    <row r="473">
      <c r="P473" s="259"/>
      <c r="Q473" s="260"/>
    </row>
    <row r="474">
      <c r="P474" s="259"/>
      <c r="Q474" s="260"/>
    </row>
    <row r="475">
      <c r="P475" s="259"/>
      <c r="Q475" s="260"/>
    </row>
    <row r="476">
      <c r="P476" s="259"/>
      <c r="Q476" s="260"/>
    </row>
    <row r="477">
      <c r="P477" s="259"/>
      <c r="Q477" s="260"/>
    </row>
    <row r="478">
      <c r="P478" s="259"/>
      <c r="Q478" s="260"/>
    </row>
    <row r="479">
      <c r="P479" s="259"/>
      <c r="Q479" s="260"/>
    </row>
    <row r="480">
      <c r="P480" s="259"/>
      <c r="Q480" s="260"/>
    </row>
    <row r="481">
      <c r="P481" s="259"/>
      <c r="Q481" s="260"/>
    </row>
    <row r="482">
      <c r="P482" s="259"/>
      <c r="Q482" s="260"/>
    </row>
    <row r="483">
      <c r="P483" s="259"/>
      <c r="Q483" s="260"/>
    </row>
    <row r="484">
      <c r="P484" s="259"/>
      <c r="Q484" s="260"/>
    </row>
    <row r="485">
      <c r="P485" s="259"/>
      <c r="Q485" s="260"/>
    </row>
    <row r="486">
      <c r="P486" s="259"/>
      <c r="Q486" s="260"/>
    </row>
    <row r="487">
      <c r="P487" s="259"/>
      <c r="Q487" s="260"/>
    </row>
    <row r="488">
      <c r="P488" s="259"/>
      <c r="Q488" s="260"/>
    </row>
    <row r="489">
      <c r="P489" s="259"/>
      <c r="Q489" s="260"/>
    </row>
    <row r="490">
      <c r="P490" s="259"/>
      <c r="Q490" s="260"/>
    </row>
    <row r="491">
      <c r="P491" s="259"/>
      <c r="Q491" s="260"/>
    </row>
    <row r="492">
      <c r="P492" s="259"/>
      <c r="Q492" s="260"/>
    </row>
    <row r="493">
      <c r="P493" s="259"/>
      <c r="Q493" s="260"/>
    </row>
    <row r="494">
      <c r="P494" s="259"/>
      <c r="Q494" s="260"/>
    </row>
    <row r="495">
      <c r="P495" s="259"/>
      <c r="Q495" s="260"/>
    </row>
    <row r="496">
      <c r="P496" s="259"/>
      <c r="Q496" s="260"/>
    </row>
    <row r="497">
      <c r="P497" s="259"/>
      <c r="Q497" s="260"/>
    </row>
    <row r="498">
      <c r="P498" s="259"/>
      <c r="Q498" s="260"/>
    </row>
    <row r="499">
      <c r="P499" s="259"/>
      <c r="Q499" s="260"/>
    </row>
    <row r="500">
      <c r="P500" s="259"/>
      <c r="Q500" s="260"/>
    </row>
    <row r="501">
      <c r="P501" s="259"/>
      <c r="Q501" s="260"/>
    </row>
    <row r="502">
      <c r="P502" s="259"/>
      <c r="Q502" s="260"/>
    </row>
    <row r="503">
      <c r="P503" s="259"/>
      <c r="Q503" s="260"/>
    </row>
    <row r="504">
      <c r="P504" s="259"/>
      <c r="Q504" s="260"/>
    </row>
    <row r="505">
      <c r="P505" s="259"/>
      <c r="Q505" s="260"/>
    </row>
    <row r="506">
      <c r="P506" s="259"/>
      <c r="Q506" s="260"/>
    </row>
    <row r="507">
      <c r="P507" s="259"/>
      <c r="Q507" s="260"/>
    </row>
    <row r="508">
      <c r="P508" s="259"/>
      <c r="Q508" s="260"/>
    </row>
    <row r="509">
      <c r="P509" s="259"/>
      <c r="Q509" s="260"/>
    </row>
    <row r="510">
      <c r="P510" s="259"/>
      <c r="Q510" s="260"/>
    </row>
    <row r="511">
      <c r="P511" s="259"/>
      <c r="Q511" s="260"/>
    </row>
    <row r="512">
      <c r="P512" s="259"/>
      <c r="Q512" s="260"/>
    </row>
    <row r="513">
      <c r="P513" s="259"/>
      <c r="Q513" s="260"/>
    </row>
    <row r="514">
      <c r="P514" s="259"/>
      <c r="Q514" s="260"/>
    </row>
    <row r="515">
      <c r="P515" s="259"/>
      <c r="Q515" s="260"/>
    </row>
    <row r="516">
      <c r="P516" s="259"/>
      <c r="Q516" s="260"/>
    </row>
    <row r="517">
      <c r="P517" s="259"/>
      <c r="Q517" s="260"/>
    </row>
    <row r="518">
      <c r="P518" s="259"/>
      <c r="Q518" s="260"/>
    </row>
    <row r="519">
      <c r="P519" s="259"/>
      <c r="Q519" s="260"/>
    </row>
    <row r="520">
      <c r="P520" s="259"/>
      <c r="Q520" s="260"/>
    </row>
    <row r="521">
      <c r="P521" s="259"/>
      <c r="Q521" s="260"/>
    </row>
    <row r="522">
      <c r="P522" s="259"/>
      <c r="Q522" s="260"/>
    </row>
    <row r="523">
      <c r="P523" s="259"/>
      <c r="Q523" s="260"/>
    </row>
    <row r="524">
      <c r="P524" s="259"/>
      <c r="Q524" s="260"/>
    </row>
    <row r="525">
      <c r="P525" s="259"/>
      <c r="Q525" s="260"/>
    </row>
    <row r="526">
      <c r="P526" s="259"/>
      <c r="Q526" s="260"/>
    </row>
    <row r="527">
      <c r="P527" s="259"/>
      <c r="Q527" s="260"/>
    </row>
    <row r="528">
      <c r="P528" s="259"/>
      <c r="Q528" s="260"/>
    </row>
    <row r="529">
      <c r="P529" s="259"/>
      <c r="Q529" s="260"/>
    </row>
    <row r="530">
      <c r="P530" s="259"/>
      <c r="Q530" s="260"/>
    </row>
    <row r="531">
      <c r="P531" s="259"/>
      <c r="Q531" s="260"/>
    </row>
    <row r="532">
      <c r="P532" s="259"/>
      <c r="Q532" s="260"/>
    </row>
    <row r="533">
      <c r="P533" s="259"/>
      <c r="Q533" s="260"/>
    </row>
    <row r="534">
      <c r="P534" s="259"/>
      <c r="Q534" s="260"/>
    </row>
    <row r="535">
      <c r="P535" s="259"/>
      <c r="Q535" s="260"/>
    </row>
    <row r="536">
      <c r="P536" s="259"/>
      <c r="Q536" s="260"/>
    </row>
    <row r="537">
      <c r="P537" s="259"/>
      <c r="Q537" s="260"/>
    </row>
    <row r="538">
      <c r="P538" s="259"/>
      <c r="Q538" s="260"/>
    </row>
    <row r="539">
      <c r="P539" s="259"/>
      <c r="Q539" s="260"/>
    </row>
    <row r="540">
      <c r="P540" s="259"/>
      <c r="Q540" s="260"/>
    </row>
    <row r="541">
      <c r="P541" s="259"/>
      <c r="Q541" s="260"/>
    </row>
    <row r="542">
      <c r="P542" s="259"/>
      <c r="Q542" s="260"/>
    </row>
    <row r="543">
      <c r="P543" s="259"/>
      <c r="Q543" s="260"/>
    </row>
    <row r="544">
      <c r="P544" s="259"/>
      <c r="Q544" s="260"/>
    </row>
    <row r="545">
      <c r="P545" s="259"/>
      <c r="Q545" s="260"/>
    </row>
    <row r="546">
      <c r="P546" s="259"/>
      <c r="Q546" s="260"/>
    </row>
    <row r="547">
      <c r="P547" s="259"/>
      <c r="Q547" s="260"/>
    </row>
    <row r="548">
      <c r="P548" s="259"/>
      <c r="Q548" s="260"/>
    </row>
    <row r="549">
      <c r="P549" s="259"/>
      <c r="Q549" s="260"/>
    </row>
    <row r="550">
      <c r="P550" s="259"/>
      <c r="Q550" s="260"/>
    </row>
    <row r="551">
      <c r="P551" s="259"/>
      <c r="Q551" s="260"/>
    </row>
    <row r="552">
      <c r="P552" s="259"/>
      <c r="Q552" s="260"/>
    </row>
    <row r="553">
      <c r="P553" s="259"/>
      <c r="Q553" s="260"/>
    </row>
    <row r="554">
      <c r="P554" s="259"/>
      <c r="Q554" s="260"/>
    </row>
    <row r="555">
      <c r="P555" s="259"/>
      <c r="Q555" s="260"/>
    </row>
    <row r="556">
      <c r="P556" s="259"/>
      <c r="Q556" s="260"/>
    </row>
    <row r="557">
      <c r="P557" s="259"/>
      <c r="Q557" s="260"/>
    </row>
    <row r="558">
      <c r="P558" s="259"/>
      <c r="Q558" s="260"/>
    </row>
    <row r="559">
      <c r="P559" s="259"/>
      <c r="Q559" s="260"/>
    </row>
    <row r="560">
      <c r="P560" s="259"/>
      <c r="Q560" s="260"/>
    </row>
    <row r="561">
      <c r="P561" s="259"/>
      <c r="Q561" s="260"/>
    </row>
    <row r="562">
      <c r="P562" s="259"/>
      <c r="Q562" s="260"/>
    </row>
    <row r="563">
      <c r="P563" s="259"/>
      <c r="Q563" s="260"/>
    </row>
    <row r="564">
      <c r="P564" s="259"/>
      <c r="Q564" s="260"/>
    </row>
    <row r="565">
      <c r="P565" s="259"/>
      <c r="Q565" s="260"/>
    </row>
    <row r="566">
      <c r="P566" s="259"/>
      <c r="Q566" s="260"/>
    </row>
    <row r="567">
      <c r="P567" s="259"/>
      <c r="Q567" s="260"/>
    </row>
    <row r="568">
      <c r="P568" s="259"/>
      <c r="Q568" s="260"/>
    </row>
    <row r="569">
      <c r="P569" s="259"/>
      <c r="Q569" s="260"/>
    </row>
    <row r="570">
      <c r="P570" s="259"/>
      <c r="Q570" s="260"/>
    </row>
    <row r="571">
      <c r="P571" s="259"/>
      <c r="Q571" s="260"/>
    </row>
    <row r="572">
      <c r="P572" s="259"/>
      <c r="Q572" s="260"/>
    </row>
    <row r="573">
      <c r="P573" s="259"/>
      <c r="Q573" s="260"/>
    </row>
    <row r="574">
      <c r="P574" s="259"/>
      <c r="Q574" s="260"/>
    </row>
    <row r="575">
      <c r="P575" s="259"/>
      <c r="Q575" s="260"/>
    </row>
    <row r="576">
      <c r="P576" s="259"/>
      <c r="Q576" s="260"/>
    </row>
    <row r="577">
      <c r="P577" s="259"/>
      <c r="Q577" s="260"/>
    </row>
    <row r="578">
      <c r="P578" s="259"/>
      <c r="Q578" s="260"/>
    </row>
    <row r="579">
      <c r="P579" s="259"/>
      <c r="Q579" s="260"/>
    </row>
    <row r="580">
      <c r="P580" s="259"/>
      <c r="Q580" s="260"/>
    </row>
    <row r="581">
      <c r="P581" s="259"/>
      <c r="Q581" s="260"/>
    </row>
    <row r="582">
      <c r="P582" s="259"/>
      <c r="Q582" s="260"/>
    </row>
    <row r="583">
      <c r="P583" s="259"/>
      <c r="Q583" s="260"/>
    </row>
    <row r="584">
      <c r="P584" s="259"/>
      <c r="Q584" s="260"/>
    </row>
    <row r="585">
      <c r="P585" s="259"/>
      <c r="Q585" s="260"/>
    </row>
    <row r="586">
      <c r="P586" s="259"/>
      <c r="Q586" s="260"/>
    </row>
    <row r="587">
      <c r="P587" s="259"/>
      <c r="Q587" s="260"/>
    </row>
    <row r="588">
      <c r="P588" s="259"/>
      <c r="Q588" s="260"/>
    </row>
    <row r="589">
      <c r="P589" s="259"/>
      <c r="Q589" s="260"/>
    </row>
    <row r="590">
      <c r="P590" s="259"/>
      <c r="Q590" s="260"/>
    </row>
    <row r="591">
      <c r="P591" s="259"/>
      <c r="Q591" s="260"/>
    </row>
    <row r="592">
      <c r="P592" s="259"/>
      <c r="Q592" s="260"/>
    </row>
    <row r="593">
      <c r="P593" s="259"/>
      <c r="Q593" s="260"/>
    </row>
    <row r="594">
      <c r="P594" s="259"/>
      <c r="Q594" s="260"/>
    </row>
    <row r="595">
      <c r="P595" s="259"/>
      <c r="Q595" s="260"/>
    </row>
    <row r="596">
      <c r="P596" s="259"/>
      <c r="Q596" s="260"/>
    </row>
    <row r="597">
      <c r="P597" s="259"/>
      <c r="Q597" s="260"/>
    </row>
    <row r="598">
      <c r="P598" s="259"/>
      <c r="Q598" s="260"/>
    </row>
    <row r="599">
      <c r="P599" s="259"/>
      <c r="Q599" s="260"/>
    </row>
    <row r="600">
      <c r="P600" s="259"/>
      <c r="Q600" s="260"/>
    </row>
    <row r="601">
      <c r="P601" s="259"/>
      <c r="Q601" s="260"/>
    </row>
    <row r="602">
      <c r="P602" s="259"/>
      <c r="Q602" s="260"/>
    </row>
    <row r="603">
      <c r="P603" s="259"/>
      <c r="Q603" s="260"/>
    </row>
    <row r="604">
      <c r="P604" s="259"/>
      <c r="Q604" s="260"/>
    </row>
    <row r="605">
      <c r="P605" s="259"/>
      <c r="Q605" s="260"/>
    </row>
    <row r="606">
      <c r="P606" s="259"/>
      <c r="Q606" s="260"/>
    </row>
    <row r="607">
      <c r="P607" s="259"/>
      <c r="Q607" s="260"/>
    </row>
    <row r="608">
      <c r="P608" s="259"/>
      <c r="Q608" s="260"/>
    </row>
    <row r="609">
      <c r="P609" s="259"/>
      <c r="Q609" s="260"/>
    </row>
    <row r="610">
      <c r="P610" s="259"/>
      <c r="Q610" s="260"/>
    </row>
    <row r="611">
      <c r="P611" s="259"/>
      <c r="Q611" s="260"/>
    </row>
    <row r="612">
      <c r="P612" s="259"/>
      <c r="Q612" s="260"/>
    </row>
    <row r="613">
      <c r="P613" s="259"/>
      <c r="Q613" s="260"/>
    </row>
    <row r="614">
      <c r="P614" s="259"/>
      <c r="Q614" s="260"/>
    </row>
    <row r="615">
      <c r="P615" s="259"/>
      <c r="Q615" s="260"/>
    </row>
    <row r="616">
      <c r="P616" s="259"/>
      <c r="Q616" s="260"/>
    </row>
    <row r="617">
      <c r="P617" s="259"/>
      <c r="Q617" s="260"/>
    </row>
    <row r="618">
      <c r="P618" s="259"/>
      <c r="Q618" s="260"/>
    </row>
    <row r="619">
      <c r="P619" s="259"/>
      <c r="Q619" s="260"/>
    </row>
    <row r="620">
      <c r="P620" s="259"/>
      <c r="Q620" s="260"/>
    </row>
    <row r="621">
      <c r="P621" s="259"/>
      <c r="Q621" s="260"/>
    </row>
    <row r="622">
      <c r="P622" s="259"/>
      <c r="Q622" s="260"/>
    </row>
    <row r="623">
      <c r="P623" s="259"/>
      <c r="Q623" s="260"/>
    </row>
    <row r="624">
      <c r="P624" s="259"/>
      <c r="Q624" s="260"/>
    </row>
    <row r="625">
      <c r="P625" s="259"/>
      <c r="Q625" s="260"/>
    </row>
    <row r="626">
      <c r="P626" s="259"/>
      <c r="Q626" s="260"/>
    </row>
    <row r="627">
      <c r="P627" s="259"/>
      <c r="Q627" s="260"/>
    </row>
    <row r="628">
      <c r="P628" s="259"/>
      <c r="Q628" s="260"/>
    </row>
    <row r="629">
      <c r="P629" s="259"/>
      <c r="Q629" s="260"/>
    </row>
    <row r="630">
      <c r="P630" s="259"/>
      <c r="Q630" s="260"/>
    </row>
    <row r="631">
      <c r="P631" s="259"/>
      <c r="Q631" s="260"/>
    </row>
    <row r="632">
      <c r="P632" s="259"/>
      <c r="Q632" s="260"/>
    </row>
    <row r="633">
      <c r="P633" s="259"/>
      <c r="Q633" s="260"/>
    </row>
    <row r="634">
      <c r="P634" s="259"/>
      <c r="Q634" s="260"/>
    </row>
    <row r="635">
      <c r="P635" s="259"/>
      <c r="Q635" s="260"/>
    </row>
    <row r="636">
      <c r="P636" s="259"/>
      <c r="Q636" s="260"/>
    </row>
    <row r="637">
      <c r="P637" s="259"/>
      <c r="Q637" s="260"/>
    </row>
    <row r="638">
      <c r="P638" s="259"/>
      <c r="Q638" s="260"/>
    </row>
    <row r="639">
      <c r="P639" s="259"/>
      <c r="Q639" s="260"/>
    </row>
    <row r="640">
      <c r="P640" s="259"/>
      <c r="Q640" s="260"/>
    </row>
    <row r="641">
      <c r="P641" s="259"/>
      <c r="Q641" s="260"/>
    </row>
    <row r="642">
      <c r="P642" s="259"/>
      <c r="Q642" s="260"/>
    </row>
    <row r="643">
      <c r="P643" s="259"/>
      <c r="Q643" s="260"/>
    </row>
    <row r="644">
      <c r="P644" s="259"/>
      <c r="Q644" s="260"/>
    </row>
    <row r="645">
      <c r="P645" s="259"/>
      <c r="Q645" s="260"/>
    </row>
    <row r="646">
      <c r="P646" s="259"/>
      <c r="Q646" s="260"/>
    </row>
    <row r="647">
      <c r="P647" s="259"/>
      <c r="Q647" s="260"/>
    </row>
    <row r="648">
      <c r="P648" s="259"/>
      <c r="Q648" s="260"/>
    </row>
    <row r="649">
      <c r="P649" s="259"/>
      <c r="Q649" s="260"/>
    </row>
    <row r="650">
      <c r="P650" s="259"/>
      <c r="Q650" s="260"/>
    </row>
    <row r="651">
      <c r="P651" s="259"/>
      <c r="Q651" s="260"/>
    </row>
    <row r="652">
      <c r="P652" s="259"/>
      <c r="Q652" s="260"/>
    </row>
    <row r="653">
      <c r="P653" s="259"/>
      <c r="Q653" s="260"/>
    </row>
    <row r="654">
      <c r="P654" s="259"/>
      <c r="Q654" s="260"/>
    </row>
    <row r="655">
      <c r="P655" s="259"/>
      <c r="Q655" s="260"/>
    </row>
    <row r="656">
      <c r="P656" s="259"/>
      <c r="Q656" s="260"/>
    </row>
    <row r="657">
      <c r="P657" s="259"/>
      <c r="Q657" s="260"/>
    </row>
    <row r="658">
      <c r="P658" s="259"/>
      <c r="Q658" s="260"/>
    </row>
    <row r="659">
      <c r="P659" s="259"/>
      <c r="Q659" s="260"/>
    </row>
    <row r="660">
      <c r="P660" s="259"/>
      <c r="Q660" s="260"/>
    </row>
    <row r="661">
      <c r="P661" s="259"/>
      <c r="Q661" s="260"/>
    </row>
    <row r="662">
      <c r="P662" s="259"/>
      <c r="Q662" s="260"/>
    </row>
    <row r="663">
      <c r="P663" s="259"/>
      <c r="Q663" s="260"/>
    </row>
    <row r="664">
      <c r="P664" s="259"/>
      <c r="Q664" s="260"/>
    </row>
    <row r="665">
      <c r="P665" s="259"/>
      <c r="Q665" s="260"/>
    </row>
    <row r="666">
      <c r="P666" s="259"/>
      <c r="Q666" s="260"/>
    </row>
    <row r="667">
      <c r="P667" s="259"/>
      <c r="Q667" s="260"/>
    </row>
    <row r="668">
      <c r="P668" s="259"/>
      <c r="Q668" s="260"/>
    </row>
    <row r="669">
      <c r="P669" s="259"/>
      <c r="Q669" s="260"/>
    </row>
    <row r="670">
      <c r="P670" s="259"/>
      <c r="Q670" s="260"/>
    </row>
    <row r="671">
      <c r="P671" s="259"/>
      <c r="Q671" s="260"/>
    </row>
    <row r="672">
      <c r="P672" s="259"/>
      <c r="Q672" s="260"/>
    </row>
    <row r="673">
      <c r="P673" s="259"/>
      <c r="Q673" s="260"/>
    </row>
    <row r="674">
      <c r="P674" s="259"/>
      <c r="Q674" s="260"/>
    </row>
    <row r="675">
      <c r="P675" s="259"/>
      <c r="Q675" s="260"/>
    </row>
    <row r="676">
      <c r="P676" s="259"/>
      <c r="Q676" s="260"/>
    </row>
    <row r="677">
      <c r="P677" s="259"/>
      <c r="Q677" s="260"/>
    </row>
    <row r="678">
      <c r="P678" s="259"/>
      <c r="Q678" s="260"/>
    </row>
    <row r="679">
      <c r="P679" s="259"/>
      <c r="Q679" s="260"/>
    </row>
    <row r="680">
      <c r="P680" s="259"/>
      <c r="Q680" s="260"/>
    </row>
    <row r="681">
      <c r="P681" s="259"/>
      <c r="Q681" s="260"/>
    </row>
    <row r="682">
      <c r="P682" s="259"/>
      <c r="Q682" s="260"/>
    </row>
    <row r="683">
      <c r="P683" s="259"/>
      <c r="Q683" s="260"/>
    </row>
    <row r="684">
      <c r="P684" s="259"/>
      <c r="Q684" s="260"/>
    </row>
    <row r="685">
      <c r="P685" s="259"/>
      <c r="Q685" s="260"/>
    </row>
    <row r="686">
      <c r="P686" s="259"/>
      <c r="Q686" s="260"/>
    </row>
    <row r="687">
      <c r="P687" s="259"/>
      <c r="Q687" s="260"/>
    </row>
    <row r="688">
      <c r="P688" s="259"/>
      <c r="Q688" s="260"/>
    </row>
    <row r="689">
      <c r="P689" s="259"/>
      <c r="Q689" s="260"/>
    </row>
    <row r="690">
      <c r="P690" s="259"/>
      <c r="Q690" s="260"/>
    </row>
    <row r="691">
      <c r="P691" s="259"/>
      <c r="Q691" s="260"/>
    </row>
    <row r="692">
      <c r="P692" s="259"/>
      <c r="Q692" s="260"/>
    </row>
    <row r="693">
      <c r="P693" s="259"/>
      <c r="Q693" s="260"/>
    </row>
    <row r="694">
      <c r="P694" s="259"/>
      <c r="Q694" s="260"/>
    </row>
    <row r="695">
      <c r="P695" s="259"/>
      <c r="Q695" s="260"/>
    </row>
    <row r="696">
      <c r="P696" s="259"/>
      <c r="Q696" s="260"/>
    </row>
    <row r="697">
      <c r="P697" s="259"/>
      <c r="Q697" s="260"/>
    </row>
    <row r="698">
      <c r="P698" s="259"/>
      <c r="Q698" s="260"/>
    </row>
    <row r="699">
      <c r="P699" s="259"/>
      <c r="Q699" s="260"/>
    </row>
    <row r="700">
      <c r="P700" s="259"/>
      <c r="Q700" s="260"/>
    </row>
    <row r="701">
      <c r="P701" s="259"/>
      <c r="Q701" s="260"/>
    </row>
    <row r="702">
      <c r="P702" s="259"/>
      <c r="Q702" s="260"/>
    </row>
    <row r="703">
      <c r="P703" s="259"/>
      <c r="Q703" s="260"/>
    </row>
    <row r="704">
      <c r="P704" s="259"/>
      <c r="Q704" s="260"/>
    </row>
    <row r="705">
      <c r="P705" s="259"/>
      <c r="Q705" s="260"/>
    </row>
    <row r="706">
      <c r="P706" s="259"/>
      <c r="Q706" s="260"/>
    </row>
    <row r="707">
      <c r="P707" s="259"/>
      <c r="Q707" s="260"/>
    </row>
    <row r="708">
      <c r="P708" s="259"/>
      <c r="Q708" s="260"/>
    </row>
    <row r="709">
      <c r="P709" s="259"/>
      <c r="Q709" s="260"/>
    </row>
    <row r="710">
      <c r="P710" s="259"/>
      <c r="Q710" s="260"/>
    </row>
    <row r="711">
      <c r="P711" s="259"/>
      <c r="Q711" s="260"/>
    </row>
    <row r="712">
      <c r="P712" s="259"/>
      <c r="Q712" s="260"/>
    </row>
    <row r="713">
      <c r="P713" s="259"/>
      <c r="Q713" s="260"/>
    </row>
    <row r="714">
      <c r="P714" s="259"/>
      <c r="Q714" s="260"/>
    </row>
    <row r="715">
      <c r="P715" s="259"/>
      <c r="Q715" s="260"/>
    </row>
    <row r="716">
      <c r="P716" s="259"/>
      <c r="Q716" s="260"/>
    </row>
    <row r="717">
      <c r="P717" s="259"/>
      <c r="Q717" s="260"/>
    </row>
    <row r="718">
      <c r="P718" s="259"/>
      <c r="Q718" s="260"/>
    </row>
    <row r="719">
      <c r="P719" s="259"/>
      <c r="Q719" s="260"/>
    </row>
    <row r="720">
      <c r="P720" s="259"/>
      <c r="Q720" s="260"/>
    </row>
    <row r="721">
      <c r="P721" s="259"/>
      <c r="Q721" s="260"/>
    </row>
    <row r="722">
      <c r="P722" s="259"/>
      <c r="Q722" s="260"/>
    </row>
    <row r="723">
      <c r="P723" s="259"/>
      <c r="Q723" s="260"/>
    </row>
    <row r="724">
      <c r="P724" s="259"/>
      <c r="Q724" s="260"/>
    </row>
    <row r="725">
      <c r="P725" s="259"/>
      <c r="Q725" s="260"/>
    </row>
    <row r="726">
      <c r="P726" s="259"/>
      <c r="Q726" s="260"/>
    </row>
    <row r="727">
      <c r="P727" s="259"/>
      <c r="Q727" s="260"/>
    </row>
    <row r="728">
      <c r="P728" s="259"/>
      <c r="Q728" s="260"/>
    </row>
    <row r="729">
      <c r="P729" s="259"/>
      <c r="Q729" s="260"/>
    </row>
    <row r="730">
      <c r="P730" s="259"/>
      <c r="Q730" s="260"/>
    </row>
    <row r="731">
      <c r="P731" s="259"/>
      <c r="Q731" s="260"/>
    </row>
    <row r="732">
      <c r="P732" s="259"/>
      <c r="Q732" s="260"/>
    </row>
    <row r="733">
      <c r="P733" s="259"/>
      <c r="Q733" s="260"/>
    </row>
    <row r="734">
      <c r="P734" s="259"/>
      <c r="Q734" s="260"/>
    </row>
    <row r="735">
      <c r="P735" s="259"/>
      <c r="Q735" s="260"/>
    </row>
    <row r="736">
      <c r="P736" s="259"/>
      <c r="Q736" s="260"/>
    </row>
    <row r="737">
      <c r="P737" s="259"/>
      <c r="Q737" s="260"/>
    </row>
    <row r="738">
      <c r="P738" s="259"/>
      <c r="Q738" s="260"/>
    </row>
    <row r="739">
      <c r="P739" s="259"/>
      <c r="Q739" s="260"/>
    </row>
    <row r="740">
      <c r="P740" s="259"/>
      <c r="Q740" s="260"/>
    </row>
    <row r="741">
      <c r="P741" s="259"/>
      <c r="Q741" s="260"/>
    </row>
    <row r="742">
      <c r="P742" s="259"/>
      <c r="Q742" s="260"/>
    </row>
    <row r="743">
      <c r="P743" s="259"/>
      <c r="Q743" s="260"/>
    </row>
    <row r="744">
      <c r="P744" s="259"/>
      <c r="Q744" s="260"/>
    </row>
    <row r="745">
      <c r="P745" s="259"/>
      <c r="Q745" s="260"/>
    </row>
    <row r="746">
      <c r="P746" s="259"/>
      <c r="Q746" s="260"/>
    </row>
    <row r="747">
      <c r="P747" s="259"/>
      <c r="Q747" s="260"/>
    </row>
    <row r="748">
      <c r="P748" s="259"/>
      <c r="Q748" s="260"/>
    </row>
    <row r="749">
      <c r="P749" s="259"/>
      <c r="Q749" s="260"/>
    </row>
    <row r="750">
      <c r="P750" s="259"/>
      <c r="Q750" s="260"/>
    </row>
    <row r="751">
      <c r="P751" s="259"/>
      <c r="Q751" s="260"/>
    </row>
    <row r="752">
      <c r="P752" s="259"/>
      <c r="Q752" s="260"/>
    </row>
    <row r="753">
      <c r="P753" s="259"/>
      <c r="Q753" s="260"/>
    </row>
    <row r="754">
      <c r="P754" s="259"/>
      <c r="Q754" s="260"/>
    </row>
    <row r="755">
      <c r="P755" s="259"/>
      <c r="Q755" s="260"/>
    </row>
    <row r="756">
      <c r="P756" s="259"/>
      <c r="Q756" s="260"/>
    </row>
    <row r="757">
      <c r="P757" s="259"/>
      <c r="Q757" s="260"/>
    </row>
    <row r="758">
      <c r="P758" s="259"/>
      <c r="Q758" s="260"/>
    </row>
    <row r="759">
      <c r="P759" s="259"/>
      <c r="Q759" s="260"/>
    </row>
    <row r="760">
      <c r="P760" s="259"/>
      <c r="Q760" s="260"/>
    </row>
    <row r="761">
      <c r="P761" s="259"/>
      <c r="Q761" s="260"/>
    </row>
    <row r="762">
      <c r="P762" s="259"/>
      <c r="Q762" s="260"/>
    </row>
    <row r="763">
      <c r="P763" s="259"/>
      <c r="Q763" s="260"/>
    </row>
    <row r="764">
      <c r="P764" s="259"/>
      <c r="Q764" s="260"/>
    </row>
    <row r="765">
      <c r="P765" s="259"/>
      <c r="Q765" s="260"/>
    </row>
    <row r="766">
      <c r="P766" s="259"/>
      <c r="Q766" s="260"/>
    </row>
    <row r="767">
      <c r="P767" s="259"/>
      <c r="Q767" s="260"/>
    </row>
    <row r="768">
      <c r="P768" s="259"/>
      <c r="Q768" s="260"/>
    </row>
    <row r="769">
      <c r="P769" s="259"/>
      <c r="Q769" s="260"/>
    </row>
    <row r="770">
      <c r="P770" s="259"/>
      <c r="Q770" s="260"/>
    </row>
    <row r="771">
      <c r="P771" s="259"/>
      <c r="Q771" s="260"/>
    </row>
    <row r="772">
      <c r="P772" s="259"/>
      <c r="Q772" s="260"/>
    </row>
    <row r="773">
      <c r="P773" s="259"/>
      <c r="Q773" s="260"/>
    </row>
    <row r="774">
      <c r="P774" s="259"/>
      <c r="Q774" s="260"/>
    </row>
    <row r="775">
      <c r="P775" s="259"/>
      <c r="Q775" s="260"/>
    </row>
    <row r="776">
      <c r="P776" s="259"/>
      <c r="Q776" s="260"/>
    </row>
    <row r="777">
      <c r="P777" s="259"/>
      <c r="Q777" s="260"/>
    </row>
    <row r="778">
      <c r="P778" s="259"/>
      <c r="Q778" s="260"/>
    </row>
    <row r="779">
      <c r="P779" s="259"/>
      <c r="Q779" s="260"/>
    </row>
    <row r="780">
      <c r="P780" s="259"/>
      <c r="Q780" s="260"/>
    </row>
    <row r="781">
      <c r="P781" s="259"/>
      <c r="Q781" s="260"/>
    </row>
    <row r="782">
      <c r="P782" s="259"/>
      <c r="Q782" s="260"/>
    </row>
    <row r="783">
      <c r="P783" s="259"/>
      <c r="Q783" s="260"/>
    </row>
    <row r="784">
      <c r="P784" s="259"/>
      <c r="Q784" s="260"/>
    </row>
    <row r="785">
      <c r="P785" s="259"/>
      <c r="Q785" s="260"/>
    </row>
    <row r="786">
      <c r="P786" s="259"/>
      <c r="Q786" s="260"/>
    </row>
    <row r="787">
      <c r="P787" s="259"/>
      <c r="Q787" s="260"/>
    </row>
    <row r="788">
      <c r="P788" s="259"/>
      <c r="Q788" s="260"/>
    </row>
    <row r="789">
      <c r="P789" s="259"/>
      <c r="Q789" s="260"/>
    </row>
    <row r="790">
      <c r="P790" s="259"/>
      <c r="Q790" s="260"/>
    </row>
    <row r="791">
      <c r="P791" s="259"/>
      <c r="Q791" s="260"/>
    </row>
    <row r="792">
      <c r="P792" s="259"/>
      <c r="Q792" s="260"/>
    </row>
    <row r="793">
      <c r="P793" s="259"/>
      <c r="Q793" s="260"/>
    </row>
    <row r="794">
      <c r="P794" s="259"/>
      <c r="Q794" s="260"/>
    </row>
    <row r="795">
      <c r="P795" s="259"/>
      <c r="Q795" s="260"/>
    </row>
    <row r="796">
      <c r="P796" s="259"/>
      <c r="Q796" s="260"/>
    </row>
    <row r="797">
      <c r="P797" s="259"/>
      <c r="Q797" s="260"/>
    </row>
    <row r="798">
      <c r="P798" s="259"/>
      <c r="Q798" s="260"/>
    </row>
    <row r="799">
      <c r="P799" s="259"/>
      <c r="Q799" s="260"/>
    </row>
    <row r="800">
      <c r="P800" s="259"/>
      <c r="Q800" s="260"/>
    </row>
    <row r="801">
      <c r="P801" s="259"/>
      <c r="Q801" s="260"/>
    </row>
    <row r="802">
      <c r="P802" s="259"/>
      <c r="Q802" s="260"/>
    </row>
    <row r="803">
      <c r="P803" s="259"/>
      <c r="Q803" s="260"/>
    </row>
    <row r="804">
      <c r="P804" s="259"/>
      <c r="Q804" s="260"/>
    </row>
    <row r="805">
      <c r="P805" s="259"/>
      <c r="Q805" s="260"/>
    </row>
    <row r="806">
      <c r="P806" s="259"/>
      <c r="Q806" s="260"/>
    </row>
    <row r="807">
      <c r="P807" s="259"/>
      <c r="Q807" s="260"/>
    </row>
    <row r="808">
      <c r="P808" s="259"/>
      <c r="Q808" s="260"/>
    </row>
    <row r="809">
      <c r="P809" s="259"/>
      <c r="Q809" s="260"/>
    </row>
    <row r="810">
      <c r="P810" s="259"/>
      <c r="Q810" s="260"/>
    </row>
    <row r="811">
      <c r="P811" s="259"/>
      <c r="Q811" s="260"/>
    </row>
    <row r="812">
      <c r="P812" s="259"/>
      <c r="Q812" s="260"/>
    </row>
    <row r="813">
      <c r="P813" s="259"/>
      <c r="Q813" s="260"/>
    </row>
    <row r="814">
      <c r="P814" s="259"/>
      <c r="Q814" s="260"/>
    </row>
    <row r="815">
      <c r="P815" s="259"/>
      <c r="Q815" s="260"/>
    </row>
    <row r="816">
      <c r="P816" s="259"/>
      <c r="Q816" s="260"/>
    </row>
    <row r="817">
      <c r="P817" s="259"/>
      <c r="Q817" s="260"/>
    </row>
    <row r="818">
      <c r="P818" s="259"/>
      <c r="Q818" s="260"/>
    </row>
    <row r="819">
      <c r="P819" s="259"/>
      <c r="Q819" s="260"/>
    </row>
    <row r="820">
      <c r="P820" s="259"/>
      <c r="Q820" s="260"/>
    </row>
    <row r="821">
      <c r="P821" s="259"/>
      <c r="Q821" s="260"/>
    </row>
    <row r="822">
      <c r="P822" s="259"/>
      <c r="Q822" s="260"/>
    </row>
    <row r="823">
      <c r="P823" s="259"/>
      <c r="Q823" s="260"/>
    </row>
    <row r="824">
      <c r="P824" s="259"/>
      <c r="Q824" s="260"/>
    </row>
    <row r="825">
      <c r="P825" s="259"/>
      <c r="Q825" s="260"/>
    </row>
    <row r="826">
      <c r="P826" s="259"/>
      <c r="Q826" s="260"/>
    </row>
    <row r="827">
      <c r="P827" s="259"/>
      <c r="Q827" s="260"/>
    </row>
    <row r="828">
      <c r="P828" s="259"/>
      <c r="Q828" s="260"/>
    </row>
    <row r="829">
      <c r="P829" s="259"/>
      <c r="Q829" s="260"/>
    </row>
    <row r="830">
      <c r="P830" s="259"/>
      <c r="Q830" s="260"/>
    </row>
    <row r="831">
      <c r="P831" s="259"/>
      <c r="Q831" s="260"/>
    </row>
    <row r="832">
      <c r="P832" s="259"/>
      <c r="Q832" s="260"/>
    </row>
    <row r="833">
      <c r="P833" s="259"/>
      <c r="Q833" s="260"/>
    </row>
    <row r="834">
      <c r="P834" s="259"/>
      <c r="Q834" s="260"/>
    </row>
    <row r="835">
      <c r="P835" s="259"/>
      <c r="Q835" s="260"/>
    </row>
    <row r="836">
      <c r="P836" s="259"/>
      <c r="Q836" s="260"/>
    </row>
    <row r="837">
      <c r="P837" s="259"/>
      <c r="Q837" s="260"/>
    </row>
    <row r="838">
      <c r="P838" s="259"/>
      <c r="Q838" s="260"/>
    </row>
    <row r="839">
      <c r="P839" s="259"/>
      <c r="Q839" s="260"/>
    </row>
    <row r="840">
      <c r="P840" s="259"/>
      <c r="Q840" s="260"/>
    </row>
    <row r="841">
      <c r="P841" s="259"/>
      <c r="Q841" s="260"/>
    </row>
    <row r="842">
      <c r="P842" s="259"/>
      <c r="Q842" s="260"/>
    </row>
    <row r="843">
      <c r="P843" s="259"/>
      <c r="Q843" s="260"/>
    </row>
    <row r="844">
      <c r="P844" s="259"/>
      <c r="Q844" s="260"/>
    </row>
    <row r="845">
      <c r="P845" s="259"/>
      <c r="Q845" s="260"/>
    </row>
    <row r="846">
      <c r="P846" s="259"/>
      <c r="Q846" s="260"/>
    </row>
    <row r="847">
      <c r="P847" s="259"/>
      <c r="Q847" s="260"/>
    </row>
    <row r="848">
      <c r="P848" s="259"/>
      <c r="Q848" s="260"/>
    </row>
    <row r="849">
      <c r="P849" s="259"/>
      <c r="Q849" s="260"/>
    </row>
    <row r="850">
      <c r="P850" s="259"/>
      <c r="Q850" s="260"/>
    </row>
    <row r="851">
      <c r="P851" s="259"/>
      <c r="Q851" s="260"/>
    </row>
    <row r="852">
      <c r="P852" s="259"/>
      <c r="Q852" s="260"/>
    </row>
    <row r="853">
      <c r="P853" s="259"/>
      <c r="Q853" s="260"/>
    </row>
    <row r="854">
      <c r="P854" s="259"/>
      <c r="Q854" s="260"/>
    </row>
    <row r="855">
      <c r="P855" s="259"/>
      <c r="Q855" s="260"/>
    </row>
    <row r="856">
      <c r="P856" s="259"/>
      <c r="Q856" s="260"/>
    </row>
    <row r="857">
      <c r="P857" s="259"/>
      <c r="Q857" s="260"/>
    </row>
    <row r="858">
      <c r="P858" s="259"/>
      <c r="Q858" s="260"/>
    </row>
    <row r="859">
      <c r="P859" s="259"/>
      <c r="Q859" s="260"/>
    </row>
    <row r="860">
      <c r="P860" s="259"/>
      <c r="Q860" s="260"/>
    </row>
    <row r="861">
      <c r="P861" s="259"/>
      <c r="Q861" s="260"/>
    </row>
    <row r="862">
      <c r="P862" s="259"/>
      <c r="Q862" s="260"/>
    </row>
    <row r="863">
      <c r="P863" s="259"/>
      <c r="Q863" s="260"/>
    </row>
    <row r="864">
      <c r="P864" s="259"/>
      <c r="Q864" s="260"/>
    </row>
    <row r="865">
      <c r="P865" s="259"/>
      <c r="Q865" s="260"/>
    </row>
    <row r="866">
      <c r="P866" s="259"/>
      <c r="Q866" s="260"/>
    </row>
    <row r="867">
      <c r="P867" s="259"/>
      <c r="Q867" s="260"/>
    </row>
    <row r="868">
      <c r="P868" s="259"/>
      <c r="Q868" s="260"/>
    </row>
    <row r="869">
      <c r="P869" s="259"/>
      <c r="Q869" s="260"/>
    </row>
    <row r="870">
      <c r="P870" s="259"/>
      <c r="Q870" s="260"/>
    </row>
    <row r="871">
      <c r="P871" s="259"/>
      <c r="Q871" s="260"/>
    </row>
    <row r="872">
      <c r="P872" s="259"/>
      <c r="Q872" s="260"/>
    </row>
    <row r="873">
      <c r="P873" s="259"/>
      <c r="Q873" s="260"/>
    </row>
    <row r="874">
      <c r="P874" s="259"/>
      <c r="Q874" s="260"/>
    </row>
    <row r="875">
      <c r="P875" s="259"/>
      <c r="Q875" s="260"/>
    </row>
    <row r="876">
      <c r="P876" s="259"/>
      <c r="Q876" s="260"/>
    </row>
    <row r="877">
      <c r="P877" s="259"/>
      <c r="Q877" s="260"/>
    </row>
    <row r="878">
      <c r="P878" s="259"/>
      <c r="Q878" s="260"/>
    </row>
    <row r="879">
      <c r="P879" s="259"/>
      <c r="Q879" s="260"/>
    </row>
    <row r="880">
      <c r="P880" s="259"/>
      <c r="Q880" s="260"/>
    </row>
    <row r="881">
      <c r="P881" s="259"/>
      <c r="Q881" s="260"/>
    </row>
    <row r="882">
      <c r="P882" s="259"/>
      <c r="Q882" s="260"/>
    </row>
    <row r="883">
      <c r="P883" s="259"/>
      <c r="Q883" s="260"/>
    </row>
    <row r="884">
      <c r="P884" s="259"/>
      <c r="Q884" s="260"/>
    </row>
    <row r="885">
      <c r="P885" s="259"/>
      <c r="Q885" s="260"/>
    </row>
    <row r="886">
      <c r="P886" s="259"/>
      <c r="Q886" s="260"/>
    </row>
    <row r="887">
      <c r="P887" s="259"/>
      <c r="Q887" s="260"/>
    </row>
    <row r="888">
      <c r="P888" s="259"/>
      <c r="Q888" s="260"/>
    </row>
    <row r="889">
      <c r="P889" s="259"/>
      <c r="Q889" s="260"/>
    </row>
    <row r="890">
      <c r="P890" s="259"/>
      <c r="Q890" s="260"/>
    </row>
    <row r="891">
      <c r="P891" s="259"/>
      <c r="Q891" s="260"/>
    </row>
    <row r="892">
      <c r="P892" s="259"/>
      <c r="Q892" s="260"/>
    </row>
    <row r="893">
      <c r="P893" s="259"/>
      <c r="Q893" s="260"/>
    </row>
    <row r="894">
      <c r="P894" s="259"/>
      <c r="Q894" s="260"/>
    </row>
    <row r="895">
      <c r="P895" s="259"/>
      <c r="Q895" s="260"/>
    </row>
    <row r="896">
      <c r="P896" s="259"/>
      <c r="Q896" s="260"/>
    </row>
    <row r="897">
      <c r="P897" s="259"/>
      <c r="Q897" s="260"/>
    </row>
    <row r="898">
      <c r="P898" s="259"/>
      <c r="Q898" s="260"/>
    </row>
    <row r="899">
      <c r="P899" s="259"/>
      <c r="Q899" s="260"/>
    </row>
    <row r="900">
      <c r="P900" s="259"/>
      <c r="Q900" s="260"/>
    </row>
    <row r="901">
      <c r="P901" s="259"/>
      <c r="Q901" s="260"/>
    </row>
    <row r="902">
      <c r="P902" s="259"/>
      <c r="Q902" s="260"/>
    </row>
    <row r="903">
      <c r="P903" s="259"/>
      <c r="Q903" s="260"/>
    </row>
    <row r="904">
      <c r="P904" s="259"/>
      <c r="Q904" s="260"/>
    </row>
    <row r="905">
      <c r="P905" s="259"/>
      <c r="Q905" s="260"/>
    </row>
    <row r="906">
      <c r="P906" s="259"/>
      <c r="Q906" s="260"/>
    </row>
    <row r="907">
      <c r="P907" s="259"/>
      <c r="Q907" s="260"/>
    </row>
    <row r="908">
      <c r="P908" s="259"/>
      <c r="Q908" s="260"/>
    </row>
    <row r="909">
      <c r="P909" s="259"/>
      <c r="Q909" s="260"/>
    </row>
    <row r="910">
      <c r="P910" s="259"/>
      <c r="Q910" s="260"/>
    </row>
    <row r="911">
      <c r="P911" s="259"/>
      <c r="Q911" s="260"/>
    </row>
    <row r="912">
      <c r="P912" s="259"/>
      <c r="Q912" s="260"/>
    </row>
    <row r="913">
      <c r="P913" s="259"/>
      <c r="Q913" s="260"/>
    </row>
    <row r="914">
      <c r="P914" s="259"/>
      <c r="Q914" s="260"/>
    </row>
    <row r="915">
      <c r="P915" s="259"/>
      <c r="Q915" s="260"/>
    </row>
    <row r="916">
      <c r="P916" s="259"/>
      <c r="Q916" s="260"/>
    </row>
    <row r="917">
      <c r="P917" s="259"/>
      <c r="Q917" s="260"/>
    </row>
    <row r="918">
      <c r="P918" s="259"/>
      <c r="Q918" s="260"/>
    </row>
    <row r="919">
      <c r="P919" s="259"/>
      <c r="Q919" s="260"/>
    </row>
    <row r="920">
      <c r="P920" s="259"/>
      <c r="Q920" s="260"/>
    </row>
    <row r="921">
      <c r="P921" s="259"/>
      <c r="Q921" s="260"/>
    </row>
    <row r="922">
      <c r="P922" s="259"/>
      <c r="Q922" s="260"/>
    </row>
    <row r="923">
      <c r="P923" s="259"/>
      <c r="Q923" s="260"/>
    </row>
    <row r="924">
      <c r="P924" s="259"/>
      <c r="Q924" s="260"/>
    </row>
    <row r="925">
      <c r="P925" s="259"/>
      <c r="Q925" s="260"/>
    </row>
    <row r="926">
      <c r="P926" s="259"/>
      <c r="Q926" s="260"/>
    </row>
    <row r="927">
      <c r="P927" s="259"/>
      <c r="Q927" s="260"/>
    </row>
    <row r="928">
      <c r="P928" s="259"/>
      <c r="Q928" s="260"/>
    </row>
    <row r="929">
      <c r="P929" s="259"/>
      <c r="Q929" s="260"/>
    </row>
    <row r="930">
      <c r="P930" s="259"/>
      <c r="Q930" s="260"/>
    </row>
    <row r="931">
      <c r="P931" s="259"/>
      <c r="Q931" s="260"/>
    </row>
    <row r="932">
      <c r="P932" s="259"/>
      <c r="Q932" s="260"/>
    </row>
    <row r="933">
      <c r="P933" s="259"/>
      <c r="Q933" s="260"/>
    </row>
    <row r="934">
      <c r="P934" s="259"/>
      <c r="Q934" s="260"/>
    </row>
    <row r="935">
      <c r="P935" s="259"/>
      <c r="Q935" s="260"/>
    </row>
    <row r="936">
      <c r="P936" s="259"/>
      <c r="Q936" s="260"/>
    </row>
    <row r="937">
      <c r="P937" s="259"/>
      <c r="Q937" s="260"/>
    </row>
    <row r="938">
      <c r="P938" s="259"/>
      <c r="Q938" s="260"/>
    </row>
    <row r="939">
      <c r="P939" s="259"/>
      <c r="Q939" s="260"/>
    </row>
    <row r="940">
      <c r="P940" s="259"/>
      <c r="Q940" s="260"/>
    </row>
    <row r="941">
      <c r="P941" s="259"/>
      <c r="Q941" s="260"/>
    </row>
    <row r="942">
      <c r="P942" s="259"/>
      <c r="Q942" s="260"/>
    </row>
    <row r="943">
      <c r="P943" s="259"/>
      <c r="Q943" s="260"/>
    </row>
    <row r="944">
      <c r="P944" s="259"/>
      <c r="Q944" s="260"/>
    </row>
    <row r="945">
      <c r="P945" s="259"/>
      <c r="Q945" s="260"/>
    </row>
    <row r="946">
      <c r="P946" s="259"/>
      <c r="Q946" s="260"/>
    </row>
    <row r="947">
      <c r="P947" s="259"/>
      <c r="Q947" s="260"/>
    </row>
    <row r="948">
      <c r="P948" s="259"/>
      <c r="Q948" s="260"/>
    </row>
    <row r="949">
      <c r="P949" s="259"/>
      <c r="Q949" s="260"/>
    </row>
    <row r="950">
      <c r="P950" s="259"/>
      <c r="Q950" s="260"/>
    </row>
    <row r="951">
      <c r="P951" s="259"/>
      <c r="Q951" s="260"/>
    </row>
    <row r="952">
      <c r="P952" s="259"/>
      <c r="Q952" s="260"/>
    </row>
    <row r="953">
      <c r="P953" s="259"/>
      <c r="Q953" s="260"/>
    </row>
    <row r="954">
      <c r="P954" s="259"/>
      <c r="Q954" s="260"/>
    </row>
    <row r="955">
      <c r="P955" s="259"/>
      <c r="Q955" s="260"/>
    </row>
    <row r="956">
      <c r="P956" s="259"/>
      <c r="Q956" s="260"/>
    </row>
    <row r="957">
      <c r="P957" s="259"/>
      <c r="Q957" s="260"/>
    </row>
    <row r="958">
      <c r="P958" s="259"/>
      <c r="Q958" s="260"/>
    </row>
    <row r="959">
      <c r="P959" s="259"/>
      <c r="Q959" s="260"/>
    </row>
    <row r="960">
      <c r="P960" s="259"/>
      <c r="Q960" s="260"/>
    </row>
    <row r="961">
      <c r="P961" s="259"/>
      <c r="Q961" s="260"/>
    </row>
    <row r="962">
      <c r="P962" s="259"/>
      <c r="Q962" s="260"/>
    </row>
    <row r="963">
      <c r="P963" s="259"/>
      <c r="Q963" s="260"/>
    </row>
    <row r="964">
      <c r="P964" s="259"/>
      <c r="Q964" s="260"/>
    </row>
    <row r="965">
      <c r="P965" s="259"/>
      <c r="Q965" s="260"/>
    </row>
    <row r="966">
      <c r="P966" s="259"/>
      <c r="Q966" s="260"/>
    </row>
    <row r="967">
      <c r="P967" s="259"/>
      <c r="Q967" s="260"/>
    </row>
    <row r="968">
      <c r="P968" s="259"/>
      <c r="Q968" s="260"/>
    </row>
    <row r="969">
      <c r="P969" s="259"/>
      <c r="Q969" s="260"/>
    </row>
    <row r="970">
      <c r="P970" s="259"/>
      <c r="Q970" s="260"/>
    </row>
    <row r="971">
      <c r="P971" s="259"/>
      <c r="Q971" s="260"/>
    </row>
    <row r="972">
      <c r="P972" s="259"/>
      <c r="Q972" s="260"/>
    </row>
    <row r="973">
      <c r="P973" s="259"/>
      <c r="Q973" s="260"/>
    </row>
    <row r="974">
      <c r="P974" s="259"/>
      <c r="Q974" s="260"/>
    </row>
    <row r="975">
      <c r="P975" s="259"/>
      <c r="Q975" s="260"/>
    </row>
    <row r="976">
      <c r="P976" s="259"/>
      <c r="Q976" s="260"/>
    </row>
    <row r="977">
      <c r="P977" s="259"/>
      <c r="Q977" s="260"/>
    </row>
    <row r="978">
      <c r="P978" s="259"/>
      <c r="Q978" s="260"/>
    </row>
    <row r="979">
      <c r="P979" s="259"/>
      <c r="Q979" s="260"/>
    </row>
    <row r="980">
      <c r="P980" s="259"/>
      <c r="Q980" s="260"/>
    </row>
    <row r="981">
      <c r="P981" s="259"/>
      <c r="Q981" s="260"/>
    </row>
    <row r="982">
      <c r="P982" s="259"/>
      <c r="Q982" s="260"/>
    </row>
    <row r="983">
      <c r="P983" s="259"/>
      <c r="Q983" s="260"/>
    </row>
    <row r="984">
      <c r="P984" s="259"/>
      <c r="Q984" s="260"/>
    </row>
    <row r="985">
      <c r="P985" s="259"/>
      <c r="Q985" s="260"/>
    </row>
    <row r="986">
      <c r="P986" s="259"/>
      <c r="Q986" s="260"/>
    </row>
    <row r="987">
      <c r="P987" s="259"/>
      <c r="Q987" s="260"/>
    </row>
    <row r="988">
      <c r="P988" s="259"/>
      <c r="Q988" s="260"/>
    </row>
    <row r="989">
      <c r="P989" s="259"/>
      <c r="Q989" s="260"/>
    </row>
    <row r="990">
      <c r="P990" s="259"/>
      <c r="Q990" s="260"/>
    </row>
    <row r="991">
      <c r="P991" s="259"/>
      <c r="Q991" s="260"/>
    </row>
    <row r="992">
      <c r="P992" s="259"/>
      <c r="Q992" s="260"/>
    </row>
    <row r="993">
      <c r="P993" s="259"/>
      <c r="Q993" s="260"/>
    </row>
    <row r="994">
      <c r="P994" s="259"/>
      <c r="Q994" s="260"/>
    </row>
    <row r="995">
      <c r="P995" s="259"/>
      <c r="Q995" s="260"/>
    </row>
    <row r="996">
      <c r="P996" s="259"/>
      <c r="Q996" s="260"/>
    </row>
    <row r="997">
      <c r="P997" s="259"/>
      <c r="Q997" s="260"/>
    </row>
  </sheetData>
  <mergeCells count="1">
    <mergeCell ref="A1:Q1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5" width="7.29"/>
    <col customWidth="1" min="16" max="16" width="9.43"/>
    <col customWidth="1" min="17" max="17" width="12.29"/>
  </cols>
  <sheetData>
    <row r="1">
      <c r="A1" s="1" t="s">
        <v>469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256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17</v>
      </c>
      <c r="P2" s="7" t="s">
        <v>18</v>
      </c>
      <c r="Q2" s="5" t="s">
        <v>19</v>
      </c>
    </row>
    <row r="3">
      <c r="A3" s="9" t="s">
        <v>470</v>
      </c>
      <c r="B3" s="266">
        <v>2.0</v>
      </c>
      <c r="C3" s="266">
        <v>4.0</v>
      </c>
      <c r="D3" s="266">
        <v>4.0</v>
      </c>
      <c r="E3" s="267">
        <v>3.0</v>
      </c>
      <c r="F3" s="267">
        <v>1.0</v>
      </c>
      <c r="G3" s="267">
        <v>0.0</v>
      </c>
      <c r="H3" s="143">
        <v>0.0</v>
      </c>
      <c r="I3" s="143">
        <v>2.0</v>
      </c>
      <c r="J3" s="143">
        <v>1.0</v>
      </c>
      <c r="K3" s="143">
        <v>1.0</v>
      </c>
      <c r="L3" s="143">
        <v>2.0</v>
      </c>
      <c r="M3" s="143">
        <v>3.0</v>
      </c>
      <c r="N3" s="143">
        <v>13.0</v>
      </c>
      <c r="O3" s="23">
        <f t="shared" ref="O3:O18" si="1">SUM(B3:N3)</f>
        <v>36</v>
      </c>
      <c r="P3" s="16">
        <f t="shared" ref="P3:P6" si="2">AVERAGE(B3:N3)</f>
        <v>2.769230769</v>
      </c>
      <c r="Q3" s="17">
        <v>0.0753</v>
      </c>
    </row>
    <row r="4">
      <c r="A4" s="9" t="s">
        <v>471</v>
      </c>
      <c r="B4" s="267">
        <v>2.0</v>
      </c>
      <c r="C4" s="267">
        <v>2.0</v>
      </c>
      <c r="D4" s="267">
        <v>3.0</v>
      </c>
      <c r="E4" s="266">
        <v>2.0</v>
      </c>
      <c r="F4" s="266">
        <v>3.0</v>
      </c>
      <c r="G4" s="266">
        <v>2.0</v>
      </c>
      <c r="H4" s="143">
        <v>0.0</v>
      </c>
      <c r="I4" s="143">
        <v>2.0</v>
      </c>
      <c r="J4" s="143">
        <v>4.0</v>
      </c>
      <c r="K4" s="143">
        <v>6.0</v>
      </c>
      <c r="L4" s="143">
        <v>1.0</v>
      </c>
      <c r="M4" s="143">
        <v>3.0</v>
      </c>
      <c r="N4" s="143">
        <v>8.0</v>
      </c>
      <c r="O4" s="23">
        <f t="shared" si="1"/>
        <v>38</v>
      </c>
      <c r="P4" s="16">
        <f t="shared" si="2"/>
        <v>2.923076923</v>
      </c>
      <c r="Q4" s="17">
        <v>0.0795</v>
      </c>
    </row>
    <row r="5">
      <c r="A5" s="9" t="s">
        <v>409</v>
      </c>
      <c r="B5" s="267">
        <v>3.0</v>
      </c>
      <c r="C5" s="267">
        <v>4.0</v>
      </c>
      <c r="D5" s="267">
        <v>4.0</v>
      </c>
      <c r="E5" s="266">
        <v>8.0</v>
      </c>
      <c r="F5" s="266">
        <v>4.0</v>
      </c>
      <c r="G5" s="266">
        <v>7.0</v>
      </c>
      <c r="H5" s="143">
        <v>13.0</v>
      </c>
      <c r="I5" s="143">
        <v>15.0</v>
      </c>
      <c r="J5" s="143">
        <v>0.0</v>
      </c>
      <c r="K5" s="143">
        <v>6.0</v>
      </c>
      <c r="L5" s="143">
        <v>7.0</v>
      </c>
      <c r="M5" s="143">
        <v>7.0</v>
      </c>
      <c r="N5" s="143">
        <v>6.0</v>
      </c>
      <c r="O5" s="23">
        <f t="shared" si="1"/>
        <v>84</v>
      </c>
      <c r="P5" s="16">
        <f t="shared" si="2"/>
        <v>6.461538462</v>
      </c>
      <c r="Q5" s="17">
        <v>0.1757</v>
      </c>
    </row>
    <row r="6">
      <c r="A6" s="9" t="s">
        <v>472</v>
      </c>
      <c r="B6" s="267">
        <v>2.0</v>
      </c>
      <c r="C6" s="267">
        <v>1.0</v>
      </c>
      <c r="D6" s="267">
        <v>2.0</v>
      </c>
      <c r="E6" s="266">
        <v>4.0</v>
      </c>
      <c r="F6" s="266">
        <v>1.0</v>
      </c>
      <c r="G6" s="266">
        <v>2.0</v>
      </c>
      <c r="H6" s="143">
        <v>1.0</v>
      </c>
      <c r="I6" s="143">
        <v>6.0</v>
      </c>
      <c r="J6" s="143">
        <v>8.0</v>
      </c>
      <c r="K6" s="143">
        <v>7.0</v>
      </c>
      <c r="L6" s="143">
        <v>3.0</v>
      </c>
      <c r="M6" s="143">
        <v>5.0</v>
      </c>
      <c r="N6" s="143">
        <v>4.0</v>
      </c>
      <c r="O6" s="23">
        <f t="shared" si="1"/>
        <v>46</v>
      </c>
      <c r="P6" s="16">
        <f t="shared" si="2"/>
        <v>3.538461538</v>
      </c>
      <c r="Q6" s="17">
        <v>0.0962</v>
      </c>
    </row>
    <row r="7">
      <c r="A7" s="9" t="s">
        <v>473</v>
      </c>
      <c r="B7" s="266">
        <v>6.0</v>
      </c>
      <c r="C7" s="266">
        <v>4.0</v>
      </c>
      <c r="D7" s="266">
        <v>2.0</v>
      </c>
      <c r="E7" s="267">
        <v>2.0</v>
      </c>
      <c r="F7" s="267">
        <v>4.0</v>
      </c>
      <c r="G7" s="267">
        <v>2.0</v>
      </c>
      <c r="H7" s="143">
        <v>1.0</v>
      </c>
      <c r="I7" s="143">
        <v>7.0</v>
      </c>
      <c r="J7" s="143">
        <v>13.0</v>
      </c>
      <c r="K7" s="143">
        <v>9.0</v>
      </c>
      <c r="L7" s="143">
        <v>1.0</v>
      </c>
      <c r="M7" s="143">
        <v>6.0</v>
      </c>
      <c r="N7" s="92"/>
      <c r="O7" s="23">
        <f t="shared" si="1"/>
        <v>57</v>
      </c>
      <c r="P7" s="16">
        <f>AVERAGE(B7:M7)</f>
        <v>4.75</v>
      </c>
      <c r="Q7" s="17">
        <v>0.1192</v>
      </c>
    </row>
    <row r="8">
      <c r="A8" s="9" t="s">
        <v>474</v>
      </c>
      <c r="B8" s="267">
        <v>3.0</v>
      </c>
      <c r="C8" s="267">
        <v>1.0</v>
      </c>
      <c r="D8" s="267">
        <v>3.0</v>
      </c>
      <c r="E8" s="267">
        <v>0.0</v>
      </c>
      <c r="F8" s="267">
        <v>4.0</v>
      </c>
      <c r="G8" s="267">
        <v>2.0</v>
      </c>
      <c r="H8" s="143">
        <v>1.0</v>
      </c>
      <c r="I8" s="143">
        <v>2.0</v>
      </c>
      <c r="J8" s="143">
        <v>4.0</v>
      </c>
      <c r="K8" s="143">
        <v>4.0</v>
      </c>
      <c r="L8" s="143">
        <v>4.0</v>
      </c>
      <c r="M8" s="92"/>
      <c r="N8" s="92"/>
      <c r="O8" s="23">
        <f t="shared" si="1"/>
        <v>28</v>
      </c>
      <c r="P8" s="16">
        <f>AVERAGE(B8:L8)</f>
        <v>2.545454545</v>
      </c>
      <c r="Q8" s="17">
        <v>0.0586</v>
      </c>
    </row>
    <row r="9">
      <c r="A9" s="9" t="s">
        <v>475</v>
      </c>
      <c r="B9" s="267">
        <v>3.0</v>
      </c>
      <c r="C9" s="267">
        <v>2.0</v>
      </c>
      <c r="D9" s="267">
        <v>4.0</v>
      </c>
      <c r="E9" s="267">
        <v>3.0</v>
      </c>
      <c r="F9" s="267">
        <v>1.0</v>
      </c>
      <c r="G9" s="267">
        <v>2.0</v>
      </c>
      <c r="H9" s="143">
        <v>1.0</v>
      </c>
      <c r="I9" s="143">
        <v>1.0</v>
      </c>
      <c r="J9" s="143">
        <v>9.0</v>
      </c>
      <c r="K9" s="143">
        <v>5.0</v>
      </c>
      <c r="L9" s="92"/>
      <c r="M9" s="92"/>
      <c r="N9" s="92"/>
      <c r="O9" s="23">
        <f t="shared" si="1"/>
        <v>31</v>
      </c>
      <c r="P9" s="16">
        <f>AVERAGE(B9:K9)</f>
        <v>3.1</v>
      </c>
      <c r="Q9" s="17">
        <v>0.0649</v>
      </c>
    </row>
    <row r="10">
      <c r="A10" s="9" t="s">
        <v>476</v>
      </c>
      <c r="B10" s="267">
        <v>1.0</v>
      </c>
      <c r="C10" s="267">
        <v>0.0</v>
      </c>
      <c r="D10" s="267">
        <v>1.0</v>
      </c>
      <c r="E10" s="267">
        <v>0.0</v>
      </c>
      <c r="F10" s="267">
        <v>0.0</v>
      </c>
      <c r="G10" s="267">
        <v>0.0</v>
      </c>
      <c r="H10" s="143">
        <v>0.0</v>
      </c>
      <c r="I10" s="143">
        <v>1.0</v>
      </c>
      <c r="J10" s="143">
        <v>3.0</v>
      </c>
      <c r="K10" s="92"/>
      <c r="L10" s="92"/>
      <c r="M10" s="92"/>
      <c r="N10" s="92"/>
      <c r="O10" s="23">
        <f t="shared" si="1"/>
        <v>6</v>
      </c>
      <c r="P10" s="16">
        <f>AVERAGE(B10:J10)</f>
        <v>0.6666666667</v>
      </c>
      <c r="Q10" s="17">
        <v>0.0126</v>
      </c>
    </row>
    <row r="11">
      <c r="A11" s="9" t="s">
        <v>202</v>
      </c>
      <c r="B11" s="267">
        <v>5.0</v>
      </c>
      <c r="C11" s="267">
        <v>6.0</v>
      </c>
      <c r="D11" s="267">
        <v>5.0</v>
      </c>
      <c r="E11" s="267">
        <v>0.0</v>
      </c>
      <c r="F11" s="267">
        <v>7.0</v>
      </c>
      <c r="G11" s="267">
        <v>6.0</v>
      </c>
      <c r="H11" s="143">
        <v>0.0</v>
      </c>
      <c r="I11" s="143">
        <v>4.0</v>
      </c>
      <c r="J11" s="92"/>
      <c r="K11" s="92"/>
      <c r="L11" s="92"/>
      <c r="M11" s="92"/>
      <c r="N11" s="92"/>
      <c r="O11" s="23">
        <f t="shared" si="1"/>
        <v>33</v>
      </c>
      <c r="P11" s="16">
        <f>AVERAGE(B11:I11)</f>
        <v>4.125</v>
      </c>
      <c r="Q11" s="17">
        <v>0.069</v>
      </c>
    </row>
    <row r="12">
      <c r="A12" s="9" t="s">
        <v>36</v>
      </c>
      <c r="B12" s="266">
        <v>7.0</v>
      </c>
      <c r="C12" s="266">
        <v>6.0</v>
      </c>
      <c r="D12" s="266">
        <v>5.0</v>
      </c>
      <c r="E12" s="267">
        <v>3.0</v>
      </c>
      <c r="F12" s="267">
        <v>2.0</v>
      </c>
      <c r="G12" s="267">
        <v>8.0</v>
      </c>
      <c r="H12" s="143">
        <v>9.0</v>
      </c>
      <c r="I12" s="92"/>
      <c r="J12" s="92"/>
      <c r="K12" s="92"/>
      <c r="L12" s="92"/>
      <c r="M12" s="92"/>
      <c r="N12" s="92"/>
      <c r="O12" s="23">
        <f t="shared" si="1"/>
        <v>40</v>
      </c>
      <c r="P12" s="16">
        <f>AVERAGE(B12:H12)</f>
        <v>5.714285714</v>
      </c>
      <c r="Q12" s="17">
        <v>0.0837</v>
      </c>
    </row>
    <row r="13">
      <c r="A13" s="9" t="s">
        <v>477</v>
      </c>
      <c r="B13" s="266">
        <v>6.0</v>
      </c>
      <c r="C13" s="266">
        <v>4.0</v>
      </c>
      <c r="D13" s="266">
        <v>3.0</v>
      </c>
      <c r="E13" s="266">
        <v>11.0</v>
      </c>
      <c r="F13" s="266">
        <v>7.0</v>
      </c>
      <c r="G13" s="266">
        <v>6.0</v>
      </c>
      <c r="H13" s="148"/>
      <c r="I13" s="148"/>
      <c r="J13" s="148"/>
      <c r="K13" s="148"/>
      <c r="L13" s="148"/>
      <c r="M13" s="148"/>
      <c r="N13" s="148"/>
      <c r="O13" s="23">
        <f t="shared" si="1"/>
        <v>37</v>
      </c>
      <c r="P13" s="16">
        <f>AVERAGE(B13:G13)</f>
        <v>6.166666667</v>
      </c>
      <c r="Q13" s="17">
        <v>0.0774</v>
      </c>
    </row>
    <row r="14">
      <c r="A14" s="9" t="s">
        <v>478</v>
      </c>
      <c r="B14" s="267">
        <v>2.0</v>
      </c>
      <c r="C14" s="267">
        <v>3.0</v>
      </c>
      <c r="D14" s="267">
        <v>3.0</v>
      </c>
      <c r="E14" s="267">
        <v>1.0</v>
      </c>
      <c r="F14" s="267">
        <v>3.0</v>
      </c>
      <c r="G14" s="148"/>
      <c r="H14" s="148"/>
      <c r="I14" s="148"/>
      <c r="J14" s="148"/>
      <c r="K14" s="148"/>
      <c r="L14" s="148"/>
      <c r="M14" s="148"/>
      <c r="N14" s="148"/>
      <c r="O14" s="23">
        <f t="shared" si="1"/>
        <v>12</v>
      </c>
      <c r="P14" s="16">
        <f>AVERAGE(B14:F14)</f>
        <v>2.4</v>
      </c>
      <c r="Q14" s="17">
        <v>0.0251</v>
      </c>
    </row>
    <row r="15">
      <c r="A15" s="9" t="s">
        <v>23</v>
      </c>
      <c r="B15" s="266">
        <v>2.0</v>
      </c>
      <c r="C15" s="266">
        <v>2.0</v>
      </c>
      <c r="D15" s="266">
        <v>0.0</v>
      </c>
      <c r="E15" s="266">
        <v>3.0</v>
      </c>
      <c r="F15" s="148"/>
      <c r="G15" s="148"/>
      <c r="H15" s="148"/>
      <c r="I15" s="148"/>
      <c r="J15" s="148"/>
      <c r="K15" s="148"/>
      <c r="L15" s="148"/>
      <c r="M15" s="148"/>
      <c r="N15" s="148"/>
      <c r="O15" s="23">
        <f t="shared" si="1"/>
        <v>7</v>
      </c>
      <c r="P15" s="16">
        <f>AVERAGE(B15:E15)</f>
        <v>1.75</v>
      </c>
      <c r="Q15" s="17">
        <v>0.0146</v>
      </c>
    </row>
    <row r="16">
      <c r="A16" s="9" t="s">
        <v>479</v>
      </c>
      <c r="B16" s="266">
        <v>2.0</v>
      </c>
      <c r="C16" s="266">
        <v>5.0</v>
      </c>
      <c r="D16" s="266">
        <v>6.0</v>
      </c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23">
        <f t="shared" si="1"/>
        <v>13</v>
      </c>
      <c r="P16" s="16">
        <f>AVERAGE(B16:D16)</f>
        <v>4.333333333</v>
      </c>
      <c r="Q16" s="17">
        <v>0.0272</v>
      </c>
    </row>
    <row r="17">
      <c r="A17" s="9" t="s">
        <v>480</v>
      </c>
      <c r="B17" s="266">
        <v>3.0</v>
      </c>
      <c r="C17" s="266">
        <v>2.0</v>
      </c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23">
        <f t="shared" si="1"/>
        <v>5</v>
      </c>
      <c r="P17" s="16">
        <f>AVERAGE(B17:C17)</f>
        <v>2.5</v>
      </c>
      <c r="Q17" s="17">
        <v>0.0105</v>
      </c>
    </row>
    <row r="18">
      <c r="A18" s="9" t="s">
        <v>143</v>
      </c>
      <c r="B18" s="268">
        <v>5.0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23">
        <f t="shared" si="1"/>
        <v>5</v>
      </c>
      <c r="P18" s="16">
        <f>AVERAGE(B18)</f>
        <v>5</v>
      </c>
      <c r="Q18" s="17">
        <v>0.0105</v>
      </c>
    </row>
    <row r="19">
      <c r="A19" s="256" t="s">
        <v>40</v>
      </c>
      <c r="B19" s="23">
        <f t="shared" ref="B19:O19" si="3">SUM(B3:B18)</f>
        <v>54</v>
      </c>
      <c r="C19" s="23">
        <f t="shared" si="3"/>
        <v>46</v>
      </c>
      <c r="D19" s="23">
        <f t="shared" si="3"/>
        <v>45</v>
      </c>
      <c r="E19" s="23">
        <f t="shared" si="3"/>
        <v>40</v>
      </c>
      <c r="F19" s="23">
        <f t="shared" si="3"/>
        <v>37</v>
      </c>
      <c r="G19" s="23">
        <f t="shared" si="3"/>
        <v>37</v>
      </c>
      <c r="H19" s="23">
        <f t="shared" si="3"/>
        <v>26</v>
      </c>
      <c r="I19" s="23">
        <f t="shared" si="3"/>
        <v>40</v>
      </c>
      <c r="J19" s="23">
        <f t="shared" si="3"/>
        <v>42</v>
      </c>
      <c r="K19" s="23">
        <f t="shared" si="3"/>
        <v>38</v>
      </c>
      <c r="L19" s="23">
        <f t="shared" si="3"/>
        <v>18</v>
      </c>
      <c r="M19" s="23">
        <f t="shared" si="3"/>
        <v>24</v>
      </c>
      <c r="N19" s="23">
        <f t="shared" si="3"/>
        <v>31</v>
      </c>
      <c r="O19" s="23">
        <f t="shared" si="3"/>
        <v>478</v>
      </c>
      <c r="P19" s="16"/>
      <c r="Q19" s="23"/>
    </row>
    <row r="20">
      <c r="A20" s="258" t="s">
        <v>18</v>
      </c>
      <c r="B20" s="16">
        <f>AVERAGE(B3:B18)</f>
        <v>3.375</v>
      </c>
      <c r="C20" s="16">
        <f>AVERAGE(C3:C17)</f>
        <v>3.066666667</v>
      </c>
      <c r="D20" s="16">
        <f>AVERAGE(D3:D16)</f>
        <v>3.214285714</v>
      </c>
      <c r="E20" s="16">
        <f>AVERAGE(E3:E15)</f>
        <v>3.076923077</v>
      </c>
      <c r="F20" s="16">
        <f>AVERAGE(F3:F14)</f>
        <v>3.083333333</v>
      </c>
      <c r="G20" s="16">
        <f>AVERAGE(G3:G13)</f>
        <v>3.363636364</v>
      </c>
      <c r="H20" s="16">
        <f>AVERAGE(H3:H12)</f>
        <v>2.6</v>
      </c>
      <c r="I20" s="16">
        <f>AVERAGE(I3:I11)</f>
        <v>4.444444444</v>
      </c>
      <c r="J20" s="16">
        <f>AVERAGE(J3:J10)</f>
        <v>5.25</v>
      </c>
      <c r="K20" s="16">
        <f>AVERAGE(K3:K9)</f>
        <v>5.428571429</v>
      </c>
      <c r="L20" s="16">
        <f>AVERAGE(L3:L8)</f>
        <v>3</v>
      </c>
      <c r="M20" s="16">
        <f>AVERAGE(M3:M7)</f>
        <v>4.8</v>
      </c>
      <c r="N20" s="16">
        <f>AVERAGE(N3:N6)</f>
        <v>7.75</v>
      </c>
      <c r="O20" s="16"/>
      <c r="P20" s="16"/>
      <c r="Q20" s="16"/>
      <c r="R20" s="259"/>
      <c r="S20" s="259"/>
      <c r="T20" s="259"/>
      <c r="U20" s="259"/>
      <c r="V20" s="259"/>
      <c r="W20" s="259"/>
      <c r="X20" s="259"/>
    </row>
    <row r="21">
      <c r="A21" s="256" t="s">
        <v>41</v>
      </c>
      <c r="B21" s="149" t="str">
        <f>HYPERLINK("https://docs.google.com/document/d/1emLnwCj6ZOoI4u8PbtHvm4SyUa_hlAKu7AilyI2eDm0/edit?usp=sharing","Link")</f>
        <v>Link</v>
      </c>
      <c r="C21" s="149" t="str">
        <f>HYPERLINK("https://docs.google.com/document/d/1Mtw3BDvnbzMC45PdnsydI67awrymBj3PWw7ShgsSoho/edit?usp=sharing","Link")</f>
        <v>Link</v>
      </c>
      <c r="D21" s="149" t="str">
        <f>HYPERLINK("https://docs.google.com/document/d/1R9MNKKJkB5EHk9_TtcVsSkpt4muYlcYE2uzzgSK_x6E/edit?usp=sharing","Link")</f>
        <v>Link</v>
      </c>
      <c r="E21" s="149" t="str">
        <f>HYPERLINK("https://docs.google.com/document/d/1Iq836Xwo-hDnBFAp2AX13dGGuvMhQsvKzikz9cIepPM/edit?usp=sharing","Link")</f>
        <v>Link</v>
      </c>
      <c r="F21" s="149" t="str">
        <f>HYPERLINK("https://docs.google.com/document/d/18_AFNiQk3UW4DY8XI16MB498ZC5mk-4dEvZnrBowroI/edit?usp=sharing","Link")</f>
        <v>Link</v>
      </c>
      <c r="G21" s="149" t="str">
        <f>HYPERLINK("https://docs.google.com/document/d/1NAQSqRjnqNz8a-PIjX1IW7XSn2ZWlGLFctkDlGLiV00/edit?usp=sharing","Link")</f>
        <v>Link</v>
      </c>
      <c r="H21" s="149" t="str">
        <f>HYPERLINK("https://docs.google.com/document/d/1MxpfKshPJQzVOiB4OXDQo0Nb50NSXltanQBzyyDDhEE/edit?usp=sharing","Link")</f>
        <v>Link</v>
      </c>
      <c r="I21" s="149" t="str">
        <f>HYPERLINK("https://docs.google.com/document/d/18mtFdT2H-7LAYX3TOccQW0PPJlYGu9k_7o6qwdsHe8c/edit?usp=sharing","Link")</f>
        <v>Link</v>
      </c>
      <c r="J21" s="149" t="str">
        <f>HYPERLINK("https://docs.google.com/document/d/1G1ZYzxrZ0iu65l1QVEHN4lze3-jvpviembAvf_Px3-I/edit?usp=sharing","Link")</f>
        <v>Link</v>
      </c>
      <c r="K21" s="149" t="str">
        <f>HYPERLINK("https://docs.google.com/document/d/1S8Lkm5S4amYCxPoaRzrTMrNmeF2M78PW9AlISWJ9-RI/edit?usp=sharing","Link")</f>
        <v>Link</v>
      </c>
      <c r="L21" s="149" t="str">
        <f>HYPERLINK("https://docs.google.com/document/d/1dJYZPC_lDHEqvi8tjEPJnCS5OgbOvmK5xG6EnS0vrUk/edit?usp=sharing","Link")</f>
        <v>Link</v>
      </c>
      <c r="M21" s="149" t="str">
        <f>HYPERLINK("https://docs.google.com/document/d/1hfeE-6c1hhfOnx09jfI_COvLq9KDIEu8elEEcHs4ekQ/edit?usp=sharing","Link")</f>
        <v>Link</v>
      </c>
      <c r="N21" s="149" t="str">
        <f>HYPERLINK("https://docs.google.com/document/d/1sraz6qoMMTs2cgydr5KtlIMAu-EKITSy-YMCS1Hv-O4/edit?usp=sharing","Link")</f>
        <v>Link</v>
      </c>
      <c r="O21" s="40" t="str">
        <f>HYPERLINK("https://docs.google.com/document/d/1x1i6bJS-v7BCPsDWvQ6qrbxB4azVa-68KlXBjIxmPt4/edit?usp=sharing","Link")</f>
        <v>Link</v>
      </c>
      <c r="P21" s="16"/>
      <c r="Q21" s="23"/>
    </row>
    <row r="22">
      <c r="P22" s="259"/>
      <c r="Q22" s="260"/>
    </row>
    <row r="23">
      <c r="A23" s="269" t="s">
        <v>481</v>
      </c>
      <c r="P23" s="259"/>
      <c r="Q23" s="260"/>
    </row>
    <row r="24">
      <c r="A24" s="270" t="s">
        <v>482</v>
      </c>
      <c r="P24" s="259"/>
      <c r="Q24" s="260"/>
    </row>
    <row r="25">
      <c r="A25" s="151" t="s">
        <v>483</v>
      </c>
      <c r="P25" s="259"/>
      <c r="Q25" s="260"/>
    </row>
    <row r="26">
      <c r="P26" s="259"/>
      <c r="Q26" s="260"/>
    </row>
    <row r="27">
      <c r="P27" s="259"/>
      <c r="Q27" s="260"/>
    </row>
    <row r="28">
      <c r="P28" s="259"/>
      <c r="Q28" s="260"/>
    </row>
    <row r="29">
      <c r="P29" s="259"/>
      <c r="Q29" s="260"/>
    </row>
    <row r="30">
      <c r="P30" s="259"/>
      <c r="Q30" s="260"/>
    </row>
    <row r="31">
      <c r="P31" s="259"/>
      <c r="Q31" s="260"/>
    </row>
    <row r="32">
      <c r="P32" s="259"/>
      <c r="Q32" s="260"/>
    </row>
    <row r="33">
      <c r="P33" s="259"/>
      <c r="Q33" s="260"/>
    </row>
    <row r="34">
      <c r="P34" s="259"/>
      <c r="Q34" s="260"/>
    </row>
    <row r="35">
      <c r="P35" s="259"/>
      <c r="Q35" s="260"/>
    </row>
    <row r="36">
      <c r="P36" s="259"/>
      <c r="Q36" s="260"/>
    </row>
    <row r="37">
      <c r="P37" s="259"/>
      <c r="Q37" s="260"/>
    </row>
    <row r="38">
      <c r="P38" s="259"/>
      <c r="Q38" s="260"/>
    </row>
    <row r="39">
      <c r="P39" s="259"/>
      <c r="Q39" s="260"/>
    </row>
    <row r="40">
      <c r="P40" s="259"/>
      <c r="Q40" s="260"/>
    </row>
    <row r="41">
      <c r="P41" s="259"/>
      <c r="Q41" s="260"/>
    </row>
    <row r="42">
      <c r="P42" s="259"/>
      <c r="Q42" s="260"/>
    </row>
    <row r="43">
      <c r="P43" s="259"/>
      <c r="Q43" s="260"/>
    </row>
    <row r="44">
      <c r="P44" s="259"/>
      <c r="Q44" s="260"/>
    </row>
    <row r="45">
      <c r="P45" s="259"/>
      <c r="Q45" s="260"/>
    </row>
    <row r="46">
      <c r="P46" s="259"/>
      <c r="Q46" s="260"/>
    </row>
    <row r="47">
      <c r="P47" s="259"/>
      <c r="Q47" s="260"/>
    </row>
    <row r="48">
      <c r="P48" s="259"/>
      <c r="Q48" s="260"/>
    </row>
    <row r="49">
      <c r="P49" s="259"/>
      <c r="Q49" s="260"/>
    </row>
    <row r="50">
      <c r="P50" s="259"/>
      <c r="Q50" s="260"/>
    </row>
    <row r="51">
      <c r="P51" s="259"/>
      <c r="Q51" s="260"/>
    </row>
    <row r="52">
      <c r="P52" s="259"/>
      <c r="Q52" s="260"/>
    </row>
    <row r="53">
      <c r="P53" s="259"/>
      <c r="Q53" s="260"/>
    </row>
    <row r="54">
      <c r="P54" s="259"/>
      <c r="Q54" s="260"/>
    </row>
    <row r="55">
      <c r="P55" s="259"/>
      <c r="Q55" s="260"/>
    </row>
    <row r="56">
      <c r="P56" s="259"/>
      <c r="Q56" s="260"/>
    </row>
    <row r="57">
      <c r="P57" s="259"/>
      <c r="Q57" s="260"/>
    </row>
    <row r="58">
      <c r="P58" s="259"/>
      <c r="Q58" s="260"/>
    </row>
    <row r="59">
      <c r="P59" s="259"/>
      <c r="Q59" s="260"/>
    </row>
    <row r="60">
      <c r="P60" s="259"/>
      <c r="Q60" s="260"/>
    </row>
    <row r="61">
      <c r="P61" s="259"/>
      <c r="Q61" s="260"/>
    </row>
    <row r="62">
      <c r="P62" s="259"/>
      <c r="Q62" s="260"/>
    </row>
    <row r="63">
      <c r="P63" s="259"/>
      <c r="Q63" s="260"/>
    </row>
    <row r="64">
      <c r="P64" s="259"/>
      <c r="Q64" s="260"/>
    </row>
    <row r="65">
      <c r="P65" s="259"/>
      <c r="Q65" s="260"/>
    </row>
    <row r="66">
      <c r="P66" s="259"/>
      <c r="Q66" s="260"/>
    </row>
    <row r="67">
      <c r="P67" s="259"/>
      <c r="Q67" s="260"/>
    </row>
    <row r="68">
      <c r="P68" s="259"/>
      <c r="Q68" s="260"/>
    </row>
    <row r="69">
      <c r="P69" s="259"/>
      <c r="Q69" s="260"/>
    </row>
    <row r="70">
      <c r="P70" s="259"/>
      <c r="Q70" s="260"/>
    </row>
    <row r="71">
      <c r="P71" s="259"/>
      <c r="Q71" s="260"/>
    </row>
    <row r="72">
      <c r="P72" s="259"/>
      <c r="Q72" s="260"/>
    </row>
    <row r="73">
      <c r="P73" s="259"/>
      <c r="Q73" s="260"/>
    </row>
    <row r="74">
      <c r="P74" s="259"/>
      <c r="Q74" s="260"/>
    </row>
    <row r="75">
      <c r="P75" s="259"/>
      <c r="Q75" s="260"/>
    </row>
    <row r="76">
      <c r="P76" s="259"/>
      <c r="Q76" s="260"/>
    </row>
    <row r="77">
      <c r="P77" s="259"/>
      <c r="Q77" s="260"/>
    </row>
    <row r="78">
      <c r="P78" s="259"/>
      <c r="Q78" s="260"/>
    </row>
    <row r="79">
      <c r="P79" s="259"/>
      <c r="Q79" s="260"/>
    </row>
    <row r="80">
      <c r="P80" s="259"/>
      <c r="Q80" s="260"/>
    </row>
    <row r="81">
      <c r="P81" s="259"/>
      <c r="Q81" s="260"/>
    </row>
    <row r="82">
      <c r="P82" s="259"/>
      <c r="Q82" s="260"/>
    </row>
    <row r="83">
      <c r="P83" s="259"/>
      <c r="Q83" s="260"/>
    </row>
    <row r="84">
      <c r="P84" s="259"/>
      <c r="Q84" s="260"/>
    </row>
    <row r="85">
      <c r="P85" s="259"/>
      <c r="Q85" s="260"/>
    </row>
    <row r="86">
      <c r="P86" s="259"/>
      <c r="Q86" s="260"/>
    </row>
    <row r="87">
      <c r="P87" s="259"/>
      <c r="Q87" s="260"/>
    </row>
    <row r="88">
      <c r="P88" s="259"/>
      <c r="Q88" s="260"/>
    </row>
    <row r="89">
      <c r="P89" s="259"/>
      <c r="Q89" s="260"/>
    </row>
    <row r="90">
      <c r="P90" s="259"/>
      <c r="Q90" s="260"/>
    </row>
    <row r="91">
      <c r="P91" s="259"/>
      <c r="Q91" s="260"/>
    </row>
    <row r="92">
      <c r="P92" s="259"/>
      <c r="Q92" s="260"/>
    </row>
    <row r="93">
      <c r="P93" s="259"/>
      <c r="Q93" s="260"/>
    </row>
    <row r="94">
      <c r="P94" s="259"/>
      <c r="Q94" s="260"/>
    </row>
    <row r="95">
      <c r="P95" s="259"/>
      <c r="Q95" s="260"/>
    </row>
    <row r="96">
      <c r="P96" s="259"/>
      <c r="Q96" s="260"/>
    </row>
    <row r="97">
      <c r="P97" s="259"/>
      <c r="Q97" s="260"/>
    </row>
    <row r="98">
      <c r="P98" s="259"/>
      <c r="Q98" s="260"/>
    </row>
    <row r="99">
      <c r="P99" s="259"/>
      <c r="Q99" s="260"/>
    </row>
    <row r="100">
      <c r="P100" s="259"/>
      <c r="Q100" s="260"/>
    </row>
    <row r="101">
      <c r="P101" s="259"/>
      <c r="Q101" s="260"/>
    </row>
    <row r="102">
      <c r="P102" s="259"/>
      <c r="Q102" s="260"/>
    </row>
    <row r="103">
      <c r="P103" s="259"/>
      <c r="Q103" s="260"/>
    </row>
    <row r="104">
      <c r="P104" s="259"/>
      <c r="Q104" s="260"/>
    </row>
    <row r="105">
      <c r="P105" s="259"/>
      <c r="Q105" s="260"/>
    </row>
    <row r="106">
      <c r="P106" s="259"/>
      <c r="Q106" s="260"/>
    </row>
    <row r="107">
      <c r="P107" s="259"/>
      <c r="Q107" s="260"/>
    </row>
    <row r="108">
      <c r="P108" s="259"/>
      <c r="Q108" s="260"/>
    </row>
    <row r="109">
      <c r="P109" s="259"/>
      <c r="Q109" s="260"/>
    </row>
    <row r="110">
      <c r="P110" s="259"/>
      <c r="Q110" s="260"/>
    </row>
    <row r="111">
      <c r="P111" s="259"/>
      <c r="Q111" s="260"/>
    </row>
    <row r="112">
      <c r="P112" s="259"/>
      <c r="Q112" s="260"/>
    </row>
    <row r="113">
      <c r="P113" s="259"/>
      <c r="Q113" s="260"/>
    </row>
    <row r="114">
      <c r="P114" s="259"/>
      <c r="Q114" s="260"/>
    </row>
    <row r="115">
      <c r="P115" s="259"/>
      <c r="Q115" s="260"/>
    </row>
    <row r="116">
      <c r="P116" s="259"/>
      <c r="Q116" s="260"/>
    </row>
    <row r="117">
      <c r="P117" s="259"/>
      <c r="Q117" s="260"/>
    </row>
    <row r="118">
      <c r="P118" s="259"/>
      <c r="Q118" s="260"/>
    </row>
    <row r="119">
      <c r="P119" s="259"/>
      <c r="Q119" s="260"/>
    </row>
    <row r="120">
      <c r="P120" s="259"/>
      <c r="Q120" s="260"/>
    </row>
    <row r="121">
      <c r="P121" s="259"/>
      <c r="Q121" s="260"/>
    </row>
    <row r="122">
      <c r="P122" s="259"/>
      <c r="Q122" s="260"/>
    </row>
    <row r="123">
      <c r="P123" s="259"/>
      <c r="Q123" s="260"/>
    </row>
    <row r="124">
      <c r="P124" s="259"/>
      <c r="Q124" s="260"/>
    </row>
    <row r="125">
      <c r="P125" s="259"/>
      <c r="Q125" s="260"/>
    </row>
    <row r="126">
      <c r="P126" s="259"/>
      <c r="Q126" s="260"/>
    </row>
    <row r="127">
      <c r="P127" s="259"/>
      <c r="Q127" s="260"/>
    </row>
    <row r="128">
      <c r="P128" s="259"/>
      <c r="Q128" s="260"/>
    </row>
    <row r="129">
      <c r="P129" s="259"/>
      <c r="Q129" s="260"/>
    </row>
    <row r="130">
      <c r="P130" s="259"/>
      <c r="Q130" s="260"/>
    </row>
    <row r="131">
      <c r="P131" s="259"/>
      <c r="Q131" s="260"/>
    </row>
    <row r="132">
      <c r="P132" s="259"/>
      <c r="Q132" s="260"/>
    </row>
    <row r="133">
      <c r="P133" s="259"/>
      <c r="Q133" s="260"/>
    </row>
    <row r="134">
      <c r="P134" s="259"/>
      <c r="Q134" s="260"/>
    </row>
    <row r="135">
      <c r="P135" s="259"/>
      <c r="Q135" s="260"/>
    </row>
    <row r="136">
      <c r="P136" s="259"/>
      <c r="Q136" s="260"/>
    </row>
    <row r="137">
      <c r="P137" s="259"/>
      <c r="Q137" s="260"/>
    </row>
    <row r="138">
      <c r="P138" s="259"/>
      <c r="Q138" s="260"/>
    </row>
    <row r="139">
      <c r="P139" s="259"/>
      <c r="Q139" s="260"/>
    </row>
    <row r="140">
      <c r="P140" s="259"/>
      <c r="Q140" s="260"/>
    </row>
    <row r="141">
      <c r="P141" s="259"/>
      <c r="Q141" s="260"/>
    </row>
    <row r="142">
      <c r="P142" s="259"/>
      <c r="Q142" s="260"/>
    </row>
    <row r="143">
      <c r="P143" s="259"/>
      <c r="Q143" s="260"/>
    </row>
    <row r="144">
      <c r="P144" s="259"/>
      <c r="Q144" s="260"/>
    </row>
    <row r="145">
      <c r="P145" s="259"/>
      <c r="Q145" s="260"/>
    </row>
    <row r="146">
      <c r="P146" s="259"/>
      <c r="Q146" s="260"/>
    </row>
    <row r="147">
      <c r="P147" s="259"/>
      <c r="Q147" s="260"/>
    </row>
    <row r="148">
      <c r="P148" s="259"/>
      <c r="Q148" s="260"/>
    </row>
    <row r="149">
      <c r="P149" s="259"/>
      <c r="Q149" s="260"/>
    </row>
    <row r="150">
      <c r="P150" s="259"/>
      <c r="Q150" s="260"/>
    </row>
    <row r="151">
      <c r="P151" s="259"/>
      <c r="Q151" s="260"/>
    </row>
    <row r="152">
      <c r="P152" s="259"/>
      <c r="Q152" s="260"/>
    </row>
    <row r="153">
      <c r="P153" s="259"/>
      <c r="Q153" s="260"/>
    </row>
    <row r="154">
      <c r="P154" s="259"/>
      <c r="Q154" s="260"/>
    </row>
    <row r="155">
      <c r="P155" s="259"/>
      <c r="Q155" s="260"/>
    </row>
    <row r="156">
      <c r="P156" s="259"/>
      <c r="Q156" s="260"/>
    </row>
    <row r="157">
      <c r="P157" s="259"/>
      <c r="Q157" s="260"/>
    </row>
    <row r="158">
      <c r="P158" s="259"/>
      <c r="Q158" s="260"/>
    </row>
    <row r="159">
      <c r="P159" s="259"/>
      <c r="Q159" s="260"/>
    </row>
    <row r="160">
      <c r="P160" s="259"/>
      <c r="Q160" s="260"/>
    </row>
    <row r="161">
      <c r="P161" s="259"/>
      <c r="Q161" s="260"/>
    </row>
    <row r="162">
      <c r="P162" s="259"/>
      <c r="Q162" s="260"/>
    </row>
    <row r="163">
      <c r="P163" s="259"/>
      <c r="Q163" s="260"/>
    </row>
    <row r="164">
      <c r="P164" s="259"/>
      <c r="Q164" s="260"/>
    </row>
    <row r="165">
      <c r="P165" s="259"/>
      <c r="Q165" s="260"/>
    </row>
    <row r="166">
      <c r="P166" s="259"/>
      <c r="Q166" s="260"/>
    </row>
    <row r="167">
      <c r="P167" s="259"/>
      <c r="Q167" s="260"/>
    </row>
    <row r="168">
      <c r="P168" s="259"/>
      <c r="Q168" s="260"/>
    </row>
    <row r="169">
      <c r="P169" s="259"/>
      <c r="Q169" s="260"/>
    </row>
    <row r="170">
      <c r="P170" s="259"/>
      <c r="Q170" s="260"/>
    </row>
    <row r="171">
      <c r="P171" s="259"/>
      <c r="Q171" s="260"/>
    </row>
    <row r="172">
      <c r="P172" s="259"/>
      <c r="Q172" s="260"/>
    </row>
    <row r="173">
      <c r="P173" s="259"/>
      <c r="Q173" s="260"/>
    </row>
    <row r="174">
      <c r="P174" s="259"/>
      <c r="Q174" s="260"/>
    </row>
    <row r="175">
      <c r="P175" s="259"/>
      <c r="Q175" s="260"/>
    </row>
    <row r="176">
      <c r="P176" s="259"/>
      <c r="Q176" s="260"/>
    </row>
    <row r="177">
      <c r="P177" s="259"/>
      <c r="Q177" s="260"/>
    </row>
    <row r="178">
      <c r="P178" s="259"/>
      <c r="Q178" s="260"/>
    </row>
    <row r="179">
      <c r="P179" s="259"/>
      <c r="Q179" s="260"/>
    </row>
    <row r="180">
      <c r="P180" s="259"/>
      <c r="Q180" s="260"/>
    </row>
    <row r="181">
      <c r="P181" s="259"/>
      <c r="Q181" s="260"/>
    </row>
    <row r="182">
      <c r="P182" s="259"/>
      <c r="Q182" s="260"/>
    </row>
    <row r="183">
      <c r="P183" s="259"/>
      <c r="Q183" s="260"/>
    </row>
    <row r="184">
      <c r="P184" s="259"/>
      <c r="Q184" s="260"/>
    </row>
    <row r="185">
      <c r="P185" s="259"/>
      <c r="Q185" s="260"/>
    </row>
    <row r="186">
      <c r="P186" s="259"/>
      <c r="Q186" s="260"/>
    </row>
    <row r="187">
      <c r="P187" s="259"/>
      <c r="Q187" s="260"/>
    </row>
    <row r="188">
      <c r="P188" s="259"/>
      <c r="Q188" s="260"/>
    </row>
    <row r="189">
      <c r="P189" s="259"/>
      <c r="Q189" s="260"/>
    </row>
    <row r="190">
      <c r="P190" s="259"/>
      <c r="Q190" s="260"/>
    </row>
    <row r="191">
      <c r="P191" s="259"/>
      <c r="Q191" s="260"/>
    </row>
    <row r="192">
      <c r="P192" s="259"/>
      <c r="Q192" s="260"/>
    </row>
    <row r="193">
      <c r="P193" s="259"/>
      <c r="Q193" s="260"/>
    </row>
    <row r="194">
      <c r="P194" s="259"/>
      <c r="Q194" s="260"/>
    </row>
    <row r="195">
      <c r="P195" s="259"/>
      <c r="Q195" s="260"/>
    </row>
    <row r="196">
      <c r="P196" s="259"/>
      <c r="Q196" s="260"/>
    </row>
    <row r="197">
      <c r="P197" s="259"/>
      <c r="Q197" s="260"/>
    </row>
    <row r="198">
      <c r="P198" s="259"/>
      <c r="Q198" s="260"/>
    </row>
    <row r="199">
      <c r="P199" s="259"/>
      <c r="Q199" s="260"/>
    </row>
    <row r="200">
      <c r="P200" s="259"/>
      <c r="Q200" s="260"/>
    </row>
    <row r="201">
      <c r="P201" s="259"/>
      <c r="Q201" s="260"/>
    </row>
    <row r="202">
      <c r="P202" s="259"/>
      <c r="Q202" s="260"/>
    </row>
    <row r="203">
      <c r="P203" s="259"/>
      <c r="Q203" s="260"/>
    </row>
    <row r="204">
      <c r="P204" s="259"/>
      <c r="Q204" s="260"/>
    </row>
    <row r="205">
      <c r="P205" s="259"/>
      <c r="Q205" s="260"/>
    </row>
    <row r="206">
      <c r="P206" s="259"/>
      <c r="Q206" s="260"/>
    </row>
    <row r="207">
      <c r="P207" s="259"/>
      <c r="Q207" s="260"/>
    </row>
    <row r="208">
      <c r="P208" s="259"/>
      <c r="Q208" s="260"/>
    </row>
    <row r="209">
      <c r="P209" s="259"/>
      <c r="Q209" s="260"/>
    </row>
    <row r="210">
      <c r="P210" s="259"/>
      <c r="Q210" s="260"/>
    </row>
    <row r="211">
      <c r="P211" s="259"/>
      <c r="Q211" s="260"/>
    </row>
    <row r="212">
      <c r="P212" s="259"/>
      <c r="Q212" s="260"/>
    </row>
    <row r="213">
      <c r="P213" s="259"/>
      <c r="Q213" s="260"/>
    </row>
    <row r="214">
      <c r="P214" s="259"/>
      <c r="Q214" s="260"/>
    </row>
    <row r="215">
      <c r="P215" s="259"/>
      <c r="Q215" s="260"/>
    </row>
    <row r="216">
      <c r="P216" s="259"/>
      <c r="Q216" s="260"/>
    </row>
    <row r="217">
      <c r="P217" s="259"/>
      <c r="Q217" s="260"/>
    </row>
    <row r="218">
      <c r="P218" s="259"/>
      <c r="Q218" s="260"/>
    </row>
    <row r="219">
      <c r="P219" s="259"/>
      <c r="Q219" s="260"/>
    </row>
    <row r="220">
      <c r="P220" s="259"/>
      <c r="Q220" s="260"/>
    </row>
    <row r="221">
      <c r="P221" s="259"/>
      <c r="Q221" s="260"/>
    </row>
    <row r="222">
      <c r="P222" s="259"/>
      <c r="Q222" s="260"/>
    </row>
    <row r="223">
      <c r="P223" s="259"/>
      <c r="Q223" s="260"/>
    </row>
    <row r="224">
      <c r="P224" s="259"/>
      <c r="Q224" s="260"/>
    </row>
    <row r="225">
      <c r="P225" s="259"/>
      <c r="Q225" s="260"/>
    </row>
    <row r="226">
      <c r="P226" s="259"/>
      <c r="Q226" s="260"/>
    </row>
    <row r="227">
      <c r="P227" s="259"/>
      <c r="Q227" s="260"/>
    </row>
    <row r="228">
      <c r="P228" s="259"/>
      <c r="Q228" s="260"/>
    </row>
    <row r="229">
      <c r="P229" s="259"/>
      <c r="Q229" s="260"/>
    </row>
    <row r="230">
      <c r="P230" s="259"/>
      <c r="Q230" s="260"/>
    </row>
    <row r="231">
      <c r="P231" s="259"/>
      <c r="Q231" s="260"/>
    </row>
    <row r="232">
      <c r="P232" s="259"/>
      <c r="Q232" s="260"/>
    </row>
    <row r="233">
      <c r="P233" s="259"/>
      <c r="Q233" s="260"/>
    </row>
    <row r="234">
      <c r="P234" s="259"/>
      <c r="Q234" s="260"/>
    </row>
    <row r="235">
      <c r="P235" s="259"/>
      <c r="Q235" s="260"/>
    </row>
    <row r="236">
      <c r="P236" s="259"/>
      <c r="Q236" s="260"/>
    </row>
    <row r="237">
      <c r="P237" s="259"/>
      <c r="Q237" s="260"/>
    </row>
    <row r="238">
      <c r="P238" s="259"/>
      <c r="Q238" s="260"/>
    </row>
    <row r="239">
      <c r="P239" s="259"/>
      <c r="Q239" s="260"/>
    </row>
    <row r="240">
      <c r="P240" s="259"/>
      <c r="Q240" s="260"/>
    </row>
    <row r="241">
      <c r="P241" s="259"/>
      <c r="Q241" s="260"/>
    </row>
    <row r="242">
      <c r="P242" s="259"/>
      <c r="Q242" s="260"/>
    </row>
    <row r="243">
      <c r="P243" s="259"/>
      <c r="Q243" s="260"/>
    </row>
    <row r="244">
      <c r="P244" s="259"/>
      <c r="Q244" s="260"/>
    </row>
    <row r="245">
      <c r="P245" s="259"/>
      <c r="Q245" s="260"/>
    </row>
    <row r="246">
      <c r="P246" s="259"/>
      <c r="Q246" s="260"/>
    </row>
    <row r="247">
      <c r="P247" s="259"/>
      <c r="Q247" s="260"/>
    </row>
    <row r="248">
      <c r="P248" s="259"/>
      <c r="Q248" s="260"/>
    </row>
    <row r="249">
      <c r="P249" s="259"/>
      <c r="Q249" s="260"/>
    </row>
    <row r="250">
      <c r="P250" s="259"/>
      <c r="Q250" s="260"/>
    </row>
    <row r="251">
      <c r="P251" s="259"/>
      <c r="Q251" s="260"/>
    </row>
    <row r="252">
      <c r="P252" s="259"/>
      <c r="Q252" s="260"/>
    </row>
    <row r="253">
      <c r="P253" s="259"/>
      <c r="Q253" s="260"/>
    </row>
    <row r="254">
      <c r="P254" s="259"/>
      <c r="Q254" s="260"/>
    </row>
    <row r="255">
      <c r="P255" s="259"/>
      <c r="Q255" s="260"/>
    </row>
    <row r="256">
      <c r="P256" s="259"/>
      <c r="Q256" s="260"/>
    </row>
    <row r="257">
      <c r="P257" s="259"/>
      <c r="Q257" s="260"/>
    </row>
    <row r="258">
      <c r="P258" s="259"/>
      <c r="Q258" s="260"/>
    </row>
    <row r="259">
      <c r="P259" s="259"/>
      <c r="Q259" s="260"/>
    </row>
    <row r="260">
      <c r="P260" s="259"/>
      <c r="Q260" s="260"/>
    </row>
    <row r="261">
      <c r="P261" s="259"/>
      <c r="Q261" s="260"/>
    </row>
    <row r="262">
      <c r="P262" s="259"/>
      <c r="Q262" s="260"/>
    </row>
    <row r="263">
      <c r="P263" s="259"/>
      <c r="Q263" s="260"/>
    </row>
    <row r="264">
      <c r="P264" s="259"/>
      <c r="Q264" s="260"/>
    </row>
    <row r="265">
      <c r="P265" s="259"/>
      <c r="Q265" s="260"/>
    </row>
    <row r="266">
      <c r="P266" s="259"/>
      <c r="Q266" s="260"/>
    </row>
    <row r="267">
      <c r="P267" s="259"/>
      <c r="Q267" s="260"/>
    </row>
    <row r="268">
      <c r="P268" s="259"/>
      <c r="Q268" s="260"/>
    </row>
    <row r="269">
      <c r="P269" s="259"/>
      <c r="Q269" s="260"/>
    </row>
    <row r="270">
      <c r="P270" s="259"/>
      <c r="Q270" s="260"/>
    </row>
    <row r="271">
      <c r="P271" s="259"/>
      <c r="Q271" s="260"/>
    </row>
    <row r="272">
      <c r="P272" s="259"/>
      <c r="Q272" s="260"/>
    </row>
    <row r="273">
      <c r="P273" s="259"/>
      <c r="Q273" s="260"/>
    </row>
    <row r="274">
      <c r="P274" s="259"/>
      <c r="Q274" s="260"/>
    </row>
    <row r="275">
      <c r="P275" s="259"/>
      <c r="Q275" s="260"/>
    </row>
    <row r="276">
      <c r="P276" s="259"/>
      <c r="Q276" s="260"/>
    </row>
    <row r="277">
      <c r="P277" s="259"/>
      <c r="Q277" s="260"/>
    </row>
    <row r="278">
      <c r="P278" s="259"/>
      <c r="Q278" s="260"/>
    </row>
    <row r="279">
      <c r="P279" s="259"/>
      <c r="Q279" s="260"/>
    </row>
    <row r="280">
      <c r="P280" s="259"/>
      <c r="Q280" s="260"/>
    </row>
    <row r="281">
      <c r="P281" s="259"/>
      <c r="Q281" s="260"/>
    </row>
    <row r="282">
      <c r="P282" s="259"/>
      <c r="Q282" s="260"/>
    </row>
    <row r="283">
      <c r="P283" s="259"/>
      <c r="Q283" s="260"/>
    </row>
    <row r="284">
      <c r="P284" s="259"/>
      <c r="Q284" s="260"/>
    </row>
    <row r="285">
      <c r="P285" s="259"/>
      <c r="Q285" s="260"/>
    </row>
    <row r="286">
      <c r="P286" s="259"/>
      <c r="Q286" s="260"/>
    </row>
    <row r="287">
      <c r="P287" s="259"/>
      <c r="Q287" s="260"/>
    </row>
    <row r="288">
      <c r="P288" s="259"/>
      <c r="Q288" s="260"/>
    </row>
    <row r="289">
      <c r="P289" s="259"/>
      <c r="Q289" s="260"/>
    </row>
    <row r="290">
      <c r="P290" s="259"/>
      <c r="Q290" s="260"/>
    </row>
    <row r="291">
      <c r="P291" s="259"/>
      <c r="Q291" s="260"/>
    </row>
    <row r="292">
      <c r="P292" s="259"/>
      <c r="Q292" s="260"/>
    </row>
    <row r="293">
      <c r="P293" s="259"/>
      <c r="Q293" s="260"/>
    </row>
    <row r="294">
      <c r="P294" s="259"/>
      <c r="Q294" s="260"/>
    </row>
    <row r="295">
      <c r="P295" s="259"/>
      <c r="Q295" s="260"/>
    </row>
    <row r="296">
      <c r="P296" s="259"/>
      <c r="Q296" s="260"/>
    </row>
    <row r="297">
      <c r="P297" s="259"/>
      <c r="Q297" s="260"/>
    </row>
    <row r="298">
      <c r="P298" s="259"/>
      <c r="Q298" s="260"/>
    </row>
    <row r="299">
      <c r="P299" s="259"/>
      <c r="Q299" s="260"/>
    </row>
    <row r="300">
      <c r="P300" s="259"/>
      <c r="Q300" s="260"/>
    </row>
    <row r="301">
      <c r="P301" s="259"/>
      <c r="Q301" s="260"/>
    </row>
    <row r="302">
      <c r="P302" s="259"/>
      <c r="Q302" s="260"/>
    </row>
    <row r="303">
      <c r="P303" s="259"/>
      <c r="Q303" s="260"/>
    </row>
    <row r="304">
      <c r="P304" s="259"/>
      <c r="Q304" s="260"/>
    </row>
    <row r="305">
      <c r="P305" s="259"/>
      <c r="Q305" s="260"/>
    </row>
    <row r="306">
      <c r="P306" s="259"/>
      <c r="Q306" s="260"/>
    </row>
    <row r="307">
      <c r="P307" s="259"/>
      <c r="Q307" s="260"/>
    </row>
    <row r="308">
      <c r="P308" s="259"/>
      <c r="Q308" s="260"/>
    </row>
    <row r="309">
      <c r="P309" s="259"/>
      <c r="Q309" s="260"/>
    </row>
    <row r="310">
      <c r="P310" s="259"/>
      <c r="Q310" s="260"/>
    </row>
    <row r="311">
      <c r="P311" s="259"/>
      <c r="Q311" s="260"/>
    </row>
    <row r="312">
      <c r="P312" s="259"/>
      <c r="Q312" s="260"/>
    </row>
    <row r="313">
      <c r="P313" s="259"/>
      <c r="Q313" s="260"/>
    </row>
    <row r="314">
      <c r="P314" s="259"/>
      <c r="Q314" s="260"/>
    </row>
    <row r="315">
      <c r="P315" s="259"/>
      <c r="Q315" s="260"/>
    </row>
    <row r="316">
      <c r="P316" s="259"/>
      <c r="Q316" s="260"/>
    </row>
    <row r="317">
      <c r="P317" s="259"/>
      <c r="Q317" s="260"/>
    </row>
    <row r="318">
      <c r="P318" s="259"/>
      <c r="Q318" s="260"/>
    </row>
    <row r="319">
      <c r="P319" s="259"/>
      <c r="Q319" s="260"/>
    </row>
    <row r="320">
      <c r="P320" s="259"/>
      <c r="Q320" s="260"/>
    </row>
    <row r="321">
      <c r="P321" s="259"/>
      <c r="Q321" s="260"/>
    </row>
    <row r="322">
      <c r="P322" s="259"/>
      <c r="Q322" s="260"/>
    </row>
    <row r="323">
      <c r="P323" s="259"/>
      <c r="Q323" s="260"/>
    </row>
    <row r="324">
      <c r="P324" s="259"/>
      <c r="Q324" s="260"/>
    </row>
    <row r="325">
      <c r="P325" s="259"/>
      <c r="Q325" s="260"/>
    </row>
    <row r="326">
      <c r="P326" s="259"/>
      <c r="Q326" s="260"/>
    </row>
    <row r="327">
      <c r="P327" s="259"/>
      <c r="Q327" s="260"/>
    </row>
    <row r="328">
      <c r="P328" s="259"/>
      <c r="Q328" s="260"/>
    </row>
    <row r="329">
      <c r="P329" s="259"/>
      <c r="Q329" s="260"/>
    </row>
    <row r="330">
      <c r="P330" s="259"/>
      <c r="Q330" s="260"/>
    </row>
    <row r="331">
      <c r="P331" s="259"/>
      <c r="Q331" s="260"/>
    </row>
    <row r="332">
      <c r="P332" s="259"/>
      <c r="Q332" s="260"/>
    </row>
    <row r="333">
      <c r="P333" s="259"/>
      <c r="Q333" s="260"/>
    </row>
    <row r="334">
      <c r="P334" s="259"/>
      <c r="Q334" s="260"/>
    </row>
    <row r="335">
      <c r="P335" s="259"/>
      <c r="Q335" s="260"/>
    </row>
    <row r="336">
      <c r="P336" s="259"/>
      <c r="Q336" s="260"/>
    </row>
    <row r="337">
      <c r="P337" s="259"/>
      <c r="Q337" s="260"/>
    </row>
    <row r="338">
      <c r="P338" s="259"/>
      <c r="Q338" s="260"/>
    </row>
    <row r="339">
      <c r="P339" s="259"/>
      <c r="Q339" s="260"/>
    </row>
    <row r="340">
      <c r="P340" s="259"/>
      <c r="Q340" s="260"/>
    </row>
    <row r="341">
      <c r="P341" s="259"/>
      <c r="Q341" s="260"/>
    </row>
    <row r="342">
      <c r="P342" s="259"/>
      <c r="Q342" s="260"/>
    </row>
    <row r="343">
      <c r="P343" s="259"/>
      <c r="Q343" s="260"/>
    </row>
    <row r="344">
      <c r="P344" s="259"/>
      <c r="Q344" s="260"/>
    </row>
    <row r="345">
      <c r="P345" s="259"/>
      <c r="Q345" s="260"/>
    </row>
    <row r="346">
      <c r="P346" s="259"/>
      <c r="Q346" s="260"/>
    </row>
    <row r="347">
      <c r="P347" s="259"/>
      <c r="Q347" s="260"/>
    </row>
    <row r="348">
      <c r="P348" s="259"/>
      <c r="Q348" s="260"/>
    </row>
    <row r="349">
      <c r="P349" s="259"/>
      <c r="Q349" s="260"/>
    </row>
    <row r="350">
      <c r="P350" s="259"/>
      <c r="Q350" s="260"/>
    </row>
    <row r="351">
      <c r="P351" s="259"/>
      <c r="Q351" s="260"/>
    </row>
    <row r="352">
      <c r="P352" s="259"/>
      <c r="Q352" s="260"/>
    </row>
    <row r="353">
      <c r="P353" s="259"/>
      <c r="Q353" s="260"/>
    </row>
    <row r="354">
      <c r="P354" s="259"/>
      <c r="Q354" s="260"/>
    </row>
    <row r="355">
      <c r="P355" s="259"/>
      <c r="Q355" s="260"/>
    </row>
    <row r="356">
      <c r="P356" s="259"/>
      <c r="Q356" s="260"/>
    </row>
    <row r="357">
      <c r="P357" s="259"/>
      <c r="Q357" s="260"/>
    </row>
    <row r="358">
      <c r="P358" s="259"/>
      <c r="Q358" s="260"/>
    </row>
    <row r="359">
      <c r="P359" s="259"/>
      <c r="Q359" s="260"/>
    </row>
    <row r="360">
      <c r="P360" s="259"/>
      <c r="Q360" s="260"/>
    </row>
    <row r="361">
      <c r="P361" s="259"/>
      <c r="Q361" s="260"/>
    </row>
    <row r="362">
      <c r="P362" s="259"/>
      <c r="Q362" s="260"/>
    </row>
    <row r="363">
      <c r="P363" s="259"/>
      <c r="Q363" s="260"/>
    </row>
    <row r="364">
      <c r="P364" s="259"/>
      <c r="Q364" s="260"/>
    </row>
    <row r="365">
      <c r="P365" s="259"/>
      <c r="Q365" s="260"/>
    </row>
    <row r="366">
      <c r="P366" s="259"/>
      <c r="Q366" s="260"/>
    </row>
    <row r="367">
      <c r="P367" s="259"/>
      <c r="Q367" s="260"/>
    </row>
    <row r="368">
      <c r="P368" s="259"/>
      <c r="Q368" s="260"/>
    </row>
    <row r="369">
      <c r="P369" s="259"/>
      <c r="Q369" s="260"/>
    </row>
    <row r="370">
      <c r="P370" s="259"/>
      <c r="Q370" s="260"/>
    </row>
    <row r="371">
      <c r="P371" s="259"/>
      <c r="Q371" s="260"/>
    </row>
    <row r="372">
      <c r="P372" s="259"/>
      <c r="Q372" s="260"/>
    </row>
    <row r="373">
      <c r="P373" s="259"/>
      <c r="Q373" s="260"/>
    </row>
    <row r="374">
      <c r="P374" s="259"/>
      <c r="Q374" s="260"/>
    </row>
    <row r="375">
      <c r="P375" s="259"/>
      <c r="Q375" s="260"/>
    </row>
    <row r="376">
      <c r="P376" s="259"/>
      <c r="Q376" s="260"/>
    </row>
    <row r="377">
      <c r="P377" s="259"/>
      <c r="Q377" s="260"/>
    </row>
    <row r="378">
      <c r="P378" s="259"/>
      <c r="Q378" s="260"/>
    </row>
    <row r="379">
      <c r="P379" s="259"/>
      <c r="Q379" s="260"/>
    </row>
    <row r="380">
      <c r="P380" s="259"/>
      <c r="Q380" s="260"/>
    </row>
    <row r="381">
      <c r="P381" s="259"/>
      <c r="Q381" s="260"/>
    </row>
    <row r="382">
      <c r="P382" s="259"/>
      <c r="Q382" s="260"/>
    </row>
    <row r="383">
      <c r="P383" s="259"/>
      <c r="Q383" s="260"/>
    </row>
    <row r="384">
      <c r="P384" s="259"/>
      <c r="Q384" s="260"/>
    </row>
    <row r="385">
      <c r="P385" s="259"/>
      <c r="Q385" s="260"/>
    </row>
    <row r="386">
      <c r="P386" s="259"/>
      <c r="Q386" s="260"/>
    </row>
    <row r="387">
      <c r="P387" s="259"/>
      <c r="Q387" s="260"/>
    </row>
    <row r="388">
      <c r="P388" s="259"/>
      <c r="Q388" s="260"/>
    </row>
    <row r="389">
      <c r="P389" s="259"/>
      <c r="Q389" s="260"/>
    </row>
    <row r="390">
      <c r="P390" s="259"/>
      <c r="Q390" s="260"/>
    </row>
    <row r="391">
      <c r="P391" s="259"/>
      <c r="Q391" s="260"/>
    </row>
    <row r="392">
      <c r="P392" s="259"/>
      <c r="Q392" s="260"/>
    </row>
    <row r="393">
      <c r="P393" s="259"/>
      <c r="Q393" s="260"/>
    </row>
    <row r="394">
      <c r="P394" s="259"/>
      <c r="Q394" s="260"/>
    </row>
    <row r="395">
      <c r="P395" s="259"/>
      <c r="Q395" s="260"/>
    </row>
    <row r="396">
      <c r="P396" s="259"/>
      <c r="Q396" s="260"/>
    </row>
    <row r="397">
      <c r="P397" s="259"/>
      <c r="Q397" s="260"/>
    </row>
    <row r="398">
      <c r="P398" s="259"/>
      <c r="Q398" s="260"/>
    </row>
    <row r="399">
      <c r="P399" s="259"/>
      <c r="Q399" s="260"/>
    </row>
    <row r="400">
      <c r="P400" s="259"/>
      <c r="Q400" s="260"/>
    </row>
    <row r="401">
      <c r="P401" s="259"/>
      <c r="Q401" s="260"/>
    </row>
    <row r="402">
      <c r="P402" s="259"/>
      <c r="Q402" s="260"/>
    </row>
    <row r="403">
      <c r="P403" s="259"/>
      <c r="Q403" s="260"/>
    </row>
    <row r="404">
      <c r="P404" s="259"/>
      <c r="Q404" s="260"/>
    </row>
    <row r="405">
      <c r="P405" s="259"/>
      <c r="Q405" s="260"/>
    </row>
    <row r="406">
      <c r="P406" s="259"/>
      <c r="Q406" s="260"/>
    </row>
    <row r="407">
      <c r="P407" s="259"/>
      <c r="Q407" s="260"/>
    </row>
    <row r="408">
      <c r="P408" s="259"/>
      <c r="Q408" s="260"/>
    </row>
    <row r="409">
      <c r="P409" s="259"/>
      <c r="Q409" s="260"/>
    </row>
    <row r="410">
      <c r="P410" s="259"/>
      <c r="Q410" s="260"/>
    </row>
    <row r="411">
      <c r="P411" s="259"/>
      <c r="Q411" s="260"/>
    </row>
    <row r="412">
      <c r="P412" s="259"/>
      <c r="Q412" s="260"/>
    </row>
    <row r="413">
      <c r="P413" s="259"/>
      <c r="Q413" s="260"/>
    </row>
    <row r="414">
      <c r="P414" s="259"/>
      <c r="Q414" s="260"/>
    </row>
    <row r="415">
      <c r="P415" s="259"/>
      <c r="Q415" s="260"/>
    </row>
    <row r="416">
      <c r="P416" s="259"/>
      <c r="Q416" s="260"/>
    </row>
    <row r="417">
      <c r="P417" s="259"/>
      <c r="Q417" s="260"/>
    </row>
    <row r="418">
      <c r="P418" s="259"/>
      <c r="Q418" s="260"/>
    </row>
    <row r="419">
      <c r="P419" s="259"/>
      <c r="Q419" s="260"/>
    </row>
    <row r="420">
      <c r="P420" s="259"/>
      <c r="Q420" s="260"/>
    </row>
    <row r="421">
      <c r="P421" s="259"/>
      <c r="Q421" s="260"/>
    </row>
    <row r="422">
      <c r="P422" s="259"/>
      <c r="Q422" s="260"/>
    </row>
    <row r="423">
      <c r="P423" s="259"/>
      <c r="Q423" s="260"/>
    </row>
    <row r="424">
      <c r="P424" s="259"/>
      <c r="Q424" s="260"/>
    </row>
    <row r="425">
      <c r="P425" s="259"/>
      <c r="Q425" s="260"/>
    </row>
    <row r="426">
      <c r="P426" s="259"/>
      <c r="Q426" s="260"/>
    </row>
    <row r="427">
      <c r="P427" s="259"/>
      <c r="Q427" s="260"/>
    </row>
    <row r="428">
      <c r="P428" s="259"/>
      <c r="Q428" s="260"/>
    </row>
    <row r="429">
      <c r="P429" s="259"/>
      <c r="Q429" s="260"/>
    </row>
    <row r="430">
      <c r="P430" s="259"/>
      <c r="Q430" s="260"/>
    </row>
    <row r="431">
      <c r="P431" s="259"/>
      <c r="Q431" s="260"/>
    </row>
    <row r="432">
      <c r="P432" s="259"/>
      <c r="Q432" s="260"/>
    </row>
    <row r="433">
      <c r="P433" s="259"/>
      <c r="Q433" s="260"/>
    </row>
    <row r="434">
      <c r="P434" s="259"/>
      <c r="Q434" s="260"/>
    </row>
    <row r="435">
      <c r="P435" s="259"/>
      <c r="Q435" s="260"/>
    </row>
    <row r="436">
      <c r="P436" s="259"/>
      <c r="Q436" s="260"/>
    </row>
    <row r="437">
      <c r="P437" s="259"/>
      <c r="Q437" s="260"/>
    </row>
    <row r="438">
      <c r="P438" s="259"/>
      <c r="Q438" s="260"/>
    </row>
    <row r="439">
      <c r="P439" s="259"/>
      <c r="Q439" s="260"/>
    </row>
    <row r="440">
      <c r="P440" s="259"/>
      <c r="Q440" s="260"/>
    </row>
    <row r="441">
      <c r="P441" s="259"/>
      <c r="Q441" s="260"/>
    </row>
    <row r="442">
      <c r="P442" s="259"/>
      <c r="Q442" s="260"/>
    </row>
    <row r="443">
      <c r="P443" s="259"/>
      <c r="Q443" s="260"/>
    </row>
    <row r="444">
      <c r="P444" s="259"/>
      <c r="Q444" s="260"/>
    </row>
    <row r="445">
      <c r="P445" s="259"/>
      <c r="Q445" s="260"/>
    </row>
    <row r="446">
      <c r="P446" s="259"/>
      <c r="Q446" s="260"/>
    </row>
    <row r="447">
      <c r="P447" s="259"/>
      <c r="Q447" s="260"/>
    </row>
    <row r="448">
      <c r="P448" s="259"/>
      <c r="Q448" s="260"/>
    </row>
    <row r="449">
      <c r="P449" s="259"/>
      <c r="Q449" s="260"/>
    </row>
    <row r="450">
      <c r="P450" s="259"/>
      <c r="Q450" s="260"/>
    </row>
    <row r="451">
      <c r="P451" s="259"/>
      <c r="Q451" s="260"/>
    </row>
    <row r="452">
      <c r="P452" s="259"/>
      <c r="Q452" s="260"/>
    </row>
    <row r="453">
      <c r="P453" s="259"/>
      <c r="Q453" s="260"/>
    </row>
    <row r="454">
      <c r="P454" s="259"/>
      <c r="Q454" s="260"/>
    </row>
    <row r="455">
      <c r="P455" s="259"/>
      <c r="Q455" s="260"/>
    </row>
    <row r="456">
      <c r="P456" s="259"/>
      <c r="Q456" s="260"/>
    </row>
    <row r="457">
      <c r="P457" s="259"/>
      <c r="Q457" s="260"/>
    </row>
    <row r="458">
      <c r="P458" s="259"/>
      <c r="Q458" s="260"/>
    </row>
    <row r="459">
      <c r="P459" s="259"/>
      <c r="Q459" s="260"/>
    </row>
    <row r="460">
      <c r="P460" s="259"/>
      <c r="Q460" s="260"/>
    </row>
    <row r="461">
      <c r="P461" s="259"/>
      <c r="Q461" s="260"/>
    </row>
    <row r="462">
      <c r="P462" s="259"/>
      <c r="Q462" s="260"/>
    </row>
    <row r="463">
      <c r="P463" s="259"/>
      <c r="Q463" s="260"/>
    </row>
    <row r="464">
      <c r="P464" s="259"/>
      <c r="Q464" s="260"/>
    </row>
    <row r="465">
      <c r="P465" s="259"/>
      <c r="Q465" s="260"/>
    </row>
    <row r="466">
      <c r="P466" s="259"/>
      <c r="Q466" s="260"/>
    </row>
    <row r="467">
      <c r="P467" s="259"/>
      <c r="Q467" s="260"/>
    </row>
    <row r="468">
      <c r="P468" s="259"/>
      <c r="Q468" s="260"/>
    </row>
    <row r="469">
      <c r="P469" s="259"/>
      <c r="Q469" s="260"/>
    </row>
    <row r="470">
      <c r="P470" s="259"/>
      <c r="Q470" s="260"/>
    </row>
    <row r="471">
      <c r="P471" s="259"/>
      <c r="Q471" s="260"/>
    </row>
    <row r="472">
      <c r="P472" s="259"/>
      <c r="Q472" s="260"/>
    </row>
    <row r="473">
      <c r="P473" s="259"/>
      <c r="Q473" s="260"/>
    </row>
    <row r="474">
      <c r="P474" s="259"/>
      <c r="Q474" s="260"/>
    </row>
    <row r="475">
      <c r="P475" s="259"/>
      <c r="Q475" s="260"/>
    </row>
    <row r="476">
      <c r="P476" s="259"/>
      <c r="Q476" s="260"/>
    </row>
    <row r="477">
      <c r="P477" s="259"/>
      <c r="Q477" s="260"/>
    </row>
    <row r="478">
      <c r="P478" s="259"/>
      <c r="Q478" s="260"/>
    </row>
    <row r="479">
      <c r="P479" s="259"/>
      <c r="Q479" s="260"/>
    </row>
    <row r="480">
      <c r="P480" s="259"/>
      <c r="Q480" s="260"/>
    </row>
    <row r="481">
      <c r="P481" s="259"/>
      <c r="Q481" s="260"/>
    </row>
    <row r="482">
      <c r="P482" s="259"/>
      <c r="Q482" s="260"/>
    </row>
    <row r="483">
      <c r="P483" s="259"/>
      <c r="Q483" s="260"/>
    </row>
    <row r="484">
      <c r="P484" s="259"/>
      <c r="Q484" s="260"/>
    </row>
    <row r="485">
      <c r="P485" s="259"/>
      <c r="Q485" s="260"/>
    </row>
    <row r="486">
      <c r="P486" s="259"/>
      <c r="Q486" s="260"/>
    </row>
    <row r="487">
      <c r="P487" s="259"/>
      <c r="Q487" s="260"/>
    </row>
    <row r="488">
      <c r="P488" s="259"/>
      <c r="Q488" s="260"/>
    </row>
    <row r="489">
      <c r="P489" s="259"/>
      <c r="Q489" s="260"/>
    </row>
    <row r="490">
      <c r="P490" s="259"/>
      <c r="Q490" s="260"/>
    </row>
    <row r="491">
      <c r="P491" s="259"/>
      <c r="Q491" s="260"/>
    </row>
    <row r="492">
      <c r="P492" s="259"/>
      <c r="Q492" s="260"/>
    </row>
    <row r="493">
      <c r="P493" s="259"/>
      <c r="Q493" s="260"/>
    </row>
    <row r="494">
      <c r="P494" s="259"/>
      <c r="Q494" s="260"/>
    </row>
    <row r="495">
      <c r="P495" s="259"/>
      <c r="Q495" s="260"/>
    </row>
    <row r="496">
      <c r="P496" s="259"/>
      <c r="Q496" s="260"/>
    </row>
    <row r="497">
      <c r="P497" s="259"/>
      <c r="Q497" s="260"/>
    </row>
    <row r="498">
      <c r="P498" s="259"/>
      <c r="Q498" s="260"/>
    </row>
    <row r="499">
      <c r="P499" s="259"/>
      <c r="Q499" s="260"/>
    </row>
    <row r="500">
      <c r="P500" s="259"/>
      <c r="Q500" s="260"/>
    </row>
    <row r="501">
      <c r="P501" s="259"/>
      <c r="Q501" s="260"/>
    </row>
    <row r="502">
      <c r="P502" s="259"/>
      <c r="Q502" s="260"/>
    </row>
    <row r="503">
      <c r="P503" s="259"/>
      <c r="Q503" s="260"/>
    </row>
    <row r="504">
      <c r="P504" s="259"/>
      <c r="Q504" s="260"/>
    </row>
    <row r="505">
      <c r="P505" s="259"/>
      <c r="Q505" s="260"/>
    </row>
    <row r="506">
      <c r="P506" s="259"/>
      <c r="Q506" s="260"/>
    </row>
    <row r="507">
      <c r="P507" s="259"/>
      <c r="Q507" s="260"/>
    </row>
    <row r="508">
      <c r="P508" s="259"/>
      <c r="Q508" s="260"/>
    </row>
    <row r="509">
      <c r="P509" s="259"/>
      <c r="Q509" s="260"/>
    </row>
    <row r="510">
      <c r="P510" s="259"/>
      <c r="Q510" s="260"/>
    </row>
    <row r="511">
      <c r="P511" s="259"/>
      <c r="Q511" s="260"/>
    </row>
    <row r="512">
      <c r="P512" s="259"/>
      <c r="Q512" s="260"/>
    </row>
    <row r="513">
      <c r="P513" s="259"/>
      <c r="Q513" s="260"/>
    </row>
    <row r="514">
      <c r="P514" s="259"/>
      <c r="Q514" s="260"/>
    </row>
    <row r="515">
      <c r="P515" s="259"/>
      <c r="Q515" s="260"/>
    </row>
    <row r="516">
      <c r="P516" s="259"/>
      <c r="Q516" s="260"/>
    </row>
    <row r="517">
      <c r="P517" s="259"/>
      <c r="Q517" s="260"/>
    </row>
    <row r="518">
      <c r="P518" s="259"/>
      <c r="Q518" s="260"/>
    </row>
    <row r="519">
      <c r="P519" s="259"/>
      <c r="Q519" s="260"/>
    </row>
    <row r="520">
      <c r="P520" s="259"/>
      <c r="Q520" s="260"/>
    </row>
    <row r="521">
      <c r="P521" s="259"/>
      <c r="Q521" s="260"/>
    </row>
    <row r="522">
      <c r="P522" s="259"/>
      <c r="Q522" s="260"/>
    </row>
    <row r="523">
      <c r="P523" s="259"/>
      <c r="Q523" s="260"/>
    </row>
    <row r="524">
      <c r="P524" s="259"/>
      <c r="Q524" s="260"/>
    </row>
    <row r="525">
      <c r="P525" s="259"/>
      <c r="Q525" s="260"/>
    </row>
    <row r="526">
      <c r="P526" s="259"/>
      <c r="Q526" s="260"/>
    </row>
    <row r="527">
      <c r="P527" s="259"/>
      <c r="Q527" s="260"/>
    </row>
    <row r="528">
      <c r="P528" s="259"/>
      <c r="Q528" s="260"/>
    </row>
    <row r="529">
      <c r="P529" s="259"/>
      <c r="Q529" s="260"/>
    </row>
    <row r="530">
      <c r="P530" s="259"/>
      <c r="Q530" s="260"/>
    </row>
    <row r="531">
      <c r="P531" s="259"/>
      <c r="Q531" s="260"/>
    </row>
    <row r="532">
      <c r="P532" s="259"/>
      <c r="Q532" s="260"/>
    </row>
    <row r="533">
      <c r="P533" s="259"/>
      <c r="Q533" s="260"/>
    </row>
    <row r="534">
      <c r="P534" s="259"/>
      <c r="Q534" s="260"/>
    </row>
    <row r="535">
      <c r="P535" s="259"/>
      <c r="Q535" s="260"/>
    </row>
    <row r="536">
      <c r="P536" s="259"/>
      <c r="Q536" s="260"/>
    </row>
    <row r="537">
      <c r="P537" s="259"/>
      <c r="Q537" s="260"/>
    </row>
    <row r="538">
      <c r="P538" s="259"/>
      <c r="Q538" s="260"/>
    </row>
    <row r="539">
      <c r="P539" s="259"/>
      <c r="Q539" s="260"/>
    </row>
    <row r="540">
      <c r="P540" s="259"/>
      <c r="Q540" s="260"/>
    </row>
    <row r="541">
      <c r="P541" s="259"/>
      <c r="Q541" s="260"/>
    </row>
    <row r="542">
      <c r="P542" s="259"/>
      <c r="Q542" s="260"/>
    </row>
    <row r="543">
      <c r="P543" s="259"/>
      <c r="Q543" s="260"/>
    </row>
    <row r="544">
      <c r="P544" s="259"/>
      <c r="Q544" s="260"/>
    </row>
    <row r="545">
      <c r="P545" s="259"/>
      <c r="Q545" s="260"/>
    </row>
    <row r="546">
      <c r="P546" s="259"/>
      <c r="Q546" s="260"/>
    </row>
    <row r="547">
      <c r="P547" s="259"/>
      <c r="Q547" s="260"/>
    </row>
    <row r="548">
      <c r="P548" s="259"/>
      <c r="Q548" s="260"/>
    </row>
    <row r="549">
      <c r="P549" s="259"/>
      <c r="Q549" s="260"/>
    </row>
    <row r="550">
      <c r="P550" s="259"/>
      <c r="Q550" s="260"/>
    </row>
    <row r="551">
      <c r="P551" s="259"/>
      <c r="Q551" s="260"/>
    </row>
    <row r="552">
      <c r="P552" s="259"/>
      <c r="Q552" s="260"/>
    </row>
    <row r="553">
      <c r="P553" s="259"/>
      <c r="Q553" s="260"/>
    </row>
    <row r="554">
      <c r="P554" s="259"/>
      <c r="Q554" s="260"/>
    </row>
    <row r="555">
      <c r="P555" s="259"/>
      <c r="Q555" s="260"/>
    </row>
    <row r="556">
      <c r="P556" s="259"/>
      <c r="Q556" s="260"/>
    </row>
    <row r="557">
      <c r="P557" s="259"/>
      <c r="Q557" s="260"/>
    </row>
    <row r="558">
      <c r="P558" s="259"/>
      <c r="Q558" s="260"/>
    </row>
    <row r="559">
      <c r="P559" s="259"/>
      <c r="Q559" s="260"/>
    </row>
    <row r="560">
      <c r="P560" s="259"/>
      <c r="Q560" s="260"/>
    </row>
    <row r="561">
      <c r="P561" s="259"/>
      <c r="Q561" s="260"/>
    </row>
    <row r="562">
      <c r="P562" s="259"/>
      <c r="Q562" s="260"/>
    </row>
    <row r="563">
      <c r="P563" s="259"/>
      <c r="Q563" s="260"/>
    </row>
    <row r="564">
      <c r="P564" s="259"/>
      <c r="Q564" s="260"/>
    </row>
    <row r="565">
      <c r="P565" s="259"/>
      <c r="Q565" s="260"/>
    </row>
    <row r="566">
      <c r="P566" s="259"/>
      <c r="Q566" s="260"/>
    </row>
    <row r="567">
      <c r="P567" s="259"/>
      <c r="Q567" s="260"/>
    </row>
    <row r="568">
      <c r="P568" s="259"/>
      <c r="Q568" s="260"/>
    </row>
    <row r="569">
      <c r="P569" s="259"/>
      <c r="Q569" s="260"/>
    </row>
    <row r="570">
      <c r="P570" s="259"/>
      <c r="Q570" s="260"/>
    </row>
    <row r="571">
      <c r="P571" s="259"/>
      <c r="Q571" s="260"/>
    </row>
    <row r="572">
      <c r="P572" s="259"/>
      <c r="Q572" s="260"/>
    </row>
    <row r="573">
      <c r="P573" s="259"/>
      <c r="Q573" s="260"/>
    </row>
    <row r="574">
      <c r="P574" s="259"/>
      <c r="Q574" s="260"/>
    </row>
    <row r="575">
      <c r="P575" s="259"/>
      <c r="Q575" s="260"/>
    </row>
    <row r="576">
      <c r="P576" s="259"/>
      <c r="Q576" s="260"/>
    </row>
    <row r="577">
      <c r="P577" s="259"/>
      <c r="Q577" s="260"/>
    </row>
    <row r="578">
      <c r="P578" s="259"/>
      <c r="Q578" s="260"/>
    </row>
    <row r="579">
      <c r="P579" s="259"/>
      <c r="Q579" s="260"/>
    </row>
    <row r="580">
      <c r="P580" s="259"/>
      <c r="Q580" s="260"/>
    </row>
    <row r="581">
      <c r="P581" s="259"/>
      <c r="Q581" s="260"/>
    </row>
    <row r="582">
      <c r="P582" s="259"/>
      <c r="Q582" s="260"/>
    </row>
    <row r="583">
      <c r="P583" s="259"/>
      <c r="Q583" s="260"/>
    </row>
    <row r="584">
      <c r="P584" s="259"/>
      <c r="Q584" s="260"/>
    </row>
    <row r="585">
      <c r="P585" s="259"/>
      <c r="Q585" s="260"/>
    </row>
    <row r="586">
      <c r="P586" s="259"/>
      <c r="Q586" s="260"/>
    </row>
    <row r="587">
      <c r="P587" s="259"/>
      <c r="Q587" s="260"/>
    </row>
    <row r="588">
      <c r="P588" s="259"/>
      <c r="Q588" s="260"/>
    </row>
    <row r="589">
      <c r="P589" s="259"/>
      <c r="Q589" s="260"/>
    </row>
    <row r="590">
      <c r="P590" s="259"/>
      <c r="Q590" s="260"/>
    </row>
    <row r="591">
      <c r="P591" s="259"/>
      <c r="Q591" s="260"/>
    </row>
    <row r="592">
      <c r="P592" s="259"/>
      <c r="Q592" s="260"/>
    </row>
    <row r="593">
      <c r="P593" s="259"/>
      <c r="Q593" s="260"/>
    </row>
    <row r="594">
      <c r="P594" s="259"/>
      <c r="Q594" s="260"/>
    </row>
    <row r="595">
      <c r="P595" s="259"/>
      <c r="Q595" s="260"/>
    </row>
    <row r="596">
      <c r="P596" s="259"/>
      <c r="Q596" s="260"/>
    </row>
    <row r="597">
      <c r="P597" s="259"/>
      <c r="Q597" s="260"/>
    </row>
    <row r="598">
      <c r="P598" s="259"/>
      <c r="Q598" s="260"/>
    </row>
    <row r="599">
      <c r="P599" s="259"/>
      <c r="Q599" s="260"/>
    </row>
    <row r="600">
      <c r="P600" s="259"/>
      <c r="Q600" s="260"/>
    </row>
    <row r="601">
      <c r="P601" s="259"/>
      <c r="Q601" s="260"/>
    </row>
    <row r="602">
      <c r="P602" s="259"/>
      <c r="Q602" s="260"/>
    </row>
    <row r="603">
      <c r="P603" s="259"/>
      <c r="Q603" s="260"/>
    </row>
    <row r="604">
      <c r="P604" s="259"/>
      <c r="Q604" s="260"/>
    </row>
    <row r="605">
      <c r="P605" s="259"/>
      <c r="Q605" s="260"/>
    </row>
    <row r="606">
      <c r="P606" s="259"/>
      <c r="Q606" s="260"/>
    </row>
    <row r="607">
      <c r="P607" s="259"/>
      <c r="Q607" s="260"/>
    </row>
    <row r="608">
      <c r="P608" s="259"/>
      <c r="Q608" s="260"/>
    </row>
    <row r="609">
      <c r="P609" s="259"/>
      <c r="Q609" s="260"/>
    </row>
    <row r="610">
      <c r="P610" s="259"/>
      <c r="Q610" s="260"/>
    </row>
    <row r="611">
      <c r="P611" s="259"/>
      <c r="Q611" s="260"/>
    </row>
    <row r="612">
      <c r="P612" s="259"/>
      <c r="Q612" s="260"/>
    </row>
    <row r="613">
      <c r="P613" s="259"/>
      <c r="Q613" s="260"/>
    </row>
    <row r="614">
      <c r="P614" s="259"/>
      <c r="Q614" s="260"/>
    </row>
    <row r="615">
      <c r="P615" s="259"/>
      <c r="Q615" s="260"/>
    </row>
    <row r="616">
      <c r="P616" s="259"/>
      <c r="Q616" s="260"/>
    </row>
    <row r="617">
      <c r="P617" s="259"/>
      <c r="Q617" s="260"/>
    </row>
    <row r="618">
      <c r="P618" s="259"/>
      <c r="Q618" s="260"/>
    </row>
    <row r="619">
      <c r="P619" s="259"/>
      <c r="Q619" s="260"/>
    </row>
    <row r="620">
      <c r="P620" s="259"/>
      <c r="Q620" s="260"/>
    </row>
    <row r="621">
      <c r="P621" s="259"/>
      <c r="Q621" s="260"/>
    </row>
    <row r="622">
      <c r="P622" s="259"/>
      <c r="Q622" s="260"/>
    </row>
    <row r="623">
      <c r="P623" s="259"/>
      <c r="Q623" s="260"/>
    </row>
    <row r="624">
      <c r="P624" s="259"/>
      <c r="Q624" s="260"/>
    </row>
    <row r="625">
      <c r="P625" s="259"/>
      <c r="Q625" s="260"/>
    </row>
    <row r="626">
      <c r="P626" s="259"/>
      <c r="Q626" s="260"/>
    </row>
    <row r="627">
      <c r="P627" s="259"/>
      <c r="Q627" s="260"/>
    </row>
    <row r="628">
      <c r="P628" s="259"/>
      <c r="Q628" s="260"/>
    </row>
    <row r="629">
      <c r="P629" s="259"/>
      <c r="Q629" s="260"/>
    </row>
    <row r="630">
      <c r="P630" s="259"/>
      <c r="Q630" s="260"/>
    </row>
    <row r="631">
      <c r="P631" s="259"/>
      <c r="Q631" s="260"/>
    </row>
    <row r="632">
      <c r="P632" s="259"/>
      <c r="Q632" s="260"/>
    </row>
    <row r="633">
      <c r="P633" s="259"/>
      <c r="Q633" s="260"/>
    </row>
    <row r="634">
      <c r="P634" s="259"/>
      <c r="Q634" s="260"/>
    </row>
    <row r="635">
      <c r="P635" s="259"/>
      <c r="Q635" s="260"/>
    </row>
    <row r="636">
      <c r="P636" s="259"/>
      <c r="Q636" s="260"/>
    </row>
    <row r="637">
      <c r="P637" s="259"/>
      <c r="Q637" s="260"/>
    </row>
    <row r="638">
      <c r="P638" s="259"/>
      <c r="Q638" s="260"/>
    </row>
    <row r="639">
      <c r="P639" s="259"/>
      <c r="Q639" s="260"/>
    </row>
    <row r="640">
      <c r="P640" s="259"/>
      <c r="Q640" s="260"/>
    </row>
    <row r="641">
      <c r="P641" s="259"/>
      <c r="Q641" s="260"/>
    </row>
    <row r="642">
      <c r="P642" s="259"/>
      <c r="Q642" s="260"/>
    </row>
    <row r="643">
      <c r="P643" s="259"/>
      <c r="Q643" s="260"/>
    </row>
    <row r="644">
      <c r="P644" s="259"/>
      <c r="Q644" s="260"/>
    </row>
    <row r="645">
      <c r="P645" s="259"/>
      <c r="Q645" s="260"/>
    </row>
    <row r="646">
      <c r="P646" s="259"/>
      <c r="Q646" s="260"/>
    </row>
    <row r="647">
      <c r="P647" s="259"/>
      <c r="Q647" s="260"/>
    </row>
    <row r="648">
      <c r="P648" s="259"/>
      <c r="Q648" s="260"/>
    </row>
    <row r="649">
      <c r="P649" s="259"/>
      <c r="Q649" s="260"/>
    </row>
    <row r="650">
      <c r="P650" s="259"/>
      <c r="Q650" s="260"/>
    </row>
    <row r="651">
      <c r="P651" s="259"/>
      <c r="Q651" s="260"/>
    </row>
    <row r="652">
      <c r="P652" s="259"/>
      <c r="Q652" s="260"/>
    </row>
    <row r="653">
      <c r="P653" s="259"/>
      <c r="Q653" s="260"/>
    </row>
    <row r="654">
      <c r="P654" s="259"/>
      <c r="Q654" s="260"/>
    </row>
    <row r="655">
      <c r="P655" s="259"/>
      <c r="Q655" s="260"/>
    </row>
    <row r="656">
      <c r="P656" s="259"/>
      <c r="Q656" s="260"/>
    </row>
    <row r="657">
      <c r="P657" s="259"/>
      <c r="Q657" s="260"/>
    </row>
    <row r="658">
      <c r="P658" s="259"/>
      <c r="Q658" s="260"/>
    </row>
    <row r="659">
      <c r="P659" s="259"/>
      <c r="Q659" s="260"/>
    </row>
    <row r="660">
      <c r="P660" s="259"/>
      <c r="Q660" s="260"/>
    </row>
    <row r="661">
      <c r="P661" s="259"/>
      <c r="Q661" s="260"/>
    </row>
    <row r="662">
      <c r="P662" s="259"/>
      <c r="Q662" s="260"/>
    </row>
    <row r="663">
      <c r="P663" s="259"/>
      <c r="Q663" s="260"/>
    </row>
    <row r="664">
      <c r="P664" s="259"/>
      <c r="Q664" s="260"/>
    </row>
    <row r="665">
      <c r="P665" s="259"/>
      <c r="Q665" s="260"/>
    </row>
    <row r="666">
      <c r="P666" s="259"/>
      <c r="Q666" s="260"/>
    </row>
    <row r="667">
      <c r="P667" s="259"/>
      <c r="Q667" s="260"/>
    </row>
    <row r="668">
      <c r="P668" s="259"/>
      <c r="Q668" s="260"/>
    </row>
    <row r="669">
      <c r="P669" s="259"/>
      <c r="Q669" s="260"/>
    </row>
    <row r="670">
      <c r="P670" s="259"/>
      <c r="Q670" s="260"/>
    </row>
    <row r="671">
      <c r="P671" s="259"/>
      <c r="Q671" s="260"/>
    </row>
    <row r="672">
      <c r="P672" s="259"/>
      <c r="Q672" s="260"/>
    </row>
    <row r="673">
      <c r="P673" s="259"/>
      <c r="Q673" s="260"/>
    </row>
    <row r="674">
      <c r="P674" s="259"/>
      <c r="Q674" s="260"/>
    </row>
    <row r="675">
      <c r="P675" s="259"/>
      <c r="Q675" s="260"/>
    </row>
    <row r="676">
      <c r="P676" s="259"/>
      <c r="Q676" s="260"/>
    </row>
    <row r="677">
      <c r="P677" s="259"/>
      <c r="Q677" s="260"/>
    </row>
    <row r="678">
      <c r="P678" s="259"/>
      <c r="Q678" s="260"/>
    </row>
    <row r="679">
      <c r="P679" s="259"/>
      <c r="Q679" s="260"/>
    </row>
    <row r="680">
      <c r="P680" s="259"/>
      <c r="Q680" s="260"/>
    </row>
    <row r="681">
      <c r="P681" s="259"/>
      <c r="Q681" s="260"/>
    </row>
    <row r="682">
      <c r="P682" s="259"/>
      <c r="Q682" s="260"/>
    </row>
    <row r="683">
      <c r="P683" s="259"/>
      <c r="Q683" s="260"/>
    </row>
    <row r="684">
      <c r="P684" s="259"/>
      <c r="Q684" s="260"/>
    </row>
    <row r="685">
      <c r="P685" s="259"/>
      <c r="Q685" s="260"/>
    </row>
    <row r="686">
      <c r="P686" s="259"/>
      <c r="Q686" s="260"/>
    </row>
    <row r="687">
      <c r="P687" s="259"/>
      <c r="Q687" s="260"/>
    </row>
    <row r="688">
      <c r="P688" s="259"/>
      <c r="Q688" s="260"/>
    </row>
    <row r="689">
      <c r="P689" s="259"/>
      <c r="Q689" s="260"/>
    </row>
    <row r="690">
      <c r="P690" s="259"/>
      <c r="Q690" s="260"/>
    </row>
    <row r="691">
      <c r="P691" s="259"/>
      <c r="Q691" s="260"/>
    </row>
    <row r="692">
      <c r="P692" s="259"/>
      <c r="Q692" s="260"/>
    </row>
    <row r="693">
      <c r="P693" s="259"/>
      <c r="Q693" s="260"/>
    </row>
    <row r="694">
      <c r="P694" s="259"/>
      <c r="Q694" s="260"/>
    </row>
    <row r="695">
      <c r="P695" s="259"/>
      <c r="Q695" s="260"/>
    </row>
    <row r="696">
      <c r="P696" s="259"/>
      <c r="Q696" s="260"/>
    </row>
    <row r="697">
      <c r="P697" s="259"/>
      <c r="Q697" s="260"/>
    </row>
    <row r="698">
      <c r="P698" s="259"/>
      <c r="Q698" s="260"/>
    </row>
    <row r="699">
      <c r="P699" s="259"/>
      <c r="Q699" s="260"/>
    </row>
    <row r="700">
      <c r="P700" s="259"/>
      <c r="Q700" s="260"/>
    </row>
    <row r="701">
      <c r="P701" s="259"/>
      <c r="Q701" s="260"/>
    </row>
    <row r="702">
      <c r="P702" s="259"/>
      <c r="Q702" s="260"/>
    </row>
    <row r="703">
      <c r="P703" s="259"/>
      <c r="Q703" s="260"/>
    </row>
    <row r="704">
      <c r="P704" s="259"/>
      <c r="Q704" s="260"/>
    </row>
    <row r="705">
      <c r="P705" s="259"/>
      <c r="Q705" s="260"/>
    </row>
    <row r="706">
      <c r="P706" s="259"/>
      <c r="Q706" s="260"/>
    </row>
    <row r="707">
      <c r="P707" s="259"/>
      <c r="Q707" s="260"/>
    </row>
    <row r="708">
      <c r="P708" s="259"/>
      <c r="Q708" s="260"/>
    </row>
    <row r="709">
      <c r="P709" s="259"/>
      <c r="Q709" s="260"/>
    </row>
    <row r="710">
      <c r="P710" s="259"/>
      <c r="Q710" s="260"/>
    </row>
    <row r="711">
      <c r="P711" s="259"/>
      <c r="Q711" s="260"/>
    </row>
    <row r="712">
      <c r="P712" s="259"/>
      <c r="Q712" s="260"/>
    </row>
    <row r="713">
      <c r="P713" s="259"/>
      <c r="Q713" s="260"/>
    </row>
    <row r="714">
      <c r="P714" s="259"/>
      <c r="Q714" s="260"/>
    </row>
    <row r="715">
      <c r="P715" s="259"/>
      <c r="Q715" s="260"/>
    </row>
    <row r="716">
      <c r="P716" s="259"/>
      <c r="Q716" s="260"/>
    </row>
    <row r="717">
      <c r="P717" s="259"/>
      <c r="Q717" s="260"/>
    </row>
    <row r="718">
      <c r="P718" s="259"/>
      <c r="Q718" s="260"/>
    </row>
    <row r="719">
      <c r="P719" s="259"/>
      <c r="Q719" s="260"/>
    </row>
    <row r="720">
      <c r="P720" s="259"/>
      <c r="Q720" s="260"/>
    </row>
    <row r="721">
      <c r="P721" s="259"/>
      <c r="Q721" s="260"/>
    </row>
    <row r="722">
      <c r="P722" s="259"/>
      <c r="Q722" s="260"/>
    </row>
    <row r="723">
      <c r="P723" s="259"/>
      <c r="Q723" s="260"/>
    </row>
    <row r="724">
      <c r="P724" s="259"/>
      <c r="Q724" s="260"/>
    </row>
    <row r="725">
      <c r="P725" s="259"/>
      <c r="Q725" s="260"/>
    </row>
    <row r="726">
      <c r="P726" s="259"/>
      <c r="Q726" s="260"/>
    </row>
    <row r="727">
      <c r="P727" s="259"/>
      <c r="Q727" s="260"/>
    </row>
    <row r="728">
      <c r="P728" s="259"/>
      <c r="Q728" s="260"/>
    </row>
    <row r="729">
      <c r="P729" s="259"/>
      <c r="Q729" s="260"/>
    </row>
    <row r="730">
      <c r="P730" s="259"/>
      <c r="Q730" s="260"/>
    </row>
    <row r="731">
      <c r="P731" s="259"/>
      <c r="Q731" s="260"/>
    </row>
    <row r="732">
      <c r="P732" s="259"/>
      <c r="Q732" s="260"/>
    </row>
    <row r="733">
      <c r="P733" s="259"/>
      <c r="Q733" s="260"/>
    </row>
    <row r="734">
      <c r="P734" s="259"/>
      <c r="Q734" s="260"/>
    </row>
    <row r="735">
      <c r="P735" s="259"/>
      <c r="Q735" s="260"/>
    </row>
    <row r="736">
      <c r="P736" s="259"/>
      <c r="Q736" s="260"/>
    </row>
    <row r="737">
      <c r="P737" s="259"/>
      <c r="Q737" s="260"/>
    </row>
    <row r="738">
      <c r="P738" s="259"/>
      <c r="Q738" s="260"/>
    </row>
    <row r="739">
      <c r="P739" s="259"/>
      <c r="Q739" s="260"/>
    </row>
    <row r="740">
      <c r="P740" s="259"/>
      <c r="Q740" s="260"/>
    </row>
    <row r="741">
      <c r="P741" s="259"/>
      <c r="Q741" s="260"/>
    </row>
    <row r="742">
      <c r="P742" s="259"/>
      <c r="Q742" s="260"/>
    </row>
    <row r="743">
      <c r="P743" s="259"/>
      <c r="Q743" s="260"/>
    </row>
    <row r="744">
      <c r="P744" s="259"/>
      <c r="Q744" s="260"/>
    </row>
    <row r="745">
      <c r="P745" s="259"/>
      <c r="Q745" s="260"/>
    </row>
    <row r="746">
      <c r="P746" s="259"/>
      <c r="Q746" s="260"/>
    </row>
    <row r="747">
      <c r="P747" s="259"/>
      <c r="Q747" s="260"/>
    </row>
    <row r="748">
      <c r="P748" s="259"/>
      <c r="Q748" s="260"/>
    </row>
    <row r="749">
      <c r="P749" s="259"/>
      <c r="Q749" s="260"/>
    </row>
    <row r="750">
      <c r="P750" s="259"/>
      <c r="Q750" s="260"/>
    </row>
    <row r="751">
      <c r="P751" s="259"/>
      <c r="Q751" s="260"/>
    </row>
    <row r="752">
      <c r="P752" s="259"/>
      <c r="Q752" s="260"/>
    </row>
    <row r="753">
      <c r="P753" s="259"/>
      <c r="Q753" s="260"/>
    </row>
    <row r="754">
      <c r="P754" s="259"/>
      <c r="Q754" s="260"/>
    </row>
    <row r="755">
      <c r="P755" s="259"/>
      <c r="Q755" s="260"/>
    </row>
    <row r="756">
      <c r="P756" s="259"/>
      <c r="Q756" s="260"/>
    </row>
    <row r="757">
      <c r="P757" s="259"/>
      <c r="Q757" s="260"/>
    </row>
    <row r="758">
      <c r="P758" s="259"/>
      <c r="Q758" s="260"/>
    </row>
    <row r="759">
      <c r="P759" s="259"/>
      <c r="Q759" s="260"/>
    </row>
    <row r="760">
      <c r="P760" s="259"/>
      <c r="Q760" s="260"/>
    </row>
    <row r="761">
      <c r="P761" s="259"/>
      <c r="Q761" s="260"/>
    </row>
    <row r="762">
      <c r="P762" s="259"/>
      <c r="Q762" s="260"/>
    </row>
    <row r="763">
      <c r="P763" s="259"/>
      <c r="Q763" s="260"/>
    </row>
    <row r="764">
      <c r="P764" s="259"/>
      <c r="Q764" s="260"/>
    </row>
    <row r="765">
      <c r="P765" s="259"/>
      <c r="Q765" s="260"/>
    </row>
    <row r="766">
      <c r="P766" s="259"/>
      <c r="Q766" s="260"/>
    </row>
    <row r="767">
      <c r="P767" s="259"/>
      <c r="Q767" s="260"/>
    </row>
    <row r="768">
      <c r="P768" s="259"/>
      <c r="Q768" s="260"/>
    </row>
    <row r="769">
      <c r="P769" s="259"/>
      <c r="Q769" s="260"/>
    </row>
    <row r="770">
      <c r="P770" s="259"/>
      <c r="Q770" s="260"/>
    </row>
    <row r="771">
      <c r="P771" s="259"/>
      <c r="Q771" s="260"/>
    </row>
    <row r="772">
      <c r="P772" s="259"/>
      <c r="Q772" s="260"/>
    </row>
    <row r="773">
      <c r="P773" s="259"/>
      <c r="Q773" s="260"/>
    </row>
    <row r="774">
      <c r="P774" s="259"/>
      <c r="Q774" s="260"/>
    </row>
    <row r="775">
      <c r="P775" s="259"/>
      <c r="Q775" s="260"/>
    </row>
    <row r="776">
      <c r="P776" s="259"/>
      <c r="Q776" s="260"/>
    </row>
    <row r="777">
      <c r="P777" s="259"/>
      <c r="Q777" s="260"/>
    </row>
    <row r="778">
      <c r="P778" s="259"/>
      <c r="Q778" s="260"/>
    </row>
    <row r="779">
      <c r="P779" s="259"/>
      <c r="Q779" s="260"/>
    </row>
    <row r="780">
      <c r="P780" s="259"/>
      <c r="Q780" s="260"/>
    </row>
    <row r="781">
      <c r="P781" s="259"/>
      <c r="Q781" s="260"/>
    </row>
    <row r="782">
      <c r="P782" s="259"/>
      <c r="Q782" s="260"/>
    </row>
    <row r="783">
      <c r="P783" s="259"/>
      <c r="Q783" s="260"/>
    </row>
    <row r="784">
      <c r="P784" s="259"/>
      <c r="Q784" s="260"/>
    </row>
    <row r="785">
      <c r="P785" s="259"/>
      <c r="Q785" s="260"/>
    </row>
    <row r="786">
      <c r="P786" s="259"/>
      <c r="Q786" s="260"/>
    </row>
    <row r="787">
      <c r="P787" s="259"/>
      <c r="Q787" s="260"/>
    </row>
    <row r="788">
      <c r="P788" s="259"/>
      <c r="Q788" s="260"/>
    </row>
    <row r="789">
      <c r="P789" s="259"/>
      <c r="Q789" s="260"/>
    </row>
    <row r="790">
      <c r="P790" s="259"/>
      <c r="Q790" s="260"/>
    </row>
    <row r="791">
      <c r="P791" s="259"/>
      <c r="Q791" s="260"/>
    </row>
    <row r="792">
      <c r="P792" s="259"/>
      <c r="Q792" s="260"/>
    </row>
    <row r="793">
      <c r="P793" s="259"/>
      <c r="Q793" s="260"/>
    </row>
    <row r="794">
      <c r="P794" s="259"/>
      <c r="Q794" s="260"/>
    </row>
    <row r="795">
      <c r="P795" s="259"/>
      <c r="Q795" s="260"/>
    </row>
    <row r="796">
      <c r="P796" s="259"/>
      <c r="Q796" s="260"/>
    </row>
    <row r="797">
      <c r="P797" s="259"/>
      <c r="Q797" s="260"/>
    </row>
    <row r="798">
      <c r="P798" s="259"/>
      <c r="Q798" s="260"/>
    </row>
    <row r="799">
      <c r="P799" s="259"/>
      <c r="Q799" s="260"/>
    </row>
    <row r="800">
      <c r="P800" s="259"/>
      <c r="Q800" s="260"/>
    </row>
    <row r="801">
      <c r="P801" s="259"/>
      <c r="Q801" s="260"/>
    </row>
    <row r="802">
      <c r="P802" s="259"/>
      <c r="Q802" s="260"/>
    </row>
    <row r="803">
      <c r="P803" s="259"/>
      <c r="Q803" s="260"/>
    </row>
    <row r="804">
      <c r="P804" s="259"/>
      <c r="Q804" s="260"/>
    </row>
    <row r="805">
      <c r="P805" s="259"/>
      <c r="Q805" s="260"/>
    </row>
    <row r="806">
      <c r="P806" s="259"/>
      <c r="Q806" s="260"/>
    </row>
    <row r="807">
      <c r="P807" s="259"/>
      <c r="Q807" s="260"/>
    </row>
    <row r="808">
      <c r="P808" s="259"/>
      <c r="Q808" s="260"/>
    </row>
    <row r="809">
      <c r="P809" s="259"/>
      <c r="Q809" s="260"/>
    </row>
    <row r="810">
      <c r="P810" s="259"/>
      <c r="Q810" s="260"/>
    </row>
    <row r="811">
      <c r="P811" s="259"/>
      <c r="Q811" s="260"/>
    </row>
    <row r="812">
      <c r="P812" s="259"/>
      <c r="Q812" s="260"/>
    </row>
    <row r="813">
      <c r="P813" s="259"/>
      <c r="Q813" s="260"/>
    </row>
    <row r="814">
      <c r="P814" s="259"/>
      <c r="Q814" s="260"/>
    </row>
    <row r="815">
      <c r="P815" s="259"/>
      <c r="Q815" s="260"/>
    </row>
    <row r="816">
      <c r="P816" s="259"/>
      <c r="Q816" s="260"/>
    </row>
    <row r="817">
      <c r="P817" s="259"/>
      <c r="Q817" s="260"/>
    </row>
    <row r="818">
      <c r="P818" s="259"/>
      <c r="Q818" s="260"/>
    </row>
    <row r="819">
      <c r="P819" s="259"/>
      <c r="Q819" s="260"/>
    </row>
    <row r="820">
      <c r="P820" s="259"/>
      <c r="Q820" s="260"/>
    </row>
    <row r="821">
      <c r="P821" s="259"/>
      <c r="Q821" s="260"/>
    </row>
    <row r="822">
      <c r="P822" s="259"/>
      <c r="Q822" s="260"/>
    </row>
    <row r="823">
      <c r="P823" s="259"/>
      <c r="Q823" s="260"/>
    </row>
    <row r="824">
      <c r="P824" s="259"/>
      <c r="Q824" s="260"/>
    </row>
    <row r="825">
      <c r="P825" s="259"/>
      <c r="Q825" s="260"/>
    </row>
    <row r="826">
      <c r="P826" s="259"/>
      <c r="Q826" s="260"/>
    </row>
    <row r="827">
      <c r="P827" s="259"/>
      <c r="Q827" s="260"/>
    </row>
    <row r="828">
      <c r="P828" s="259"/>
      <c r="Q828" s="260"/>
    </row>
    <row r="829">
      <c r="P829" s="259"/>
      <c r="Q829" s="260"/>
    </row>
    <row r="830">
      <c r="P830" s="259"/>
      <c r="Q830" s="260"/>
    </row>
    <row r="831">
      <c r="P831" s="259"/>
      <c r="Q831" s="260"/>
    </row>
    <row r="832">
      <c r="P832" s="259"/>
      <c r="Q832" s="260"/>
    </row>
    <row r="833">
      <c r="P833" s="259"/>
      <c r="Q833" s="260"/>
    </row>
    <row r="834">
      <c r="P834" s="259"/>
      <c r="Q834" s="260"/>
    </row>
    <row r="835">
      <c r="P835" s="259"/>
      <c r="Q835" s="260"/>
    </row>
    <row r="836">
      <c r="P836" s="259"/>
      <c r="Q836" s="260"/>
    </row>
    <row r="837">
      <c r="P837" s="259"/>
      <c r="Q837" s="260"/>
    </row>
    <row r="838">
      <c r="P838" s="259"/>
      <c r="Q838" s="260"/>
    </row>
    <row r="839">
      <c r="P839" s="259"/>
      <c r="Q839" s="260"/>
    </row>
    <row r="840">
      <c r="P840" s="259"/>
      <c r="Q840" s="260"/>
    </row>
    <row r="841">
      <c r="P841" s="259"/>
      <c r="Q841" s="260"/>
    </row>
    <row r="842">
      <c r="P842" s="259"/>
      <c r="Q842" s="260"/>
    </row>
    <row r="843">
      <c r="P843" s="259"/>
      <c r="Q843" s="260"/>
    </row>
    <row r="844">
      <c r="P844" s="259"/>
      <c r="Q844" s="260"/>
    </row>
    <row r="845">
      <c r="P845" s="259"/>
      <c r="Q845" s="260"/>
    </row>
    <row r="846">
      <c r="P846" s="259"/>
      <c r="Q846" s="260"/>
    </row>
    <row r="847">
      <c r="P847" s="259"/>
      <c r="Q847" s="260"/>
    </row>
    <row r="848">
      <c r="P848" s="259"/>
      <c r="Q848" s="260"/>
    </row>
    <row r="849">
      <c r="P849" s="259"/>
      <c r="Q849" s="260"/>
    </row>
    <row r="850">
      <c r="P850" s="259"/>
      <c r="Q850" s="260"/>
    </row>
    <row r="851">
      <c r="P851" s="259"/>
      <c r="Q851" s="260"/>
    </row>
    <row r="852">
      <c r="P852" s="259"/>
      <c r="Q852" s="260"/>
    </row>
    <row r="853">
      <c r="P853" s="259"/>
      <c r="Q853" s="260"/>
    </row>
    <row r="854">
      <c r="P854" s="259"/>
      <c r="Q854" s="260"/>
    </row>
    <row r="855">
      <c r="P855" s="259"/>
      <c r="Q855" s="260"/>
    </row>
    <row r="856">
      <c r="P856" s="259"/>
      <c r="Q856" s="260"/>
    </row>
    <row r="857">
      <c r="P857" s="259"/>
      <c r="Q857" s="260"/>
    </row>
    <row r="858">
      <c r="P858" s="259"/>
      <c r="Q858" s="260"/>
    </row>
    <row r="859">
      <c r="P859" s="259"/>
      <c r="Q859" s="260"/>
    </row>
    <row r="860">
      <c r="P860" s="259"/>
      <c r="Q860" s="260"/>
    </row>
    <row r="861">
      <c r="P861" s="259"/>
      <c r="Q861" s="260"/>
    </row>
    <row r="862">
      <c r="P862" s="259"/>
      <c r="Q862" s="260"/>
    </row>
    <row r="863">
      <c r="P863" s="259"/>
      <c r="Q863" s="260"/>
    </row>
    <row r="864">
      <c r="P864" s="259"/>
      <c r="Q864" s="260"/>
    </row>
    <row r="865">
      <c r="P865" s="259"/>
      <c r="Q865" s="260"/>
    </row>
    <row r="866">
      <c r="P866" s="259"/>
      <c r="Q866" s="260"/>
    </row>
    <row r="867">
      <c r="P867" s="259"/>
      <c r="Q867" s="260"/>
    </row>
    <row r="868">
      <c r="P868" s="259"/>
      <c r="Q868" s="260"/>
    </row>
    <row r="869">
      <c r="P869" s="259"/>
      <c r="Q869" s="260"/>
    </row>
    <row r="870">
      <c r="P870" s="259"/>
      <c r="Q870" s="260"/>
    </row>
    <row r="871">
      <c r="P871" s="259"/>
      <c r="Q871" s="260"/>
    </row>
    <row r="872">
      <c r="P872" s="259"/>
      <c r="Q872" s="260"/>
    </row>
    <row r="873">
      <c r="P873" s="259"/>
      <c r="Q873" s="260"/>
    </row>
    <row r="874">
      <c r="P874" s="259"/>
      <c r="Q874" s="260"/>
    </row>
    <row r="875">
      <c r="P875" s="259"/>
      <c r="Q875" s="260"/>
    </row>
    <row r="876">
      <c r="P876" s="259"/>
      <c r="Q876" s="260"/>
    </row>
    <row r="877">
      <c r="P877" s="259"/>
      <c r="Q877" s="260"/>
    </row>
    <row r="878">
      <c r="P878" s="259"/>
      <c r="Q878" s="260"/>
    </row>
    <row r="879">
      <c r="P879" s="259"/>
      <c r="Q879" s="260"/>
    </row>
    <row r="880">
      <c r="P880" s="259"/>
      <c r="Q880" s="260"/>
    </row>
    <row r="881">
      <c r="P881" s="259"/>
      <c r="Q881" s="260"/>
    </row>
    <row r="882">
      <c r="P882" s="259"/>
      <c r="Q882" s="260"/>
    </row>
    <row r="883">
      <c r="P883" s="259"/>
      <c r="Q883" s="260"/>
    </row>
    <row r="884">
      <c r="P884" s="259"/>
      <c r="Q884" s="260"/>
    </row>
    <row r="885">
      <c r="P885" s="259"/>
      <c r="Q885" s="260"/>
    </row>
    <row r="886">
      <c r="P886" s="259"/>
      <c r="Q886" s="260"/>
    </row>
    <row r="887">
      <c r="P887" s="259"/>
      <c r="Q887" s="260"/>
    </row>
    <row r="888">
      <c r="P888" s="259"/>
      <c r="Q888" s="260"/>
    </row>
    <row r="889">
      <c r="P889" s="259"/>
      <c r="Q889" s="260"/>
    </row>
    <row r="890">
      <c r="P890" s="259"/>
      <c r="Q890" s="260"/>
    </row>
    <row r="891">
      <c r="P891" s="259"/>
      <c r="Q891" s="260"/>
    </row>
    <row r="892">
      <c r="P892" s="259"/>
      <c r="Q892" s="260"/>
    </row>
    <row r="893">
      <c r="P893" s="259"/>
      <c r="Q893" s="260"/>
    </row>
    <row r="894">
      <c r="P894" s="259"/>
      <c r="Q894" s="260"/>
    </row>
    <row r="895">
      <c r="P895" s="259"/>
      <c r="Q895" s="260"/>
    </row>
    <row r="896">
      <c r="P896" s="259"/>
      <c r="Q896" s="260"/>
    </row>
    <row r="897">
      <c r="P897" s="259"/>
      <c r="Q897" s="260"/>
    </row>
    <row r="898">
      <c r="P898" s="259"/>
      <c r="Q898" s="260"/>
    </row>
    <row r="899">
      <c r="P899" s="259"/>
      <c r="Q899" s="260"/>
    </row>
    <row r="900">
      <c r="P900" s="259"/>
      <c r="Q900" s="260"/>
    </row>
    <row r="901">
      <c r="P901" s="259"/>
      <c r="Q901" s="260"/>
    </row>
    <row r="902">
      <c r="P902" s="259"/>
      <c r="Q902" s="260"/>
    </row>
    <row r="903">
      <c r="P903" s="259"/>
      <c r="Q903" s="260"/>
    </row>
    <row r="904">
      <c r="P904" s="259"/>
      <c r="Q904" s="260"/>
    </row>
    <row r="905">
      <c r="P905" s="259"/>
      <c r="Q905" s="260"/>
    </row>
    <row r="906">
      <c r="P906" s="259"/>
      <c r="Q906" s="260"/>
    </row>
    <row r="907">
      <c r="P907" s="259"/>
      <c r="Q907" s="260"/>
    </row>
    <row r="908">
      <c r="P908" s="259"/>
      <c r="Q908" s="260"/>
    </row>
    <row r="909">
      <c r="P909" s="259"/>
      <c r="Q909" s="260"/>
    </row>
    <row r="910">
      <c r="P910" s="259"/>
      <c r="Q910" s="260"/>
    </row>
    <row r="911">
      <c r="P911" s="259"/>
      <c r="Q911" s="260"/>
    </row>
    <row r="912">
      <c r="P912" s="259"/>
      <c r="Q912" s="260"/>
    </row>
    <row r="913">
      <c r="P913" s="259"/>
      <c r="Q913" s="260"/>
    </row>
    <row r="914">
      <c r="P914" s="259"/>
      <c r="Q914" s="260"/>
    </row>
    <row r="915">
      <c r="P915" s="259"/>
      <c r="Q915" s="260"/>
    </row>
    <row r="916">
      <c r="P916" s="259"/>
      <c r="Q916" s="260"/>
    </row>
    <row r="917">
      <c r="P917" s="259"/>
      <c r="Q917" s="260"/>
    </row>
    <row r="918">
      <c r="P918" s="259"/>
      <c r="Q918" s="260"/>
    </row>
    <row r="919">
      <c r="P919" s="259"/>
      <c r="Q919" s="260"/>
    </row>
    <row r="920">
      <c r="P920" s="259"/>
      <c r="Q920" s="260"/>
    </row>
    <row r="921">
      <c r="P921" s="259"/>
      <c r="Q921" s="260"/>
    </row>
    <row r="922">
      <c r="P922" s="259"/>
      <c r="Q922" s="260"/>
    </row>
    <row r="923">
      <c r="P923" s="259"/>
      <c r="Q923" s="260"/>
    </row>
    <row r="924">
      <c r="P924" s="259"/>
      <c r="Q924" s="260"/>
    </row>
    <row r="925">
      <c r="P925" s="259"/>
      <c r="Q925" s="260"/>
    </row>
    <row r="926">
      <c r="P926" s="259"/>
      <c r="Q926" s="260"/>
    </row>
    <row r="927">
      <c r="P927" s="259"/>
      <c r="Q927" s="260"/>
    </row>
    <row r="928">
      <c r="P928" s="259"/>
      <c r="Q928" s="260"/>
    </row>
    <row r="929">
      <c r="P929" s="259"/>
      <c r="Q929" s="260"/>
    </row>
    <row r="930">
      <c r="P930" s="259"/>
      <c r="Q930" s="260"/>
    </row>
    <row r="931">
      <c r="P931" s="259"/>
      <c r="Q931" s="260"/>
    </row>
    <row r="932">
      <c r="P932" s="259"/>
      <c r="Q932" s="260"/>
    </row>
    <row r="933">
      <c r="P933" s="259"/>
      <c r="Q933" s="260"/>
    </row>
    <row r="934">
      <c r="P934" s="259"/>
      <c r="Q934" s="260"/>
    </row>
    <row r="935">
      <c r="P935" s="259"/>
      <c r="Q935" s="260"/>
    </row>
    <row r="936">
      <c r="P936" s="259"/>
      <c r="Q936" s="260"/>
    </row>
    <row r="937">
      <c r="P937" s="259"/>
      <c r="Q937" s="260"/>
    </row>
    <row r="938">
      <c r="P938" s="259"/>
      <c r="Q938" s="260"/>
    </row>
    <row r="939">
      <c r="P939" s="259"/>
      <c r="Q939" s="260"/>
    </row>
    <row r="940">
      <c r="P940" s="259"/>
      <c r="Q940" s="260"/>
    </row>
    <row r="941">
      <c r="P941" s="259"/>
      <c r="Q941" s="260"/>
    </row>
    <row r="942">
      <c r="P942" s="259"/>
      <c r="Q942" s="260"/>
    </row>
    <row r="943">
      <c r="P943" s="259"/>
      <c r="Q943" s="260"/>
    </row>
    <row r="944">
      <c r="P944" s="259"/>
      <c r="Q944" s="260"/>
    </row>
    <row r="945">
      <c r="P945" s="259"/>
      <c r="Q945" s="260"/>
    </row>
    <row r="946">
      <c r="P946" s="259"/>
      <c r="Q946" s="260"/>
    </row>
    <row r="947">
      <c r="P947" s="259"/>
      <c r="Q947" s="260"/>
    </row>
    <row r="948">
      <c r="P948" s="259"/>
      <c r="Q948" s="260"/>
    </row>
    <row r="949">
      <c r="P949" s="259"/>
      <c r="Q949" s="260"/>
    </row>
    <row r="950">
      <c r="P950" s="259"/>
      <c r="Q950" s="260"/>
    </row>
    <row r="951">
      <c r="P951" s="259"/>
      <c r="Q951" s="260"/>
    </row>
    <row r="952">
      <c r="P952" s="259"/>
      <c r="Q952" s="260"/>
    </row>
    <row r="953">
      <c r="P953" s="259"/>
      <c r="Q953" s="260"/>
    </row>
    <row r="954">
      <c r="P954" s="259"/>
      <c r="Q954" s="260"/>
    </row>
    <row r="955">
      <c r="P955" s="259"/>
      <c r="Q955" s="260"/>
    </row>
    <row r="956">
      <c r="P956" s="259"/>
      <c r="Q956" s="260"/>
    </row>
    <row r="957">
      <c r="P957" s="259"/>
      <c r="Q957" s="260"/>
    </row>
    <row r="958">
      <c r="P958" s="259"/>
      <c r="Q958" s="260"/>
    </row>
    <row r="959">
      <c r="P959" s="259"/>
      <c r="Q959" s="260"/>
    </row>
    <row r="960">
      <c r="P960" s="259"/>
      <c r="Q960" s="260"/>
    </row>
    <row r="961">
      <c r="P961" s="259"/>
      <c r="Q961" s="260"/>
    </row>
    <row r="962">
      <c r="P962" s="259"/>
      <c r="Q962" s="260"/>
    </row>
    <row r="963">
      <c r="P963" s="259"/>
      <c r="Q963" s="260"/>
    </row>
    <row r="964">
      <c r="P964" s="259"/>
      <c r="Q964" s="260"/>
    </row>
    <row r="965">
      <c r="P965" s="259"/>
      <c r="Q965" s="260"/>
    </row>
    <row r="966">
      <c r="P966" s="259"/>
      <c r="Q966" s="260"/>
    </row>
    <row r="967">
      <c r="P967" s="259"/>
      <c r="Q967" s="260"/>
    </row>
    <row r="968">
      <c r="P968" s="259"/>
      <c r="Q968" s="260"/>
    </row>
    <row r="969">
      <c r="P969" s="259"/>
      <c r="Q969" s="260"/>
    </row>
    <row r="970">
      <c r="P970" s="259"/>
      <c r="Q970" s="260"/>
    </row>
    <row r="971">
      <c r="P971" s="259"/>
      <c r="Q971" s="260"/>
    </row>
    <row r="972">
      <c r="P972" s="259"/>
      <c r="Q972" s="260"/>
    </row>
    <row r="973">
      <c r="P973" s="259"/>
      <c r="Q973" s="260"/>
    </row>
    <row r="974">
      <c r="P974" s="259"/>
      <c r="Q974" s="260"/>
    </row>
    <row r="975">
      <c r="P975" s="259"/>
      <c r="Q975" s="260"/>
    </row>
    <row r="976">
      <c r="P976" s="259"/>
      <c r="Q976" s="260"/>
    </row>
    <row r="977">
      <c r="P977" s="259"/>
      <c r="Q977" s="260"/>
    </row>
    <row r="978">
      <c r="P978" s="259"/>
      <c r="Q978" s="260"/>
    </row>
    <row r="979">
      <c r="P979" s="259"/>
      <c r="Q979" s="260"/>
    </row>
    <row r="980">
      <c r="P980" s="259"/>
      <c r="Q980" s="260"/>
    </row>
    <row r="981">
      <c r="P981" s="259"/>
      <c r="Q981" s="260"/>
    </row>
    <row r="982">
      <c r="P982" s="259"/>
      <c r="Q982" s="260"/>
    </row>
    <row r="983">
      <c r="P983" s="259"/>
      <c r="Q983" s="260"/>
    </row>
    <row r="984">
      <c r="P984" s="259"/>
      <c r="Q984" s="260"/>
    </row>
    <row r="985">
      <c r="P985" s="259"/>
      <c r="Q985" s="260"/>
    </row>
    <row r="986">
      <c r="P986" s="259"/>
      <c r="Q986" s="260"/>
    </row>
    <row r="987">
      <c r="P987" s="259"/>
      <c r="Q987" s="260"/>
    </row>
    <row r="988">
      <c r="P988" s="259"/>
      <c r="Q988" s="260"/>
    </row>
    <row r="989">
      <c r="P989" s="259"/>
      <c r="Q989" s="260"/>
    </row>
    <row r="990">
      <c r="P990" s="259"/>
      <c r="Q990" s="260"/>
    </row>
    <row r="991">
      <c r="P991" s="259"/>
      <c r="Q991" s="260"/>
    </row>
    <row r="992">
      <c r="P992" s="259"/>
      <c r="Q992" s="260"/>
    </row>
    <row r="993">
      <c r="P993" s="259"/>
      <c r="Q993" s="260"/>
    </row>
    <row r="994">
      <c r="P994" s="259"/>
      <c r="Q994" s="260"/>
    </row>
    <row r="995">
      <c r="P995" s="259"/>
      <c r="Q995" s="260"/>
    </row>
    <row r="996">
      <c r="P996" s="259"/>
      <c r="Q996" s="260"/>
    </row>
    <row r="997">
      <c r="P997" s="259"/>
      <c r="Q997" s="260"/>
    </row>
  </sheetData>
  <mergeCells count="1">
    <mergeCell ref="A1:Q1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5" width="7.29"/>
    <col customWidth="1" min="16" max="16" width="9.43"/>
    <col customWidth="1" min="17" max="17" width="12.29"/>
  </cols>
  <sheetData>
    <row r="1">
      <c r="A1" s="1" t="s">
        <v>484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256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17</v>
      </c>
      <c r="P2" s="7" t="s">
        <v>18</v>
      </c>
      <c r="Q2" s="5" t="s">
        <v>19</v>
      </c>
    </row>
    <row r="3">
      <c r="A3" s="9" t="s">
        <v>37</v>
      </c>
      <c r="B3" s="271">
        <v>4.0</v>
      </c>
      <c r="C3" s="271">
        <v>2.0</v>
      </c>
      <c r="D3" s="271">
        <v>2.0</v>
      </c>
      <c r="E3" s="271">
        <v>5.0</v>
      </c>
      <c r="F3" s="271">
        <v>5.0</v>
      </c>
      <c r="G3" s="271">
        <v>6.0</v>
      </c>
      <c r="H3" s="272">
        <v>0.0</v>
      </c>
      <c r="I3" s="272">
        <v>9.0</v>
      </c>
      <c r="J3" s="272">
        <v>4.0</v>
      </c>
      <c r="K3" s="272">
        <v>8.0</v>
      </c>
      <c r="L3" s="272">
        <v>3.0</v>
      </c>
      <c r="M3" s="272">
        <v>10.0</v>
      </c>
      <c r="N3" s="272">
        <v>10.0</v>
      </c>
      <c r="O3" s="23">
        <f t="shared" ref="O3:O18" si="1">SUM(B3:N3)</f>
        <v>68</v>
      </c>
      <c r="P3" s="16">
        <f t="shared" ref="P3:P6" si="2">AVERAGE(B3:N3)</f>
        <v>5.230769231</v>
      </c>
      <c r="Q3" s="17">
        <v>0.136</v>
      </c>
    </row>
    <row r="4">
      <c r="A4" s="9" t="s">
        <v>485</v>
      </c>
      <c r="B4" s="271">
        <v>1.0</v>
      </c>
      <c r="C4" s="271">
        <v>2.0</v>
      </c>
      <c r="D4" s="271">
        <v>1.0</v>
      </c>
      <c r="E4" s="271">
        <v>1.0</v>
      </c>
      <c r="F4" s="271">
        <v>2.0</v>
      </c>
      <c r="G4" s="271">
        <v>3.0</v>
      </c>
      <c r="H4" s="272">
        <v>3.0</v>
      </c>
      <c r="I4" s="272">
        <v>1.0</v>
      </c>
      <c r="J4" s="272">
        <v>2.0</v>
      </c>
      <c r="K4" s="272">
        <v>5.0</v>
      </c>
      <c r="L4" s="272">
        <v>2.0</v>
      </c>
      <c r="M4" s="272">
        <v>6.0</v>
      </c>
      <c r="N4" s="272">
        <v>9.0</v>
      </c>
      <c r="O4" s="23">
        <f t="shared" si="1"/>
        <v>38</v>
      </c>
      <c r="P4" s="16">
        <f t="shared" si="2"/>
        <v>2.923076923</v>
      </c>
      <c r="Q4" s="17">
        <v>0.076</v>
      </c>
    </row>
    <row r="5">
      <c r="A5" s="9" t="s">
        <v>410</v>
      </c>
      <c r="B5" s="271">
        <v>1.0</v>
      </c>
      <c r="C5" s="271">
        <v>3.0</v>
      </c>
      <c r="D5" s="271">
        <v>1.0</v>
      </c>
      <c r="E5" s="271">
        <v>3.0</v>
      </c>
      <c r="F5" s="158">
        <v>3.0</v>
      </c>
      <c r="G5" s="158">
        <v>4.0</v>
      </c>
      <c r="H5" s="272">
        <v>4.0</v>
      </c>
      <c r="I5" s="272">
        <v>13.0</v>
      </c>
      <c r="J5" s="272">
        <v>5.0</v>
      </c>
      <c r="K5" s="272">
        <v>8.0</v>
      </c>
      <c r="L5" s="272">
        <v>9.0</v>
      </c>
      <c r="M5" s="272">
        <v>16.0</v>
      </c>
      <c r="N5" s="272">
        <v>11.0</v>
      </c>
      <c r="O5" s="23">
        <f t="shared" si="1"/>
        <v>81</v>
      </c>
      <c r="P5" s="16">
        <f t="shared" si="2"/>
        <v>6.230769231</v>
      </c>
      <c r="Q5" s="17">
        <v>0.162</v>
      </c>
    </row>
    <row r="6">
      <c r="A6" s="9" t="s">
        <v>371</v>
      </c>
      <c r="B6" s="271">
        <v>3.0</v>
      </c>
      <c r="C6" s="271">
        <v>2.0</v>
      </c>
      <c r="D6" s="271">
        <v>4.0</v>
      </c>
      <c r="E6" s="271">
        <v>2.0</v>
      </c>
      <c r="F6" s="158">
        <v>5.0</v>
      </c>
      <c r="G6" s="158">
        <v>1.0</v>
      </c>
      <c r="H6" s="272">
        <v>4.0</v>
      </c>
      <c r="I6" s="272">
        <v>3.0</v>
      </c>
      <c r="J6" s="272">
        <v>8.0</v>
      </c>
      <c r="K6" s="272">
        <v>3.0</v>
      </c>
      <c r="L6" s="272">
        <v>12.0</v>
      </c>
      <c r="M6" s="272">
        <v>4.0</v>
      </c>
      <c r="N6" s="272">
        <v>4.0</v>
      </c>
      <c r="O6" s="23">
        <f t="shared" si="1"/>
        <v>55</v>
      </c>
      <c r="P6" s="16">
        <f t="shared" si="2"/>
        <v>4.230769231</v>
      </c>
      <c r="Q6" s="17">
        <v>0.11</v>
      </c>
    </row>
    <row r="7">
      <c r="A7" s="9" t="s">
        <v>486</v>
      </c>
      <c r="B7" s="158">
        <v>1.0</v>
      </c>
      <c r="C7" s="158">
        <v>2.0</v>
      </c>
      <c r="D7" s="158">
        <v>1.0</v>
      </c>
      <c r="E7" s="158">
        <v>1.0</v>
      </c>
      <c r="F7" s="271">
        <v>2.0</v>
      </c>
      <c r="G7" s="271">
        <v>1.0</v>
      </c>
      <c r="H7" s="272">
        <v>1.0</v>
      </c>
      <c r="I7" s="272">
        <v>6.0</v>
      </c>
      <c r="J7" s="272">
        <v>0.0</v>
      </c>
      <c r="K7" s="272">
        <v>4.0</v>
      </c>
      <c r="L7" s="272">
        <v>2.0</v>
      </c>
      <c r="M7" s="272">
        <v>9.0</v>
      </c>
      <c r="N7" s="273"/>
      <c r="O7" s="23">
        <f t="shared" si="1"/>
        <v>30</v>
      </c>
      <c r="P7" s="16">
        <f>AVERAGE(B7:M7)</f>
        <v>2.5</v>
      </c>
      <c r="Q7" s="17">
        <v>0.06</v>
      </c>
    </row>
    <row r="8">
      <c r="A8" s="9" t="s">
        <v>487</v>
      </c>
      <c r="B8" s="158">
        <v>3.0</v>
      </c>
      <c r="C8" s="158">
        <v>2.0</v>
      </c>
      <c r="D8" s="158">
        <v>5.0</v>
      </c>
      <c r="E8" s="158">
        <v>3.0</v>
      </c>
      <c r="F8" s="158">
        <v>1.0</v>
      </c>
      <c r="G8" s="158">
        <v>2.0</v>
      </c>
      <c r="H8" s="272">
        <v>2.0</v>
      </c>
      <c r="I8" s="272">
        <v>2.0</v>
      </c>
      <c r="J8" s="272">
        <v>4.0</v>
      </c>
      <c r="K8" s="272">
        <v>11.0</v>
      </c>
      <c r="L8" s="272">
        <v>0.0</v>
      </c>
      <c r="M8" s="273"/>
      <c r="N8" s="273"/>
      <c r="O8" s="23">
        <f t="shared" si="1"/>
        <v>35</v>
      </c>
      <c r="P8" s="16">
        <f>AVERAGE(B8:L8)</f>
        <v>3.181818182</v>
      </c>
      <c r="Q8" s="17">
        <v>0.07</v>
      </c>
    </row>
    <row r="9">
      <c r="A9" s="9" t="s">
        <v>488</v>
      </c>
      <c r="B9" s="158">
        <v>3.0</v>
      </c>
      <c r="C9" s="158">
        <v>4.0</v>
      </c>
      <c r="D9" s="158">
        <v>3.0</v>
      </c>
      <c r="E9" s="158">
        <v>7.0</v>
      </c>
      <c r="F9" s="271">
        <v>3.0</v>
      </c>
      <c r="G9" s="271">
        <v>4.0</v>
      </c>
      <c r="H9" s="272">
        <v>7.0</v>
      </c>
      <c r="I9" s="272">
        <v>1.0</v>
      </c>
      <c r="J9" s="272">
        <v>5.0</v>
      </c>
      <c r="K9" s="272">
        <v>3.0</v>
      </c>
      <c r="L9" s="273"/>
      <c r="M9" s="273"/>
      <c r="N9" s="273"/>
      <c r="O9" s="23">
        <f t="shared" si="1"/>
        <v>40</v>
      </c>
      <c r="P9" s="16">
        <f>AVERAGE(B9:K9)</f>
        <v>4</v>
      </c>
      <c r="Q9" s="17">
        <v>0.08</v>
      </c>
    </row>
    <row r="10">
      <c r="A10" s="9" t="s">
        <v>250</v>
      </c>
      <c r="B10" s="158">
        <v>2.0</v>
      </c>
      <c r="C10" s="158">
        <v>2.0</v>
      </c>
      <c r="D10" s="158">
        <v>3.0</v>
      </c>
      <c r="E10" s="158">
        <v>2.0</v>
      </c>
      <c r="F10" s="158">
        <v>3.0</v>
      </c>
      <c r="G10" s="158">
        <v>4.0</v>
      </c>
      <c r="H10" s="272">
        <v>6.0</v>
      </c>
      <c r="I10" s="272">
        <v>2.0</v>
      </c>
      <c r="J10" s="272">
        <v>4.0</v>
      </c>
      <c r="K10" s="273"/>
      <c r="L10" s="273"/>
      <c r="M10" s="273"/>
      <c r="N10" s="273"/>
      <c r="O10" s="23">
        <f t="shared" si="1"/>
        <v>28</v>
      </c>
      <c r="P10" s="16">
        <f>AVERAGE(B10:J10)</f>
        <v>3.111111111</v>
      </c>
      <c r="Q10" s="17">
        <v>0.056</v>
      </c>
    </row>
    <row r="11">
      <c r="A11" s="9" t="s">
        <v>161</v>
      </c>
      <c r="B11" s="271">
        <v>0.0</v>
      </c>
      <c r="C11" s="271">
        <v>4.0</v>
      </c>
      <c r="D11" s="271">
        <v>0.0</v>
      </c>
      <c r="E11" s="271">
        <v>1.0</v>
      </c>
      <c r="F11" s="158">
        <v>4.0</v>
      </c>
      <c r="G11" s="158">
        <v>3.0</v>
      </c>
      <c r="H11" s="272">
        <v>6.0</v>
      </c>
      <c r="I11" s="272">
        <v>5.0</v>
      </c>
      <c r="J11" s="273"/>
      <c r="K11" s="273"/>
      <c r="L11" s="273"/>
      <c r="M11" s="273"/>
      <c r="N11" s="273"/>
      <c r="O11" s="23">
        <f t="shared" si="1"/>
        <v>23</v>
      </c>
      <c r="P11" s="16">
        <f>AVERAGE(B11:I11)</f>
        <v>2.875</v>
      </c>
      <c r="Q11" s="17">
        <v>0.046</v>
      </c>
    </row>
    <row r="12">
      <c r="A12" s="9" t="s">
        <v>489</v>
      </c>
      <c r="B12" s="271">
        <v>1.0</v>
      </c>
      <c r="C12" s="271">
        <v>7.0</v>
      </c>
      <c r="D12" s="271">
        <v>2.0</v>
      </c>
      <c r="E12" s="271">
        <v>6.0</v>
      </c>
      <c r="F12" s="271">
        <v>1.0</v>
      </c>
      <c r="G12" s="271">
        <v>6.0</v>
      </c>
      <c r="H12" s="272">
        <v>3.0</v>
      </c>
      <c r="I12" s="273"/>
      <c r="J12" s="273"/>
      <c r="K12" s="273"/>
      <c r="L12" s="273"/>
      <c r="M12" s="273"/>
      <c r="N12" s="273"/>
      <c r="O12" s="23">
        <f t="shared" si="1"/>
        <v>26</v>
      </c>
      <c r="P12" s="16">
        <f>AVERAGE(B12:H12)</f>
        <v>3.714285714</v>
      </c>
      <c r="Q12" s="17">
        <v>0.052</v>
      </c>
    </row>
    <row r="13">
      <c r="A13" s="9" t="s">
        <v>182</v>
      </c>
      <c r="B13" s="158">
        <v>3.0</v>
      </c>
      <c r="C13" s="158">
        <v>6.0</v>
      </c>
      <c r="D13" s="158">
        <v>5.0</v>
      </c>
      <c r="E13" s="158">
        <v>5.0</v>
      </c>
      <c r="F13" s="158">
        <v>4.0</v>
      </c>
      <c r="G13" s="158">
        <v>11.0</v>
      </c>
      <c r="H13" s="148"/>
      <c r="I13" s="148"/>
      <c r="J13" s="148"/>
      <c r="K13" s="148"/>
      <c r="L13" s="148"/>
      <c r="M13" s="148"/>
      <c r="N13" s="148"/>
      <c r="O13" s="23">
        <f t="shared" si="1"/>
        <v>34</v>
      </c>
      <c r="P13" s="16">
        <f>AVERAGE(B13:G13)</f>
        <v>5.666666667</v>
      </c>
      <c r="Q13" s="17">
        <v>0.068</v>
      </c>
    </row>
    <row r="14">
      <c r="A14" s="9" t="s">
        <v>490</v>
      </c>
      <c r="B14" s="158">
        <v>0.0</v>
      </c>
      <c r="C14" s="158">
        <v>3.0</v>
      </c>
      <c r="D14" s="158">
        <v>3.0</v>
      </c>
      <c r="E14" s="158">
        <v>7.0</v>
      </c>
      <c r="F14" s="271">
        <v>6.0</v>
      </c>
      <c r="G14" s="93"/>
      <c r="H14" s="148"/>
      <c r="I14" s="148"/>
      <c r="J14" s="148"/>
      <c r="K14" s="148"/>
      <c r="L14" s="148"/>
      <c r="M14" s="148"/>
      <c r="N14" s="148"/>
      <c r="O14" s="23">
        <f t="shared" si="1"/>
        <v>19</v>
      </c>
      <c r="P14" s="16">
        <f>AVERAGE(B14:F14)</f>
        <v>3.8</v>
      </c>
      <c r="Q14" s="17">
        <v>0.038</v>
      </c>
    </row>
    <row r="15">
      <c r="A15" s="9" t="s">
        <v>491</v>
      </c>
      <c r="B15" s="158">
        <v>1.0</v>
      </c>
      <c r="C15" s="158">
        <v>0.0</v>
      </c>
      <c r="D15" s="158">
        <v>1.0</v>
      </c>
      <c r="E15" s="158">
        <v>7.0</v>
      </c>
      <c r="F15" s="93"/>
      <c r="G15" s="93"/>
      <c r="H15" s="148"/>
      <c r="I15" s="148"/>
      <c r="J15" s="148"/>
      <c r="K15" s="148"/>
      <c r="L15" s="148"/>
      <c r="M15" s="148"/>
      <c r="N15" s="148"/>
      <c r="O15" s="23">
        <f t="shared" si="1"/>
        <v>9</v>
      </c>
      <c r="P15" s="16">
        <f>AVERAGE(B15:E15)</f>
        <v>2.25</v>
      </c>
      <c r="Q15" s="17">
        <v>0.018</v>
      </c>
    </row>
    <row r="16">
      <c r="A16" s="9" t="s">
        <v>492</v>
      </c>
      <c r="B16" s="158">
        <v>0.0</v>
      </c>
      <c r="C16" s="158">
        <v>4.0</v>
      </c>
      <c r="D16" s="158">
        <v>5.0</v>
      </c>
      <c r="E16" s="93"/>
      <c r="F16" s="93"/>
      <c r="G16" s="93"/>
      <c r="H16" s="148"/>
      <c r="I16" s="148"/>
      <c r="J16" s="148"/>
      <c r="K16" s="148"/>
      <c r="L16" s="148"/>
      <c r="M16" s="148"/>
      <c r="N16" s="148"/>
      <c r="O16" s="23">
        <f t="shared" si="1"/>
        <v>9</v>
      </c>
      <c r="P16" s="16">
        <f>AVERAGE(B16:D16)</f>
        <v>3</v>
      </c>
      <c r="Q16" s="17">
        <v>0.018</v>
      </c>
    </row>
    <row r="17">
      <c r="A17" s="9" t="s">
        <v>493</v>
      </c>
      <c r="B17" s="203">
        <v>1.0</v>
      </c>
      <c r="C17" s="203">
        <v>3.0</v>
      </c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23">
        <f t="shared" si="1"/>
        <v>4</v>
      </c>
      <c r="P17" s="16">
        <f>AVERAGE(B17:C17)</f>
        <v>2</v>
      </c>
      <c r="Q17" s="17">
        <v>0.008</v>
      </c>
    </row>
    <row r="18">
      <c r="A18" s="9" t="s">
        <v>494</v>
      </c>
      <c r="B18" s="203">
        <v>1.0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23">
        <f t="shared" si="1"/>
        <v>1</v>
      </c>
      <c r="P18" s="16">
        <f>AVERAGE(B18)</f>
        <v>1</v>
      </c>
      <c r="Q18" s="17">
        <v>0.002</v>
      </c>
    </row>
    <row r="19">
      <c r="A19" s="256" t="s">
        <v>40</v>
      </c>
      <c r="B19" s="23">
        <f t="shared" ref="B19:I19" si="3">SUM(B3:B18)</f>
        <v>25</v>
      </c>
      <c r="C19" s="23">
        <f t="shared" si="3"/>
        <v>46</v>
      </c>
      <c r="D19" s="23">
        <f t="shared" si="3"/>
        <v>36</v>
      </c>
      <c r="E19" s="23">
        <f t="shared" si="3"/>
        <v>50</v>
      </c>
      <c r="F19" s="23">
        <f t="shared" si="3"/>
        <v>39</v>
      </c>
      <c r="G19" s="23">
        <f t="shared" si="3"/>
        <v>45</v>
      </c>
      <c r="H19" s="23">
        <f t="shared" si="3"/>
        <v>36</v>
      </c>
      <c r="I19" s="23">
        <f t="shared" si="3"/>
        <v>42</v>
      </c>
      <c r="J19" s="23">
        <f>SUM(J3:J10)</f>
        <v>32</v>
      </c>
      <c r="K19" s="23">
        <f t="shared" ref="K19:O19" si="4">SUM(K3:K18)</f>
        <v>42</v>
      </c>
      <c r="L19" s="23">
        <f t="shared" si="4"/>
        <v>28</v>
      </c>
      <c r="M19" s="23">
        <f t="shared" si="4"/>
        <v>45</v>
      </c>
      <c r="N19" s="23">
        <f t="shared" si="4"/>
        <v>34</v>
      </c>
      <c r="O19" s="23">
        <f t="shared" si="4"/>
        <v>500</v>
      </c>
      <c r="P19" s="16"/>
      <c r="Q19" s="23"/>
    </row>
    <row r="20">
      <c r="A20" s="258" t="s">
        <v>18</v>
      </c>
      <c r="B20" s="16">
        <f>AVERAGE(B3:B18)</f>
        <v>1.5625</v>
      </c>
      <c r="C20" s="16">
        <f>AVERAGE(C3:C17)</f>
        <v>3.066666667</v>
      </c>
      <c r="D20" s="16">
        <f>AVERAGE(D3:D16)</f>
        <v>2.571428571</v>
      </c>
      <c r="E20" s="16">
        <f>AVERAGE(E3:E15)</f>
        <v>3.846153846</v>
      </c>
      <c r="F20" s="16">
        <f>AVERAGE(F3:F14)</f>
        <v>3.25</v>
      </c>
      <c r="G20" s="16">
        <f>AVERAGE(G3:G13)</f>
        <v>4.090909091</v>
      </c>
      <c r="H20" s="16">
        <f>AVERAGE(H3:H12)</f>
        <v>3.6</v>
      </c>
      <c r="I20" s="16">
        <f>AVERAGE(I3:I11)</f>
        <v>4.666666667</v>
      </c>
      <c r="J20" s="16">
        <f>AVERAGE(J3:J10)</f>
        <v>4</v>
      </c>
      <c r="K20" s="16">
        <f>AVERAGE(K3:K9)</f>
        <v>6</v>
      </c>
      <c r="L20" s="16">
        <f>AVERAGE(L3:L8)</f>
        <v>4.666666667</v>
      </c>
      <c r="M20" s="16">
        <f>AVERAGE(M3:M7)</f>
        <v>9</v>
      </c>
      <c r="N20" s="16">
        <f>AVERAGE(N3:N6)</f>
        <v>8.5</v>
      </c>
      <c r="O20" s="16"/>
      <c r="P20" s="16"/>
      <c r="Q20" s="16"/>
      <c r="R20" s="259"/>
      <c r="S20" s="259"/>
      <c r="T20" s="259"/>
      <c r="U20" s="259"/>
      <c r="V20" s="259"/>
      <c r="W20" s="259"/>
      <c r="X20" s="259"/>
    </row>
    <row r="21">
      <c r="A21" s="256" t="s">
        <v>41</v>
      </c>
      <c r="B21" s="149" t="str">
        <f>HYPERLINK("https://docs.google.com/document/d/1bxe761X3TbZVD7-T0nS4jG_Newg4KdV_Vy01kOrvaFE/edit?usp=sharing","Link")</f>
        <v>Link</v>
      </c>
      <c r="C21" s="149" t="str">
        <f>HYPERLINK("https://docs.google.com/document/d/14rtVyqj20daEd05fYgz_WuOAq-d0FsCSCB2eJD30l4U/edit?usp=sharing","Link")</f>
        <v>Link</v>
      </c>
      <c r="D21" s="149" t="str">
        <f>HYPERLINK("https://docs.google.com/document/d/141fGngdA4Anbv9-D1HvlYmXgyiulDiiaNormctHd5tE/edit?usp=sharing","Link")</f>
        <v>Link</v>
      </c>
      <c r="E21" s="149" t="str">
        <f>HYPERLINK("https://docs.google.com/document/d/1cF6E-BMsbQil2tG0ErEOZoYrM1RT-pHOvt4CO8TjKhg/edit?usp=sharing","Link")</f>
        <v>Link</v>
      </c>
      <c r="F21" s="149" t="str">
        <f>HYPERLINK("https://docs.google.com/document/d/1pWxsSoFMSHzsB9Gfax73qXSaW6Js8ZTFCjLoobKWPi4/edit?usp=sharing","Link")</f>
        <v>Link</v>
      </c>
      <c r="G21" s="149" t="str">
        <f>HYPERLINK("https://docs.google.com/document/d/1lddfaAFyMa7LJ5RN1WxsuaxLrmvEtT0u4eC8iquLXkE/edit?usp=sharing","Link")</f>
        <v>Link</v>
      </c>
      <c r="H21" s="149" t="str">
        <f>HYPERLINK("https://docs.google.com/document/d/1EpTtiGvWqNFjKje0q2Lkspj2JQ61w0i6GBu_l8rjkEE/edit?usp=sharing","Link")</f>
        <v>Link</v>
      </c>
      <c r="I21" s="149" t="str">
        <f>HYPERLINK("https://docs.google.com/document/d/1oTG41JvFaJk8-8Vz3ykcp86LHO1csWCyNGFdPHHMTf0/edit?usp=sharing","Link")</f>
        <v>Link</v>
      </c>
      <c r="J21" s="149" t="str">
        <f>HYPERLINK("https://docs.google.com/document/d/1eBgnq4lfXM4BMlrVDQBy4fBkzc70kShWUmPxeiAqkts/edit?usp=sharing","Link")</f>
        <v>Link</v>
      </c>
      <c r="K21" s="149" t="str">
        <f>HYPERLINK("https://docs.google.com/document/d/1TTMClMbQSCvE0wo6hCl2fQ5vtNgjiJTQmPnTIYTAXRE/edit?usp=sharing","Link")</f>
        <v>Link</v>
      </c>
      <c r="L21" s="149" t="str">
        <f>HYPERLINK("https://docs.google.com/document/d/1D5aodZbpnkhIYazunKeIYvt8EsrZntgHPJb1hfFFIpM/edit?usp=sharing","Link")</f>
        <v>Link</v>
      </c>
      <c r="M21" s="149" t="str">
        <f>HYPERLINK("https://docs.google.com/document/d/1RVlCTf90O5X4DkjBwp1VL1WX2CYEotPKHwHYVL0B9uo/edit?usp=sharing","Link")</f>
        <v>Link</v>
      </c>
      <c r="N21" s="149" t="str">
        <f>HYPERLINK("https://docs.google.com/document/d/1kZzts_4vEKyKyl0JLSY7Oxhj7L173iQk99QezWwEE3g/edit?usp=sharing","Link")</f>
        <v>Link</v>
      </c>
      <c r="O21" s="149" t="str">
        <f>HYPERLINK("https://docs.google.com/document/d/1BraNvqfEDbPn0R-5weXbbOmQz3CIzmFMZp65MiLXKXA/edit?usp=sharing","Link")</f>
        <v>Link</v>
      </c>
      <c r="P21" s="16"/>
      <c r="Q21" s="23"/>
    </row>
    <row r="22">
      <c r="P22" s="259"/>
      <c r="Q22" s="260"/>
    </row>
    <row r="23">
      <c r="A23" s="206" t="s">
        <v>495</v>
      </c>
      <c r="P23" s="259"/>
      <c r="Q23" s="260"/>
    </row>
    <row r="24">
      <c r="A24" s="168" t="s">
        <v>496</v>
      </c>
      <c r="P24" s="259"/>
      <c r="Q24" s="260"/>
    </row>
    <row r="25">
      <c r="A25" s="274" t="s">
        <v>497</v>
      </c>
      <c r="P25" s="259"/>
      <c r="Q25" s="260"/>
    </row>
    <row r="26">
      <c r="P26" s="259"/>
      <c r="Q26" s="260"/>
    </row>
    <row r="27">
      <c r="P27" s="259"/>
      <c r="Q27" s="260"/>
    </row>
    <row r="28">
      <c r="P28" s="259"/>
      <c r="Q28" s="260"/>
    </row>
    <row r="29">
      <c r="P29" s="259"/>
      <c r="Q29" s="260"/>
    </row>
    <row r="30">
      <c r="P30" s="259"/>
      <c r="Q30" s="260"/>
    </row>
    <row r="31">
      <c r="P31" s="259"/>
      <c r="Q31" s="260"/>
    </row>
    <row r="32">
      <c r="P32" s="259"/>
      <c r="Q32" s="260"/>
    </row>
    <row r="33">
      <c r="P33" s="259"/>
      <c r="Q33" s="260"/>
    </row>
    <row r="34">
      <c r="P34" s="259"/>
      <c r="Q34" s="260"/>
    </row>
    <row r="35">
      <c r="P35" s="259"/>
      <c r="Q35" s="260"/>
    </row>
    <row r="36">
      <c r="P36" s="259"/>
      <c r="Q36" s="260"/>
    </row>
    <row r="37">
      <c r="P37" s="259"/>
      <c r="Q37" s="260"/>
    </row>
    <row r="38">
      <c r="P38" s="259"/>
      <c r="Q38" s="260"/>
    </row>
    <row r="39">
      <c r="P39" s="259"/>
      <c r="Q39" s="260"/>
    </row>
    <row r="40">
      <c r="P40" s="259"/>
      <c r="Q40" s="260"/>
    </row>
    <row r="41">
      <c r="P41" s="259"/>
      <c r="Q41" s="260"/>
    </row>
    <row r="42">
      <c r="P42" s="259"/>
      <c r="Q42" s="260"/>
    </row>
    <row r="43">
      <c r="P43" s="259"/>
      <c r="Q43" s="260"/>
    </row>
    <row r="44">
      <c r="P44" s="259"/>
      <c r="Q44" s="260"/>
    </row>
    <row r="45">
      <c r="P45" s="259"/>
      <c r="Q45" s="260"/>
    </row>
    <row r="46">
      <c r="P46" s="259"/>
      <c r="Q46" s="260"/>
    </row>
    <row r="47">
      <c r="P47" s="259"/>
      <c r="Q47" s="260"/>
    </row>
    <row r="48">
      <c r="P48" s="259"/>
      <c r="Q48" s="260"/>
    </row>
    <row r="49">
      <c r="P49" s="259"/>
      <c r="Q49" s="260"/>
    </row>
    <row r="50">
      <c r="P50" s="259"/>
      <c r="Q50" s="260"/>
    </row>
    <row r="51">
      <c r="P51" s="259"/>
      <c r="Q51" s="260"/>
    </row>
    <row r="52">
      <c r="P52" s="259"/>
      <c r="Q52" s="260"/>
    </row>
    <row r="53">
      <c r="P53" s="259"/>
      <c r="Q53" s="260"/>
    </row>
    <row r="54">
      <c r="P54" s="259"/>
      <c r="Q54" s="260"/>
    </row>
    <row r="55">
      <c r="P55" s="259"/>
      <c r="Q55" s="260"/>
    </row>
    <row r="56">
      <c r="P56" s="259"/>
      <c r="Q56" s="260"/>
    </row>
    <row r="57">
      <c r="P57" s="259"/>
      <c r="Q57" s="260"/>
    </row>
    <row r="58">
      <c r="P58" s="259"/>
      <c r="Q58" s="260"/>
    </row>
    <row r="59">
      <c r="P59" s="259"/>
      <c r="Q59" s="260"/>
    </row>
    <row r="60">
      <c r="P60" s="259"/>
      <c r="Q60" s="260"/>
    </row>
    <row r="61">
      <c r="P61" s="259"/>
      <c r="Q61" s="260"/>
    </row>
    <row r="62">
      <c r="P62" s="259"/>
      <c r="Q62" s="260"/>
    </row>
    <row r="63">
      <c r="P63" s="259"/>
      <c r="Q63" s="260"/>
    </row>
    <row r="64">
      <c r="P64" s="259"/>
      <c r="Q64" s="260"/>
    </row>
    <row r="65">
      <c r="P65" s="259"/>
      <c r="Q65" s="260"/>
    </row>
    <row r="66">
      <c r="P66" s="259"/>
      <c r="Q66" s="260"/>
    </row>
    <row r="67">
      <c r="P67" s="259"/>
      <c r="Q67" s="260"/>
    </row>
    <row r="68">
      <c r="P68" s="259"/>
      <c r="Q68" s="260"/>
    </row>
    <row r="69">
      <c r="P69" s="259"/>
      <c r="Q69" s="260"/>
    </row>
    <row r="70">
      <c r="P70" s="259"/>
      <c r="Q70" s="260"/>
    </row>
    <row r="71">
      <c r="P71" s="259"/>
      <c r="Q71" s="260"/>
    </row>
    <row r="72">
      <c r="P72" s="259"/>
      <c r="Q72" s="260"/>
    </row>
    <row r="73">
      <c r="P73" s="259"/>
      <c r="Q73" s="260"/>
    </row>
    <row r="74">
      <c r="P74" s="259"/>
      <c r="Q74" s="260"/>
    </row>
    <row r="75">
      <c r="P75" s="259"/>
      <c r="Q75" s="260"/>
    </row>
    <row r="76">
      <c r="P76" s="259"/>
      <c r="Q76" s="260"/>
    </row>
    <row r="77">
      <c r="P77" s="259"/>
      <c r="Q77" s="260"/>
    </row>
    <row r="78">
      <c r="P78" s="259"/>
      <c r="Q78" s="260"/>
    </row>
    <row r="79">
      <c r="P79" s="259"/>
      <c r="Q79" s="260"/>
    </row>
    <row r="80">
      <c r="P80" s="259"/>
      <c r="Q80" s="260"/>
    </row>
    <row r="81">
      <c r="P81" s="259"/>
      <c r="Q81" s="260"/>
    </row>
    <row r="82">
      <c r="P82" s="259"/>
      <c r="Q82" s="260"/>
    </row>
    <row r="83">
      <c r="P83" s="259"/>
      <c r="Q83" s="260"/>
    </row>
    <row r="84">
      <c r="P84" s="259"/>
      <c r="Q84" s="260"/>
    </row>
    <row r="85">
      <c r="P85" s="259"/>
      <c r="Q85" s="260"/>
    </row>
    <row r="86">
      <c r="P86" s="259"/>
      <c r="Q86" s="260"/>
    </row>
    <row r="87">
      <c r="P87" s="259"/>
      <c r="Q87" s="260"/>
    </row>
    <row r="88">
      <c r="P88" s="259"/>
      <c r="Q88" s="260"/>
    </row>
    <row r="89">
      <c r="P89" s="259"/>
      <c r="Q89" s="260"/>
    </row>
    <row r="90">
      <c r="P90" s="259"/>
      <c r="Q90" s="260"/>
    </row>
    <row r="91">
      <c r="P91" s="259"/>
      <c r="Q91" s="260"/>
    </row>
    <row r="92">
      <c r="P92" s="259"/>
      <c r="Q92" s="260"/>
    </row>
    <row r="93">
      <c r="P93" s="259"/>
      <c r="Q93" s="260"/>
    </row>
    <row r="94">
      <c r="P94" s="259"/>
      <c r="Q94" s="260"/>
    </row>
    <row r="95">
      <c r="P95" s="259"/>
      <c r="Q95" s="260"/>
    </row>
    <row r="96">
      <c r="P96" s="259"/>
      <c r="Q96" s="260"/>
    </row>
    <row r="97">
      <c r="P97" s="259"/>
      <c r="Q97" s="260"/>
    </row>
    <row r="98">
      <c r="P98" s="259"/>
      <c r="Q98" s="260"/>
    </row>
    <row r="99">
      <c r="P99" s="259"/>
      <c r="Q99" s="260"/>
    </row>
    <row r="100">
      <c r="P100" s="259"/>
      <c r="Q100" s="260"/>
    </row>
    <row r="101">
      <c r="P101" s="259"/>
      <c r="Q101" s="260"/>
    </row>
    <row r="102">
      <c r="P102" s="259"/>
      <c r="Q102" s="260"/>
    </row>
    <row r="103">
      <c r="P103" s="259"/>
      <c r="Q103" s="260"/>
    </row>
    <row r="104">
      <c r="P104" s="259"/>
      <c r="Q104" s="260"/>
    </row>
    <row r="105">
      <c r="P105" s="259"/>
      <c r="Q105" s="260"/>
    </row>
    <row r="106">
      <c r="P106" s="259"/>
      <c r="Q106" s="260"/>
    </row>
    <row r="107">
      <c r="P107" s="259"/>
      <c r="Q107" s="260"/>
    </row>
    <row r="108">
      <c r="P108" s="259"/>
      <c r="Q108" s="260"/>
    </row>
    <row r="109">
      <c r="P109" s="259"/>
      <c r="Q109" s="260"/>
    </row>
    <row r="110">
      <c r="P110" s="259"/>
      <c r="Q110" s="260"/>
    </row>
    <row r="111">
      <c r="P111" s="259"/>
      <c r="Q111" s="260"/>
    </row>
    <row r="112">
      <c r="P112" s="259"/>
      <c r="Q112" s="260"/>
    </row>
    <row r="113">
      <c r="P113" s="259"/>
      <c r="Q113" s="260"/>
    </row>
    <row r="114">
      <c r="P114" s="259"/>
      <c r="Q114" s="260"/>
    </row>
    <row r="115">
      <c r="P115" s="259"/>
      <c r="Q115" s="260"/>
    </row>
    <row r="116">
      <c r="P116" s="259"/>
      <c r="Q116" s="260"/>
    </row>
    <row r="117">
      <c r="P117" s="259"/>
      <c r="Q117" s="260"/>
    </row>
    <row r="118">
      <c r="P118" s="259"/>
      <c r="Q118" s="260"/>
    </row>
    <row r="119">
      <c r="P119" s="259"/>
      <c r="Q119" s="260"/>
    </row>
    <row r="120">
      <c r="P120" s="259"/>
      <c r="Q120" s="260"/>
    </row>
    <row r="121">
      <c r="P121" s="259"/>
      <c r="Q121" s="260"/>
    </row>
    <row r="122">
      <c r="P122" s="259"/>
      <c r="Q122" s="260"/>
    </row>
    <row r="123">
      <c r="P123" s="259"/>
      <c r="Q123" s="260"/>
    </row>
    <row r="124">
      <c r="P124" s="259"/>
      <c r="Q124" s="260"/>
    </row>
    <row r="125">
      <c r="P125" s="259"/>
      <c r="Q125" s="260"/>
    </row>
    <row r="126">
      <c r="P126" s="259"/>
      <c r="Q126" s="260"/>
    </row>
    <row r="127">
      <c r="P127" s="259"/>
      <c r="Q127" s="260"/>
    </row>
    <row r="128">
      <c r="P128" s="259"/>
      <c r="Q128" s="260"/>
    </row>
    <row r="129">
      <c r="P129" s="259"/>
      <c r="Q129" s="260"/>
    </row>
    <row r="130">
      <c r="P130" s="259"/>
      <c r="Q130" s="260"/>
    </row>
    <row r="131">
      <c r="P131" s="259"/>
      <c r="Q131" s="260"/>
    </row>
    <row r="132">
      <c r="P132" s="259"/>
      <c r="Q132" s="260"/>
    </row>
    <row r="133">
      <c r="P133" s="259"/>
      <c r="Q133" s="260"/>
    </row>
    <row r="134">
      <c r="P134" s="259"/>
      <c r="Q134" s="260"/>
    </row>
    <row r="135">
      <c r="P135" s="259"/>
      <c r="Q135" s="260"/>
    </row>
    <row r="136">
      <c r="P136" s="259"/>
      <c r="Q136" s="260"/>
    </row>
    <row r="137">
      <c r="P137" s="259"/>
      <c r="Q137" s="260"/>
    </row>
    <row r="138">
      <c r="P138" s="259"/>
      <c r="Q138" s="260"/>
    </row>
    <row r="139">
      <c r="P139" s="259"/>
      <c r="Q139" s="260"/>
    </row>
    <row r="140">
      <c r="P140" s="259"/>
      <c r="Q140" s="260"/>
    </row>
    <row r="141">
      <c r="P141" s="259"/>
      <c r="Q141" s="260"/>
    </row>
    <row r="142">
      <c r="P142" s="259"/>
      <c r="Q142" s="260"/>
    </row>
    <row r="143">
      <c r="P143" s="259"/>
      <c r="Q143" s="260"/>
    </row>
    <row r="144">
      <c r="P144" s="259"/>
      <c r="Q144" s="260"/>
    </row>
    <row r="145">
      <c r="P145" s="259"/>
      <c r="Q145" s="260"/>
    </row>
    <row r="146">
      <c r="P146" s="259"/>
      <c r="Q146" s="260"/>
    </row>
    <row r="147">
      <c r="P147" s="259"/>
      <c r="Q147" s="260"/>
    </row>
    <row r="148">
      <c r="P148" s="259"/>
      <c r="Q148" s="260"/>
    </row>
    <row r="149">
      <c r="P149" s="259"/>
      <c r="Q149" s="260"/>
    </row>
    <row r="150">
      <c r="P150" s="259"/>
      <c r="Q150" s="260"/>
    </row>
    <row r="151">
      <c r="P151" s="259"/>
      <c r="Q151" s="260"/>
    </row>
    <row r="152">
      <c r="P152" s="259"/>
      <c r="Q152" s="260"/>
    </row>
    <row r="153">
      <c r="P153" s="259"/>
      <c r="Q153" s="260"/>
    </row>
    <row r="154">
      <c r="P154" s="259"/>
      <c r="Q154" s="260"/>
    </row>
    <row r="155">
      <c r="P155" s="259"/>
      <c r="Q155" s="260"/>
    </row>
    <row r="156">
      <c r="P156" s="259"/>
      <c r="Q156" s="260"/>
    </row>
    <row r="157">
      <c r="P157" s="259"/>
      <c r="Q157" s="260"/>
    </row>
    <row r="158">
      <c r="P158" s="259"/>
      <c r="Q158" s="260"/>
    </row>
    <row r="159">
      <c r="P159" s="259"/>
      <c r="Q159" s="260"/>
    </row>
    <row r="160">
      <c r="P160" s="259"/>
      <c r="Q160" s="260"/>
    </row>
    <row r="161">
      <c r="P161" s="259"/>
      <c r="Q161" s="260"/>
    </row>
    <row r="162">
      <c r="P162" s="259"/>
      <c r="Q162" s="260"/>
    </row>
    <row r="163">
      <c r="P163" s="259"/>
      <c r="Q163" s="260"/>
    </row>
    <row r="164">
      <c r="P164" s="259"/>
      <c r="Q164" s="260"/>
    </row>
    <row r="165">
      <c r="P165" s="259"/>
      <c r="Q165" s="260"/>
    </row>
    <row r="166">
      <c r="P166" s="259"/>
      <c r="Q166" s="260"/>
    </row>
    <row r="167">
      <c r="P167" s="259"/>
      <c r="Q167" s="260"/>
    </row>
    <row r="168">
      <c r="P168" s="259"/>
      <c r="Q168" s="260"/>
    </row>
    <row r="169">
      <c r="P169" s="259"/>
      <c r="Q169" s="260"/>
    </row>
    <row r="170">
      <c r="P170" s="259"/>
      <c r="Q170" s="260"/>
    </row>
    <row r="171">
      <c r="P171" s="259"/>
      <c r="Q171" s="260"/>
    </row>
    <row r="172">
      <c r="P172" s="259"/>
      <c r="Q172" s="260"/>
    </row>
    <row r="173">
      <c r="P173" s="259"/>
      <c r="Q173" s="260"/>
    </row>
    <row r="174">
      <c r="P174" s="259"/>
      <c r="Q174" s="260"/>
    </row>
    <row r="175">
      <c r="P175" s="259"/>
      <c r="Q175" s="260"/>
    </row>
    <row r="176">
      <c r="P176" s="259"/>
      <c r="Q176" s="260"/>
    </row>
    <row r="177">
      <c r="P177" s="259"/>
      <c r="Q177" s="260"/>
    </row>
    <row r="178">
      <c r="P178" s="259"/>
      <c r="Q178" s="260"/>
    </row>
    <row r="179">
      <c r="P179" s="259"/>
      <c r="Q179" s="260"/>
    </row>
    <row r="180">
      <c r="P180" s="259"/>
      <c r="Q180" s="260"/>
    </row>
    <row r="181">
      <c r="P181" s="259"/>
      <c r="Q181" s="260"/>
    </row>
    <row r="182">
      <c r="P182" s="259"/>
      <c r="Q182" s="260"/>
    </row>
    <row r="183">
      <c r="P183" s="259"/>
      <c r="Q183" s="260"/>
    </row>
    <row r="184">
      <c r="P184" s="259"/>
      <c r="Q184" s="260"/>
    </row>
    <row r="185">
      <c r="P185" s="259"/>
      <c r="Q185" s="260"/>
    </row>
    <row r="186">
      <c r="P186" s="259"/>
      <c r="Q186" s="260"/>
    </row>
    <row r="187">
      <c r="P187" s="259"/>
      <c r="Q187" s="260"/>
    </row>
    <row r="188">
      <c r="P188" s="259"/>
      <c r="Q188" s="260"/>
    </row>
    <row r="189">
      <c r="P189" s="259"/>
      <c r="Q189" s="260"/>
    </row>
    <row r="190">
      <c r="P190" s="259"/>
      <c r="Q190" s="260"/>
    </row>
    <row r="191">
      <c r="P191" s="259"/>
      <c r="Q191" s="260"/>
    </row>
    <row r="192">
      <c r="P192" s="259"/>
      <c r="Q192" s="260"/>
    </row>
    <row r="193">
      <c r="P193" s="259"/>
      <c r="Q193" s="260"/>
    </row>
    <row r="194">
      <c r="P194" s="259"/>
      <c r="Q194" s="260"/>
    </row>
    <row r="195">
      <c r="P195" s="259"/>
      <c r="Q195" s="260"/>
    </row>
    <row r="196">
      <c r="P196" s="259"/>
      <c r="Q196" s="260"/>
    </row>
    <row r="197">
      <c r="P197" s="259"/>
      <c r="Q197" s="260"/>
    </row>
    <row r="198">
      <c r="P198" s="259"/>
      <c r="Q198" s="260"/>
    </row>
    <row r="199">
      <c r="P199" s="259"/>
      <c r="Q199" s="260"/>
    </row>
    <row r="200">
      <c r="P200" s="259"/>
      <c r="Q200" s="260"/>
    </row>
    <row r="201">
      <c r="P201" s="259"/>
      <c r="Q201" s="260"/>
    </row>
    <row r="202">
      <c r="P202" s="259"/>
      <c r="Q202" s="260"/>
    </row>
    <row r="203">
      <c r="P203" s="259"/>
      <c r="Q203" s="260"/>
    </row>
    <row r="204">
      <c r="P204" s="259"/>
      <c r="Q204" s="260"/>
    </row>
    <row r="205">
      <c r="P205" s="259"/>
      <c r="Q205" s="260"/>
    </row>
    <row r="206">
      <c r="P206" s="259"/>
      <c r="Q206" s="260"/>
    </row>
    <row r="207">
      <c r="P207" s="259"/>
      <c r="Q207" s="260"/>
    </row>
    <row r="208">
      <c r="P208" s="259"/>
      <c r="Q208" s="260"/>
    </row>
    <row r="209">
      <c r="P209" s="259"/>
      <c r="Q209" s="260"/>
    </row>
    <row r="210">
      <c r="P210" s="259"/>
      <c r="Q210" s="260"/>
    </row>
    <row r="211">
      <c r="P211" s="259"/>
      <c r="Q211" s="260"/>
    </row>
    <row r="212">
      <c r="P212" s="259"/>
      <c r="Q212" s="260"/>
    </row>
    <row r="213">
      <c r="P213" s="259"/>
      <c r="Q213" s="260"/>
    </row>
    <row r="214">
      <c r="P214" s="259"/>
      <c r="Q214" s="260"/>
    </row>
    <row r="215">
      <c r="P215" s="259"/>
      <c r="Q215" s="260"/>
    </row>
    <row r="216">
      <c r="P216" s="259"/>
      <c r="Q216" s="260"/>
    </row>
    <row r="217">
      <c r="P217" s="259"/>
      <c r="Q217" s="260"/>
    </row>
    <row r="218">
      <c r="P218" s="259"/>
      <c r="Q218" s="260"/>
    </row>
    <row r="219">
      <c r="P219" s="259"/>
      <c r="Q219" s="260"/>
    </row>
    <row r="220">
      <c r="P220" s="259"/>
      <c r="Q220" s="260"/>
    </row>
    <row r="221">
      <c r="P221" s="259"/>
      <c r="Q221" s="260"/>
    </row>
    <row r="222">
      <c r="P222" s="259"/>
      <c r="Q222" s="260"/>
    </row>
    <row r="223">
      <c r="P223" s="259"/>
      <c r="Q223" s="260"/>
    </row>
    <row r="224">
      <c r="P224" s="259"/>
      <c r="Q224" s="260"/>
    </row>
    <row r="225">
      <c r="P225" s="259"/>
      <c r="Q225" s="260"/>
    </row>
    <row r="226">
      <c r="P226" s="259"/>
      <c r="Q226" s="260"/>
    </row>
    <row r="227">
      <c r="P227" s="259"/>
      <c r="Q227" s="260"/>
    </row>
    <row r="228">
      <c r="P228" s="259"/>
      <c r="Q228" s="260"/>
    </row>
    <row r="229">
      <c r="P229" s="259"/>
      <c r="Q229" s="260"/>
    </row>
    <row r="230">
      <c r="P230" s="259"/>
      <c r="Q230" s="260"/>
    </row>
    <row r="231">
      <c r="P231" s="259"/>
      <c r="Q231" s="260"/>
    </row>
    <row r="232">
      <c r="P232" s="259"/>
      <c r="Q232" s="260"/>
    </row>
    <row r="233">
      <c r="P233" s="259"/>
      <c r="Q233" s="260"/>
    </row>
    <row r="234">
      <c r="P234" s="259"/>
      <c r="Q234" s="260"/>
    </row>
    <row r="235">
      <c r="P235" s="259"/>
      <c r="Q235" s="260"/>
    </row>
    <row r="236">
      <c r="P236" s="259"/>
      <c r="Q236" s="260"/>
    </row>
    <row r="237">
      <c r="P237" s="259"/>
      <c r="Q237" s="260"/>
    </row>
    <row r="238">
      <c r="P238" s="259"/>
      <c r="Q238" s="260"/>
    </row>
    <row r="239">
      <c r="P239" s="259"/>
      <c r="Q239" s="260"/>
    </row>
    <row r="240">
      <c r="P240" s="259"/>
      <c r="Q240" s="260"/>
    </row>
    <row r="241">
      <c r="P241" s="259"/>
      <c r="Q241" s="260"/>
    </row>
    <row r="242">
      <c r="P242" s="259"/>
      <c r="Q242" s="260"/>
    </row>
    <row r="243">
      <c r="P243" s="259"/>
      <c r="Q243" s="260"/>
    </row>
    <row r="244">
      <c r="P244" s="259"/>
      <c r="Q244" s="260"/>
    </row>
    <row r="245">
      <c r="P245" s="259"/>
      <c r="Q245" s="260"/>
    </row>
    <row r="246">
      <c r="P246" s="259"/>
      <c r="Q246" s="260"/>
    </row>
    <row r="247">
      <c r="P247" s="259"/>
      <c r="Q247" s="260"/>
    </row>
    <row r="248">
      <c r="P248" s="259"/>
      <c r="Q248" s="260"/>
    </row>
    <row r="249">
      <c r="P249" s="259"/>
      <c r="Q249" s="260"/>
    </row>
    <row r="250">
      <c r="P250" s="259"/>
      <c r="Q250" s="260"/>
    </row>
    <row r="251">
      <c r="P251" s="259"/>
      <c r="Q251" s="260"/>
    </row>
    <row r="252">
      <c r="P252" s="259"/>
      <c r="Q252" s="260"/>
    </row>
    <row r="253">
      <c r="P253" s="259"/>
      <c r="Q253" s="260"/>
    </row>
    <row r="254">
      <c r="P254" s="259"/>
      <c r="Q254" s="260"/>
    </row>
    <row r="255">
      <c r="P255" s="259"/>
      <c r="Q255" s="260"/>
    </row>
    <row r="256">
      <c r="P256" s="259"/>
      <c r="Q256" s="260"/>
    </row>
    <row r="257">
      <c r="P257" s="259"/>
      <c r="Q257" s="260"/>
    </row>
    <row r="258">
      <c r="P258" s="259"/>
      <c r="Q258" s="260"/>
    </row>
    <row r="259">
      <c r="P259" s="259"/>
      <c r="Q259" s="260"/>
    </row>
    <row r="260">
      <c r="P260" s="259"/>
      <c r="Q260" s="260"/>
    </row>
    <row r="261">
      <c r="P261" s="259"/>
      <c r="Q261" s="260"/>
    </row>
    <row r="262">
      <c r="P262" s="259"/>
      <c r="Q262" s="260"/>
    </row>
    <row r="263">
      <c r="P263" s="259"/>
      <c r="Q263" s="260"/>
    </row>
    <row r="264">
      <c r="P264" s="259"/>
      <c r="Q264" s="260"/>
    </row>
    <row r="265">
      <c r="P265" s="259"/>
      <c r="Q265" s="260"/>
    </row>
    <row r="266">
      <c r="P266" s="259"/>
      <c r="Q266" s="260"/>
    </row>
    <row r="267">
      <c r="P267" s="259"/>
      <c r="Q267" s="260"/>
    </row>
    <row r="268">
      <c r="P268" s="259"/>
      <c r="Q268" s="260"/>
    </row>
    <row r="269">
      <c r="P269" s="259"/>
      <c r="Q269" s="260"/>
    </row>
    <row r="270">
      <c r="P270" s="259"/>
      <c r="Q270" s="260"/>
    </row>
    <row r="271">
      <c r="P271" s="259"/>
      <c r="Q271" s="260"/>
    </row>
    <row r="272">
      <c r="P272" s="259"/>
      <c r="Q272" s="260"/>
    </row>
    <row r="273">
      <c r="P273" s="259"/>
      <c r="Q273" s="260"/>
    </row>
    <row r="274">
      <c r="P274" s="259"/>
      <c r="Q274" s="260"/>
    </row>
    <row r="275">
      <c r="P275" s="259"/>
      <c r="Q275" s="260"/>
    </row>
    <row r="276">
      <c r="P276" s="259"/>
      <c r="Q276" s="260"/>
    </row>
    <row r="277">
      <c r="P277" s="259"/>
      <c r="Q277" s="260"/>
    </row>
    <row r="278">
      <c r="P278" s="259"/>
      <c r="Q278" s="260"/>
    </row>
    <row r="279">
      <c r="P279" s="259"/>
      <c r="Q279" s="260"/>
    </row>
    <row r="280">
      <c r="P280" s="259"/>
      <c r="Q280" s="260"/>
    </row>
    <row r="281">
      <c r="P281" s="259"/>
      <c r="Q281" s="260"/>
    </row>
    <row r="282">
      <c r="P282" s="259"/>
      <c r="Q282" s="260"/>
    </row>
    <row r="283">
      <c r="P283" s="259"/>
      <c r="Q283" s="260"/>
    </row>
    <row r="284">
      <c r="P284" s="259"/>
      <c r="Q284" s="260"/>
    </row>
    <row r="285">
      <c r="P285" s="259"/>
      <c r="Q285" s="260"/>
    </row>
    <row r="286">
      <c r="P286" s="259"/>
      <c r="Q286" s="260"/>
    </row>
    <row r="287">
      <c r="P287" s="259"/>
      <c r="Q287" s="260"/>
    </row>
    <row r="288">
      <c r="P288" s="259"/>
      <c r="Q288" s="260"/>
    </row>
    <row r="289">
      <c r="P289" s="259"/>
      <c r="Q289" s="260"/>
    </row>
    <row r="290">
      <c r="P290" s="259"/>
      <c r="Q290" s="260"/>
    </row>
    <row r="291">
      <c r="P291" s="259"/>
      <c r="Q291" s="260"/>
    </row>
    <row r="292">
      <c r="P292" s="259"/>
      <c r="Q292" s="260"/>
    </row>
    <row r="293">
      <c r="P293" s="259"/>
      <c r="Q293" s="260"/>
    </row>
    <row r="294">
      <c r="P294" s="259"/>
      <c r="Q294" s="260"/>
    </row>
    <row r="295">
      <c r="P295" s="259"/>
      <c r="Q295" s="260"/>
    </row>
    <row r="296">
      <c r="P296" s="259"/>
      <c r="Q296" s="260"/>
    </row>
    <row r="297">
      <c r="P297" s="259"/>
      <c r="Q297" s="260"/>
    </row>
    <row r="298">
      <c r="P298" s="259"/>
      <c r="Q298" s="260"/>
    </row>
    <row r="299">
      <c r="P299" s="259"/>
      <c r="Q299" s="260"/>
    </row>
    <row r="300">
      <c r="P300" s="259"/>
      <c r="Q300" s="260"/>
    </row>
    <row r="301">
      <c r="P301" s="259"/>
      <c r="Q301" s="260"/>
    </row>
    <row r="302">
      <c r="P302" s="259"/>
      <c r="Q302" s="260"/>
    </row>
    <row r="303">
      <c r="P303" s="259"/>
      <c r="Q303" s="260"/>
    </row>
    <row r="304">
      <c r="P304" s="259"/>
      <c r="Q304" s="260"/>
    </row>
    <row r="305">
      <c r="P305" s="259"/>
      <c r="Q305" s="260"/>
    </row>
    <row r="306">
      <c r="P306" s="259"/>
      <c r="Q306" s="260"/>
    </row>
    <row r="307">
      <c r="P307" s="259"/>
      <c r="Q307" s="260"/>
    </row>
    <row r="308">
      <c r="P308" s="259"/>
      <c r="Q308" s="260"/>
    </row>
    <row r="309">
      <c r="P309" s="259"/>
      <c r="Q309" s="260"/>
    </row>
    <row r="310">
      <c r="P310" s="259"/>
      <c r="Q310" s="260"/>
    </row>
    <row r="311">
      <c r="P311" s="259"/>
      <c r="Q311" s="260"/>
    </row>
    <row r="312">
      <c r="P312" s="259"/>
      <c r="Q312" s="260"/>
    </row>
    <row r="313">
      <c r="P313" s="259"/>
      <c r="Q313" s="260"/>
    </row>
    <row r="314">
      <c r="P314" s="259"/>
      <c r="Q314" s="260"/>
    </row>
    <row r="315">
      <c r="P315" s="259"/>
      <c r="Q315" s="260"/>
    </row>
    <row r="316">
      <c r="P316" s="259"/>
      <c r="Q316" s="260"/>
    </row>
    <row r="317">
      <c r="P317" s="259"/>
      <c r="Q317" s="260"/>
    </row>
    <row r="318">
      <c r="P318" s="259"/>
      <c r="Q318" s="260"/>
    </row>
    <row r="319">
      <c r="P319" s="259"/>
      <c r="Q319" s="260"/>
    </row>
    <row r="320">
      <c r="P320" s="259"/>
      <c r="Q320" s="260"/>
    </row>
    <row r="321">
      <c r="P321" s="259"/>
      <c r="Q321" s="260"/>
    </row>
    <row r="322">
      <c r="P322" s="259"/>
      <c r="Q322" s="260"/>
    </row>
    <row r="323">
      <c r="P323" s="259"/>
      <c r="Q323" s="260"/>
    </row>
    <row r="324">
      <c r="P324" s="259"/>
      <c r="Q324" s="260"/>
    </row>
    <row r="325">
      <c r="P325" s="259"/>
      <c r="Q325" s="260"/>
    </row>
    <row r="326">
      <c r="P326" s="259"/>
      <c r="Q326" s="260"/>
    </row>
    <row r="327">
      <c r="P327" s="259"/>
      <c r="Q327" s="260"/>
    </row>
    <row r="328">
      <c r="P328" s="259"/>
      <c r="Q328" s="260"/>
    </row>
    <row r="329">
      <c r="P329" s="259"/>
      <c r="Q329" s="260"/>
    </row>
    <row r="330">
      <c r="P330" s="259"/>
      <c r="Q330" s="260"/>
    </row>
    <row r="331">
      <c r="P331" s="259"/>
      <c r="Q331" s="260"/>
    </row>
    <row r="332">
      <c r="P332" s="259"/>
      <c r="Q332" s="260"/>
    </row>
    <row r="333">
      <c r="P333" s="259"/>
      <c r="Q333" s="260"/>
    </row>
    <row r="334">
      <c r="P334" s="259"/>
      <c r="Q334" s="260"/>
    </row>
    <row r="335">
      <c r="P335" s="259"/>
      <c r="Q335" s="260"/>
    </row>
    <row r="336">
      <c r="P336" s="259"/>
      <c r="Q336" s="260"/>
    </row>
    <row r="337">
      <c r="P337" s="259"/>
      <c r="Q337" s="260"/>
    </row>
    <row r="338">
      <c r="P338" s="259"/>
      <c r="Q338" s="260"/>
    </row>
    <row r="339">
      <c r="P339" s="259"/>
      <c r="Q339" s="260"/>
    </row>
    <row r="340">
      <c r="P340" s="259"/>
      <c r="Q340" s="260"/>
    </row>
    <row r="341">
      <c r="P341" s="259"/>
      <c r="Q341" s="260"/>
    </row>
    <row r="342">
      <c r="P342" s="259"/>
      <c r="Q342" s="260"/>
    </row>
    <row r="343">
      <c r="P343" s="259"/>
      <c r="Q343" s="260"/>
    </row>
    <row r="344">
      <c r="P344" s="259"/>
      <c r="Q344" s="260"/>
    </row>
    <row r="345">
      <c r="P345" s="259"/>
      <c r="Q345" s="260"/>
    </row>
    <row r="346">
      <c r="P346" s="259"/>
      <c r="Q346" s="260"/>
    </row>
    <row r="347">
      <c r="P347" s="259"/>
      <c r="Q347" s="260"/>
    </row>
    <row r="348">
      <c r="P348" s="259"/>
      <c r="Q348" s="260"/>
    </row>
    <row r="349">
      <c r="P349" s="259"/>
      <c r="Q349" s="260"/>
    </row>
    <row r="350">
      <c r="P350" s="259"/>
      <c r="Q350" s="260"/>
    </row>
    <row r="351">
      <c r="P351" s="259"/>
      <c r="Q351" s="260"/>
    </row>
    <row r="352">
      <c r="P352" s="259"/>
      <c r="Q352" s="260"/>
    </row>
    <row r="353">
      <c r="P353" s="259"/>
      <c r="Q353" s="260"/>
    </row>
    <row r="354">
      <c r="P354" s="259"/>
      <c r="Q354" s="260"/>
    </row>
    <row r="355">
      <c r="P355" s="259"/>
      <c r="Q355" s="260"/>
    </row>
    <row r="356">
      <c r="P356" s="259"/>
      <c r="Q356" s="260"/>
    </row>
    <row r="357">
      <c r="P357" s="259"/>
      <c r="Q357" s="260"/>
    </row>
    <row r="358">
      <c r="P358" s="259"/>
      <c r="Q358" s="260"/>
    </row>
    <row r="359">
      <c r="P359" s="259"/>
      <c r="Q359" s="260"/>
    </row>
    <row r="360">
      <c r="P360" s="259"/>
      <c r="Q360" s="260"/>
    </row>
    <row r="361">
      <c r="P361" s="259"/>
      <c r="Q361" s="260"/>
    </row>
    <row r="362">
      <c r="P362" s="259"/>
      <c r="Q362" s="260"/>
    </row>
    <row r="363">
      <c r="P363" s="259"/>
      <c r="Q363" s="260"/>
    </row>
    <row r="364">
      <c r="P364" s="259"/>
      <c r="Q364" s="260"/>
    </row>
    <row r="365">
      <c r="P365" s="259"/>
      <c r="Q365" s="260"/>
    </row>
    <row r="366">
      <c r="P366" s="259"/>
      <c r="Q366" s="260"/>
    </row>
    <row r="367">
      <c r="P367" s="259"/>
      <c r="Q367" s="260"/>
    </row>
    <row r="368">
      <c r="P368" s="259"/>
      <c r="Q368" s="260"/>
    </row>
    <row r="369">
      <c r="P369" s="259"/>
      <c r="Q369" s="260"/>
    </row>
    <row r="370">
      <c r="P370" s="259"/>
      <c r="Q370" s="260"/>
    </row>
    <row r="371">
      <c r="P371" s="259"/>
      <c r="Q371" s="260"/>
    </row>
    <row r="372">
      <c r="P372" s="259"/>
      <c r="Q372" s="260"/>
    </row>
    <row r="373">
      <c r="P373" s="259"/>
      <c r="Q373" s="260"/>
    </row>
    <row r="374">
      <c r="P374" s="259"/>
      <c r="Q374" s="260"/>
    </row>
    <row r="375">
      <c r="P375" s="259"/>
      <c r="Q375" s="260"/>
    </row>
    <row r="376">
      <c r="P376" s="259"/>
      <c r="Q376" s="260"/>
    </row>
    <row r="377">
      <c r="P377" s="259"/>
      <c r="Q377" s="260"/>
    </row>
    <row r="378">
      <c r="P378" s="259"/>
      <c r="Q378" s="260"/>
    </row>
    <row r="379">
      <c r="P379" s="259"/>
      <c r="Q379" s="260"/>
    </row>
    <row r="380">
      <c r="P380" s="259"/>
      <c r="Q380" s="260"/>
    </row>
    <row r="381">
      <c r="P381" s="259"/>
      <c r="Q381" s="260"/>
    </row>
    <row r="382">
      <c r="P382" s="259"/>
      <c r="Q382" s="260"/>
    </row>
    <row r="383">
      <c r="P383" s="259"/>
      <c r="Q383" s="260"/>
    </row>
    <row r="384">
      <c r="P384" s="259"/>
      <c r="Q384" s="260"/>
    </row>
    <row r="385">
      <c r="P385" s="259"/>
      <c r="Q385" s="260"/>
    </row>
    <row r="386">
      <c r="P386" s="259"/>
      <c r="Q386" s="260"/>
    </row>
    <row r="387">
      <c r="P387" s="259"/>
      <c r="Q387" s="260"/>
    </row>
    <row r="388">
      <c r="P388" s="259"/>
      <c r="Q388" s="260"/>
    </row>
    <row r="389">
      <c r="P389" s="259"/>
      <c r="Q389" s="260"/>
    </row>
    <row r="390">
      <c r="P390" s="259"/>
      <c r="Q390" s="260"/>
    </row>
    <row r="391">
      <c r="P391" s="259"/>
      <c r="Q391" s="260"/>
    </row>
    <row r="392">
      <c r="P392" s="259"/>
      <c r="Q392" s="260"/>
    </row>
    <row r="393">
      <c r="P393" s="259"/>
      <c r="Q393" s="260"/>
    </row>
    <row r="394">
      <c r="P394" s="259"/>
      <c r="Q394" s="260"/>
    </row>
    <row r="395">
      <c r="P395" s="259"/>
      <c r="Q395" s="260"/>
    </row>
    <row r="396">
      <c r="P396" s="259"/>
      <c r="Q396" s="260"/>
    </row>
    <row r="397">
      <c r="P397" s="259"/>
      <c r="Q397" s="260"/>
    </row>
    <row r="398">
      <c r="P398" s="259"/>
      <c r="Q398" s="260"/>
    </row>
    <row r="399">
      <c r="P399" s="259"/>
      <c r="Q399" s="260"/>
    </row>
    <row r="400">
      <c r="P400" s="259"/>
      <c r="Q400" s="260"/>
    </row>
    <row r="401">
      <c r="P401" s="259"/>
      <c r="Q401" s="260"/>
    </row>
    <row r="402">
      <c r="P402" s="259"/>
      <c r="Q402" s="260"/>
    </row>
    <row r="403">
      <c r="P403" s="259"/>
      <c r="Q403" s="260"/>
    </row>
    <row r="404">
      <c r="P404" s="259"/>
      <c r="Q404" s="260"/>
    </row>
    <row r="405">
      <c r="P405" s="259"/>
      <c r="Q405" s="260"/>
    </row>
    <row r="406">
      <c r="P406" s="259"/>
      <c r="Q406" s="260"/>
    </row>
    <row r="407">
      <c r="P407" s="259"/>
      <c r="Q407" s="260"/>
    </row>
    <row r="408">
      <c r="P408" s="259"/>
      <c r="Q408" s="260"/>
    </row>
    <row r="409">
      <c r="P409" s="259"/>
      <c r="Q409" s="260"/>
    </row>
    <row r="410">
      <c r="P410" s="259"/>
      <c r="Q410" s="260"/>
    </row>
    <row r="411">
      <c r="P411" s="259"/>
      <c r="Q411" s="260"/>
    </row>
    <row r="412">
      <c r="P412" s="259"/>
      <c r="Q412" s="260"/>
    </row>
    <row r="413">
      <c r="P413" s="259"/>
      <c r="Q413" s="260"/>
    </row>
    <row r="414">
      <c r="P414" s="259"/>
      <c r="Q414" s="260"/>
    </row>
    <row r="415">
      <c r="P415" s="259"/>
      <c r="Q415" s="260"/>
    </row>
    <row r="416">
      <c r="P416" s="259"/>
      <c r="Q416" s="260"/>
    </row>
    <row r="417">
      <c r="P417" s="259"/>
      <c r="Q417" s="260"/>
    </row>
    <row r="418">
      <c r="P418" s="259"/>
      <c r="Q418" s="260"/>
    </row>
    <row r="419">
      <c r="P419" s="259"/>
      <c r="Q419" s="260"/>
    </row>
    <row r="420">
      <c r="P420" s="259"/>
      <c r="Q420" s="260"/>
    </row>
    <row r="421">
      <c r="P421" s="259"/>
      <c r="Q421" s="260"/>
    </row>
    <row r="422">
      <c r="P422" s="259"/>
      <c r="Q422" s="260"/>
    </row>
    <row r="423">
      <c r="P423" s="259"/>
      <c r="Q423" s="260"/>
    </row>
    <row r="424">
      <c r="P424" s="259"/>
      <c r="Q424" s="260"/>
    </row>
    <row r="425">
      <c r="P425" s="259"/>
      <c r="Q425" s="260"/>
    </row>
    <row r="426">
      <c r="P426" s="259"/>
      <c r="Q426" s="260"/>
    </row>
    <row r="427">
      <c r="P427" s="259"/>
      <c r="Q427" s="260"/>
    </row>
    <row r="428">
      <c r="P428" s="259"/>
      <c r="Q428" s="260"/>
    </row>
    <row r="429">
      <c r="P429" s="259"/>
      <c r="Q429" s="260"/>
    </row>
    <row r="430">
      <c r="P430" s="259"/>
      <c r="Q430" s="260"/>
    </row>
    <row r="431">
      <c r="P431" s="259"/>
      <c r="Q431" s="260"/>
    </row>
    <row r="432">
      <c r="P432" s="259"/>
      <c r="Q432" s="260"/>
    </row>
    <row r="433">
      <c r="P433" s="259"/>
      <c r="Q433" s="260"/>
    </row>
    <row r="434">
      <c r="P434" s="259"/>
      <c r="Q434" s="260"/>
    </row>
    <row r="435">
      <c r="P435" s="259"/>
      <c r="Q435" s="260"/>
    </row>
    <row r="436">
      <c r="P436" s="259"/>
      <c r="Q436" s="260"/>
    </row>
    <row r="437">
      <c r="P437" s="259"/>
      <c r="Q437" s="260"/>
    </row>
    <row r="438">
      <c r="P438" s="259"/>
      <c r="Q438" s="260"/>
    </row>
    <row r="439">
      <c r="P439" s="259"/>
      <c r="Q439" s="260"/>
    </row>
    <row r="440">
      <c r="P440" s="259"/>
      <c r="Q440" s="260"/>
    </row>
    <row r="441">
      <c r="P441" s="259"/>
      <c r="Q441" s="260"/>
    </row>
    <row r="442">
      <c r="P442" s="259"/>
      <c r="Q442" s="260"/>
    </row>
    <row r="443">
      <c r="P443" s="259"/>
      <c r="Q443" s="260"/>
    </row>
    <row r="444">
      <c r="P444" s="259"/>
      <c r="Q444" s="260"/>
    </row>
    <row r="445">
      <c r="P445" s="259"/>
      <c r="Q445" s="260"/>
    </row>
    <row r="446">
      <c r="P446" s="259"/>
      <c r="Q446" s="260"/>
    </row>
    <row r="447">
      <c r="P447" s="259"/>
      <c r="Q447" s="260"/>
    </row>
    <row r="448">
      <c r="P448" s="259"/>
      <c r="Q448" s="260"/>
    </row>
    <row r="449">
      <c r="P449" s="259"/>
      <c r="Q449" s="260"/>
    </row>
    <row r="450">
      <c r="P450" s="259"/>
      <c r="Q450" s="260"/>
    </row>
    <row r="451">
      <c r="P451" s="259"/>
      <c r="Q451" s="260"/>
    </row>
    <row r="452">
      <c r="P452" s="259"/>
      <c r="Q452" s="260"/>
    </row>
    <row r="453">
      <c r="P453" s="259"/>
      <c r="Q453" s="260"/>
    </row>
    <row r="454">
      <c r="P454" s="259"/>
      <c r="Q454" s="260"/>
    </row>
    <row r="455">
      <c r="P455" s="259"/>
      <c r="Q455" s="260"/>
    </row>
    <row r="456">
      <c r="P456" s="259"/>
      <c r="Q456" s="260"/>
    </row>
    <row r="457">
      <c r="P457" s="259"/>
      <c r="Q457" s="260"/>
    </row>
    <row r="458">
      <c r="P458" s="259"/>
      <c r="Q458" s="260"/>
    </row>
    <row r="459">
      <c r="P459" s="259"/>
      <c r="Q459" s="260"/>
    </row>
    <row r="460">
      <c r="P460" s="259"/>
      <c r="Q460" s="260"/>
    </row>
    <row r="461">
      <c r="P461" s="259"/>
      <c r="Q461" s="260"/>
    </row>
    <row r="462">
      <c r="P462" s="259"/>
      <c r="Q462" s="260"/>
    </row>
    <row r="463">
      <c r="P463" s="259"/>
      <c r="Q463" s="260"/>
    </row>
    <row r="464">
      <c r="P464" s="259"/>
      <c r="Q464" s="260"/>
    </row>
    <row r="465">
      <c r="P465" s="259"/>
      <c r="Q465" s="260"/>
    </row>
    <row r="466">
      <c r="P466" s="259"/>
      <c r="Q466" s="260"/>
    </row>
    <row r="467">
      <c r="P467" s="259"/>
      <c r="Q467" s="260"/>
    </row>
    <row r="468">
      <c r="P468" s="259"/>
      <c r="Q468" s="260"/>
    </row>
    <row r="469">
      <c r="P469" s="259"/>
      <c r="Q469" s="260"/>
    </row>
    <row r="470">
      <c r="P470" s="259"/>
      <c r="Q470" s="260"/>
    </row>
    <row r="471">
      <c r="P471" s="259"/>
      <c r="Q471" s="260"/>
    </row>
    <row r="472">
      <c r="P472" s="259"/>
      <c r="Q472" s="260"/>
    </row>
    <row r="473">
      <c r="P473" s="259"/>
      <c r="Q473" s="260"/>
    </row>
    <row r="474">
      <c r="P474" s="259"/>
      <c r="Q474" s="260"/>
    </row>
    <row r="475">
      <c r="P475" s="259"/>
      <c r="Q475" s="260"/>
    </row>
    <row r="476">
      <c r="P476" s="259"/>
      <c r="Q476" s="260"/>
    </row>
    <row r="477">
      <c r="P477" s="259"/>
      <c r="Q477" s="260"/>
    </row>
    <row r="478">
      <c r="P478" s="259"/>
      <c r="Q478" s="260"/>
    </row>
    <row r="479">
      <c r="P479" s="259"/>
      <c r="Q479" s="260"/>
    </row>
    <row r="480">
      <c r="P480" s="259"/>
      <c r="Q480" s="260"/>
    </row>
    <row r="481">
      <c r="P481" s="259"/>
      <c r="Q481" s="260"/>
    </row>
    <row r="482">
      <c r="P482" s="259"/>
      <c r="Q482" s="260"/>
    </row>
    <row r="483">
      <c r="P483" s="259"/>
      <c r="Q483" s="260"/>
    </row>
    <row r="484">
      <c r="P484" s="259"/>
      <c r="Q484" s="260"/>
    </row>
    <row r="485">
      <c r="P485" s="259"/>
      <c r="Q485" s="260"/>
    </row>
    <row r="486">
      <c r="P486" s="259"/>
      <c r="Q486" s="260"/>
    </row>
    <row r="487">
      <c r="P487" s="259"/>
      <c r="Q487" s="260"/>
    </row>
    <row r="488">
      <c r="P488" s="259"/>
      <c r="Q488" s="260"/>
    </row>
    <row r="489">
      <c r="P489" s="259"/>
      <c r="Q489" s="260"/>
    </row>
    <row r="490">
      <c r="P490" s="259"/>
      <c r="Q490" s="260"/>
    </row>
    <row r="491">
      <c r="P491" s="259"/>
      <c r="Q491" s="260"/>
    </row>
    <row r="492">
      <c r="P492" s="259"/>
      <c r="Q492" s="260"/>
    </row>
    <row r="493">
      <c r="P493" s="259"/>
      <c r="Q493" s="260"/>
    </row>
    <row r="494">
      <c r="P494" s="259"/>
      <c r="Q494" s="260"/>
    </row>
    <row r="495">
      <c r="P495" s="259"/>
      <c r="Q495" s="260"/>
    </row>
    <row r="496">
      <c r="P496" s="259"/>
      <c r="Q496" s="260"/>
    </row>
    <row r="497">
      <c r="P497" s="259"/>
      <c r="Q497" s="260"/>
    </row>
    <row r="498">
      <c r="P498" s="259"/>
      <c r="Q498" s="260"/>
    </row>
    <row r="499">
      <c r="P499" s="259"/>
      <c r="Q499" s="260"/>
    </row>
    <row r="500">
      <c r="P500" s="259"/>
      <c r="Q500" s="260"/>
    </row>
    <row r="501">
      <c r="P501" s="259"/>
      <c r="Q501" s="260"/>
    </row>
    <row r="502">
      <c r="P502" s="259"/>
      <c r="Q502" s="260"/>
    </row>
    <row r="503">
      <c r="P503" s="259"/>
      <c r="Q503" s="260"/>
    </row>
    <row r="504">
      <c r="P504" s="259"/>
      <c r="Q504" s="260"/>
    </row>
    <row r="505">
      <c r="P505" s="259"/>
      <c r="Q505" s="260"/>
    </row>
    <row r="506">
      <c r="P506" s="259"/>
      <c r="Q506" s="260"/>
    </row>
    <row r="507">
      <c r="P507" s="259"/>
      <c r="Q507" s="260"/>
    </row>
    <row r="508">
      <c r="P508" s="259"/>
      <c r="Q508" s="260"/>
    </row>
    <row r="509">
      <c r="P509" s="259"/>
      <c r="Q509" s="260"/>
    </row>
    <row r="510">
      <c r="P510" s="259"/>
      <c r="Q510" s="260"/>
    </row>
    <row r="511">
      <c r="P511" s="259"/>
      <c r="Q511" s="260"/>
    </row>
    <row r="512">
      <c r="P512" s="259"/>
      <c r="Q512" s="260"/>
    </row>
    <row r="513">
      <c r="P513" s="259"/>
      <c r="Q513" s="260"/>
    </row>
    <row r="514">
      <c r="P514" s="259"/>
      <c r="Q514" s="260"/>
    </row>
    <row r="515">
      <c r="P515" s="259"/>
      <c r="Q515" s="260"/>
    </row>
    <row r="516">
      <c r="P516" s="259"/>
      <c r="Q516" s="260"/>
    </row>
    <row r="517">
      <c r="P517" s="259"/>
      <c r="Q517" s="260"/>
    </row>
    <row r="518">
      <c r="P518" s="259"/>
      <c r="Q518" s="260"/>
    </row>
    <row r="519">
      <c r="P519" s="259"/>
      <c r="Q519" s="260"/>
    </row>
    <row r="520">
      <c r="P520" s="259"/>
      <c r="Q520" s="260"/>
    </row>
    <row r="521">
      <c r="P521" s="259"/>
      <c r="Q521" s="260"/>
    </row>
    <row r="522">
      <c r="P522" s="259"/>
      <c r="Q522" s="260"/>
    </row>
    <row r="523">
      <c r="P523" s="259"/>
      <c r="Q523" s="260"/>
    </row>
    <row r="524">
      <c r="P524" s="259"/>
      <c r="Q524" s="260"/>
    </row>
    <row r="525">
      <c r="P525" s="259"/>
      <c r="Q525" s="260"/>
    </row>
    <row r="526">
      <c r="P526" s="259"/>
      <c r="Q526" s="260"/>
    </row>
    <row r="527">
      <c r="P527" s="259"/>
      <c r="Q527" s="260"/>
    </row>
    <row r="528">
      <c r="P528" s="259"/>
      <c r="Q528" s="260"/>
    </row>
    <row r="529">
      <c r="P529" s="259"/>
      <c r="Q529" s="260"/>
    </row>
    <row r="530">
      <c r="P530" s="259"/>
      <c r="Q530" s="260"/>
    </row>
    <row r="531">
      <c r="P531" s="259"/>
      <c r="Q531" s="260"/>
    </row>
    <row r="532">
      <c r="P532" s="259"/>
      <c r="Q532" s="260"/>
    </row>
    <row r="533">
      <c r="P533" s="259"/>
      <c r="Q533" s="260"/>
    </row>
    <row r="534">
      <c r="P534" s="259"/>
      <c r="Q534" s="260"/>
    </row>
    <row r="535">
      <c r="P535" s="259"/>
      <c r="Q535" s="260"/>
    </row>
    <row r="536">
      <c r="P536" s="259"/>
      <c r="Q536" s="260"/>
    </row>
    <row r="537">
      <c r="P537" s="259"/>
      <c r="Q537" s="260"/>
    </row>
    <row r="538">
      <c r="P538" s="259"/>
      <c r="Q538" s="260"/>
    </row>
    <row r="539">
      <c r="P539" s="259"/>
      <c r="Q539" s="260"/>
    </row>
    <row r="540">
      <c r="P540" s="259"/>
      <c r="Q540" s="260"/>
    </row>
    <row r="541">
      <c r="P541" s="259"/>
      <c r="Q541" s="260"/>
    </row>
    <row r="542">
      <c r="P542" s="259"/>
      <c r="Q542" s="260"/>
    </row>
    <row r="543">
      <c r="P543" s="259"/>
      <c r="Q543" s="260"/>
    </row>
    <row r="544">
      <c r="P544" s="259"/>
      <c r="Q544" s="260"/>
    </row>
    <row r="545">
      <c r="P545" s="259"/>
      <c r="Q545" s="260"/>
    </row>
    <row r="546">
      <c r="P546" s="259"/>
      <c r="Q546" s="260"/>
    </row>
    <row r="547">
      <c r="P547" s="259"/>
      <c r="Q547" s="260"/>
    </row>
    <row r="548">
      <c r="P548" s="259"/>
      <c r="Q548" s="260"/>
    </row>
    <row r="549">
      <c r="P549" s="259"/>
      <c r="Q549" s="260"/>
    </row>
    <row r="550">
      <c r="P550" s="259"/>
      <c r="Q550" s="260"/>
    </row>
    <row r="551">
      <c r="P551" s="259"/>
      <c r="Q551" s="260"/>
    </row>
    <row r="552">
      <c r="P552" s="259"/>
      <c r="Q552" s="260"/>
    </row>
    <row r="553">
      <c r="P553" s="259"/>
      <c r="Q553" s="260"/>
    </row>
    <row r="554">
      <c r="P554" s="259"/>
      <c r="Q554" s="260"/>
    </row>
    <row r="555">
      <c r="P555" s="259"/>
      <c r="Q555" s="260"/>
    </row>
    <row r="556">
      <c r="P556" s="259"/>
      <c r="Q556" s="260"/>
    </row>
    <row r="557">
      <c r="P557" s="259"/>
      <c r="Q557" s="260"/>
    </row>
    <row r="558">
      <c r="P558" s="259"/>
      <c r="Q558" s="260"/>
    </row>
    <row r="559">
      <c r="P559" s="259"/>
      <c r="Q559" s="260"/>
    </row>
    <row r="560">
      <c r="P560" s="259"/>
      <c r="Q560" s="260"/>
    </row>
    <row r="561">
      <c r="P561" s="259"/>
      <c r="Q561" s="260"/>
    </row>
    <row r="562">
      <c r="P562" s="259"/>
      <c r="Q562" s="260"/>
    </row>
    <row r="563">
      <c r="P563" s="259"/>
      <c r="Q563" s="260"/>
    </row>
    <row r="564">
      <c r="P564" s="259"/>
      <c r="Q564" s="260"/>
    </row>
    <row r="565">
      <c r="P565" s="259"/>
      <c r="Q565" s="260"/>
    </row>
    <row r="566">
      <c r="P566" s="259"/>
      <c r="Q566" s="260"/>
    </row>
    <row r="567">
      <c r="P567" s="259"/>
      <c r="Q567" s="260"/>
    </row>
    <row r="568">
      <c r="P568" s="259"/>
      <c r="Q568" s="260"/>
    </row>
    <row r="569">
      <c r="P569" s="259"/>
      <c r="Q569" s="260"/>
    </row>
    <row r="570">
      <c r="P570" s="259"/>
      <c r="Q570" s="260"/>
    </row>
    <row r="571">
      <c r="P571" s="259"/>
      <c r="Q571" s="260"/>
    </row>
    <row r="572">
      <c r="P572" s="259"/>
      <c r="Q572" s="260"/>
    </row>
    <row r="573">
      <c r="P573" s="259"/>
      <c r="Q573" s="260"/>
    </row>
    <row r="574">
      <c r="P574" s="259"/>
      <c r="Q574" s="260"/>
    </row>
    <row r="575">
      <c r="P575" s="259"/>
      <c r="Q575" s="260"/>
    </row>
    <row r="576">
      <c r="P576" s="259"/>
      <c r="Q576" s="260"/>
    </row>
    <row r="577">
      <c r="P577" s="259"/>
      <c r="Q577" s="260"/>
    </row>
    <row r="578">
      <c r="P578" s="259"/>
      <c r="Q578" s="260"/>
    </row>
    <row r="579">
      <c r="P579" s="259"/>
      <c r="Q579" s="260"/>
    </row>
    <row r="580">
      <c r="P580" s="259"/>
      <c r="Q580" s="260"/>
    </row>
    <row r="581">
      <c r="P581" s="259"/>
      <c r="Q581" s="260"/>
    </row>
    <row r="582">
      <c r="P582" s="259"/>
      <c r="Q582" s="260"/>
    </row>
    <row r="583">
      <c r="P583" s="259"/>
      <c r="Q583" s="260"/>
    </row>
    <row r="584">
      <c r="P584" s="259"/>
      <c r="Q584" s="260"/>
    </row>
    <row r="585">
      <c r="P585" s="259"/>
      <c r="Q585" s="260"/>
    </row>
    <row r="586">
      <c r="P586" s="259"/>
      <c r="Q586" s="260"/>
    </row>
    <row r="587">
      <c r="P587" s="259"/>
      <c r="Q587" s="260"/>
    </row>
    <row r="588">
      <c r="P588" s="259"/>
      <c r="Q588" s="260"/>
    </row>
    <row r="589">
      <c r="P589" s="259"/>
      <c r="Q589" s="260"/>
    </row>
    <row r="590">
      <c r="P590" s="259"/>
      <c r="Q590" s="260"/>
    </row>
    <row r="591">
      <c r="P591" s="259"/>
      <c r="Q591" s="260"/>
    </row>
    <row r="592">
      <c r="P592" s="259"/>
      <c r="Q592" s="260"/>
    </row>
    <row r="593">
      <c r="P593" s="259"/>
      <c r="Q593" s="260"/>
    </row>
    <row r="594">
      <c r="P594" s="259"/>
      <c r="Q594" s="260"/>
    </row>
    <row r="595">
      <c r="P595" s="259"/>
      <c r="Q595" s="260"/>
    </row>
    <row r="596">
      <c r="P596" s="259"/>
      <c r="Q596" s="260"/>
    </row>
    <row r="597">
      <c r="P597" s="259"/>
      <c r="Q597" s="260"/>
    </row>
    <row r="598">
      <c r="P598" s="259"/>
      <c r="Q598" s="260"/>
    </row>
    <row r="599">
      <c r="P599" s="259"/>
      <c r="Q599" s="260"/>
    </row>
    <row r="600">
      <c r="P600" s="259"/>
      <c r="Q600" s="260"/>
    </row>
    <row r="601">
      <c r="P601" s="259"/>
      <c r="Q601" s="260"/>
    </row>
    <row r="602">
      <c r="P602" s="259"/>
      <c r="Q602" s="260"/>
    </row>
    <row r="603">
      <c r="P603" s="259"/>
      <c r="Q603" s="260"/>
    </row>
    <row r="604">
      <c r="P604" s="259"/>
      <c r="Q604" s="260"/>
    </row>
    <row r="605">
      <c r="P605" s="259"/>
      <c r="Q605" s="260"/>
    </row>
    <row r="606">
      <c r="P606" s="259"/>
      <c r="Q606" s="260"/>
    </row>
    <row r="607">
      <c r="P607" s="259"/>
      <c r="Q607" s="260"/>
    </row>
    <row r="608">
      <c r="P608" s="259"/>
      <c r="Q608" s="260"/>
    </row>
    <row r="609">
      <c r="P609" s="259"/>
      <c r="Q609" s="260"/>
    </row>
    <row r="610">
      <c r="P610" s="259"/>
      <c r="Q610" s="260"/>
    </row>
    <row r="611">
      <c r="P611" s="259"/>
      <c r="Q611" s="260"/>
    </row>
    <row r="612">
      <c r="P612" s="259"/>
      <c r="Q612" s="260"/>
    </row>
    <row r="613">
      <c r="P613" s="259"/>
      <c r="Q613" s="260"/>
    </row>
    <row r="614">
      <c r="P614" s="259"/>
      <c r="Q614" s="260"/>
    </row>
    <row r="615">
      <c r="P615" s="259"/>
      <c r="Q615" s="260"/>
    </row>
    <row r="616">
      <c r="P616" s="259"/>
      <c r="Q616" s="260"/>
    </row>
    <row r="617">
      <c r="P617" s="259"/>
      <c r="Q617" s="260"/>
    </row>
    <row r="618">
      <c r="P618" s="259"/>
      <c r="Q618" s="260"/>
    </row>
    <row r="619">
      <c r="P619" s="259"/>
      <c r="Q619" s="260"/>
    </row>
    <row r="620">
      <c r="P620" s="259"/>
      <c r="Q620" s="260"/>
    </row>
    <row r="621">
      <c r="P621" s="259"/>
      <c r="Q621" s="260"/>
    </row>
    <row r="622">
      <c r="P622" s="259"/>
      <c r="Q622" s="260"/>
    </row>
    <row r="623">
      <c r="P623" s="259"/>
      <c r="Q623" s="260"/>
    </row>
    <row r="624">
      <c r="P624" s="259"/>
      <c r="Q624" s="260"/>
    </row>
    <row r="625">
      <c r="P625" s="259"/>
      <c r="Q625" s="260"/>
    </row>
    <row r="626">
      <c r="P626" s="259"/>
      <c r="Q626" s="260"/>
    </row>
    <row r="627">
      <c r="P627" s="259"/>
      <c r="Q627" s="260"/>
    </row>
    <row r="628">
      <c r="P628" s="259"/>
      <c r="Q628" s="260"/>
    </row>
    <row r="629">
      <c r="P629" s="259"/>
      <c r="Q629" s="260"/>
    </row>
    <row r="630">
      <c r="P630" s="259"/>
      <c r="Q630" s="260"/>
    </row>
    <row r="631">
      <c r="P631" s="259"/>
      <c r="Q631" s="260"/>
    </row>
    <row r="632">
      <c r="P632" s="259"/>
      <c r="Q632" s="260"/>
    </row>
    <row r="633">
      <c r="P633" s="259"/>
      <c r="Q633" s="260"/>
    </row>
    <row r="634">
      <c r="P634" s="259"/>
      <c r="Q634" s="260"/>
    </row>
    <row r="635">
      <c r="P635" s="259"/>
      <c r="Q635" s="260"/>
    </row>
    <row r="636">
      <c r="P636" s="259"/>
      <c r="Q636" s="260"/>
    </row>
    <row r="637">
      <c r="P637" s="259"/>
      <c r="Q637" s="260"/>
    </row>
    <row r="638">
      <c r="P638" s="259"/>
      <c r="Q638" s="260"/>
    </row>
    <row r="639">
      <c r="P639" s="259"/>
      <c r="Q639" s="260"/>
    </row>
    <row r="640">
      <c r="P640" s="259"/>
      <c r="Q640" s="260"/>
    </row>
    <row r="641">
      <c r="P641" s="259"/>
      <c r="Q641" s="260"/>
    </row>
    <row r="642">
      <c r="P642" s="259"/>
      <c r="Q642" s="260"/>
    </row>
    <row r="643">
      <c r="P643" s="259"/>
      <c r="Q643" s="260"/>
    </row>
    <row r="644">
      <c r="P644" s="259"/>
      <c r="Q644" s="260"/>
    </row>
    <row r="645">
      <c r="P645" s="259"/>
      <c r="Q645" s="260"/>
    </row>
    <row r="646">
      <c r="P646" s="259"/>
      <c r="Q646" s="260"/>
    </row>
    <row r="647">
      <c r="P647" s="259"/>
      <c r="Q647" s="260"/>
    </row>
    <row r="648">
      <c r="P648" s="259"/>
      <c r="Q648" s="260"/>
    </row>
    <row r="649">
      <c r="P649" s="259"/>
      <c r="Q649" s="260"/>
    </row>
    <row r="650">
      <c r="P650" s="259"/>
      <c r="Q650" s="260"/>
    </row>
    <row r="651">
      <c r="P651" s="259"/>
      <c r="Q651" s="260"/>
    </row>
    <row r="652">
      <c r="P652" s="259"/>
      <c r="Q652" s="260"/>
    </row>
    <row r="653">
      <c r="P653" s="259"/>
      <c r="Q653" s="260"/>
    </row>
    <row r="654">
      <c r="P654" s="259"/>
      <c r="Q654" s="260"/>
    </row>
    <row r="655">
      <c r="P655" s="259"/>
      <c r="Q655" s="260"/>
    </row>
    <row r="656">
      <c r="P656" s="259"/>
      <c r="Q656" s="260"/>
    </row>
    <row r="657">
      <c r="P657" s="259"/>
      <c r="Q657" s="260"/>
    </row>
    <row r="658">
      <c r="P658" s="259"/>
      <c r="Q658" s="260"/>
    </row>
    <row r="659">
      <c r="P659" s="259"/>
      <c r="Q659" s="260"/>
    </row>
    <row r="660">
      <c r="P660" s="259"/>
      <c r="Q660" s="260"/>
    </row>
    <row r="661">
      <c r="P661" s="259"/>
      <c r="Q661" s="260"/>
    </row>
    <row r="662">
      <c r="P662" s="259"/>
      <c r="Q662" s="260"/>
    </row>
    <row r="663">
      <c r="P663" s="259"/>
      <c r="Q663" s="260"/>
    </row>
    <row r="664">
      <c r="P664" s="259"/>
      <c r="Q664" s="260"/>
    </row>
    <row r="665">
      <c r="P665" s="259"/>
      <c r="Q665" s="260"/>
    </row>
    <row r="666">
      <c r="P666" s="259"/>
      <c r="Q666" s="260"/>
    </row>
    <row r="667">
      <c r="P667" s="259"/>
      <c r="Q667" s="260"/>
    </row>
    <row r="668">
      <c r="P668" s="259"/>
      <c r="Q668" s="260"/>
    </row>
    <row r="669">
      <c r="P669" s="259"/>
      <c r="Q669" s="260"/>
    </row>
    <row r="670">
      <c r="P670" s="259"/>
      <c r="Q670" s="260"/>
    </row>
    <row r="671">
      <c r="P671" s="259"/>
      <c r="Q671" s="260"/>
    </row>
    <row r="672">
      <c r="P672" s="259"/>
      <c r="Q672" s="260"/>
    </row>
    <row r="673">
      <c r="P673" s="259"/>
      <c r="Q673" s="260"/>
    </row>
    <row r="674">
      <c r="P674" s="259"/>
      <c r="Q674" s="260"/>
    </row>
    <row r="675">
      <c r="P675" s="259"/>
      <c r="Q675" s="260"/>
    </row>
    <row r="676">
      <c r="P676" s="259"/>
      <c r="Q676" s="260"/>
    </row>
    <row r="677">
      <c r="P677" s="259"/>
      <c r="Q677" s="260"/>
    </row>
    <row r="678">
      <c r="P678" s="259"/>
      <c r="Q678" s="260"/>
    </row>
    <row r="679">
      <c r="P679" s="259"/>
      <c r="Q679" s="260"/>
    </row>
    <row r="680">
      <c r="P680" s="259"/>
      <c r="Q680" s="260"/>
    </row>
    <row r="681">
      <c r="P681" s="259"/>
      <c r="Q681" s="260"/>
    </row>
    <row r="682">
      <c r="P682" s="259"/>
      <c r="Q682" s="260"/>
    </row>
    <row r="683">
      <c r="P683" s="259"/>
      <c r="Q683" s="260"/>
    </row>
    <row r="684">
      <c r="P684" s="259"/>
      <c r="Q684" s="260"/>
    </row>
    <row r="685">
      <c r="P685" s="259"/>
      <c r="Q685" s="260"/>
    </row>
    <row r="686">
      <c r="P686" s="259"/>
      <c r="Q686" s="260"/>
    </row>
    <row r="687">
      <c r="P687" s="259"/>
      <c r="Q687" s="260"/>
    </row>
    <row r="688">
      <c r="P688" s="259"/>
      <c r="Q688" s="260"/>
    </row>
    <row r="689">
      <c r="P689" s="259"/>
      <c r="Q689" s="260"/>
    </row>
    <row r="690">
      <c r="P690" s="259"/>
      <c r="Q690" s="260"/>
    </row>
    <row r="691">
      <c r="P691" s="259"/>
      <c r="Q691" s="260"/>
    </row>
    <row r="692">
      <c r="P692" s="259"/>
      <c r="Q692" s="260"/>
    </row>
    <row r="693">
      <c r="P693" s="259"/>
      <c r="Q693" s="260"/>
    </row>
    <row r="694">
      <c r="P694" s="259"/>
      <c r="Q694" s="260"/>
    </row>
    <row r="695">
      <c r="P695" s="259"/>
      <c r="Q695" s="260"/>
    </row>
    <row r="696">
      <c r="P696" s="259"/>
      <c r="Q696" s="260"/>
    </row>
    <row r="697">
      <c r="P697" s="259"/>
      <c r="Q697" s="260"/>
    </row>
    <row r="698">
      <c r="P698" s="259"/>
      <c r="Q698" s="260"/>
    </row>
    <row r="699">
      <c r="P699" s="259"/>
      <c r="Q699" s="260"/>
    </row>
    <row r="700">
      <c r="P700" s="259"/>
      <c r="Q700" s="260"/>
    </row>
    <row r="701">
      <c r="P701" s="259"/>
      <c r="Q701" s="260"/>
    </row>
    <row r="702">
      <c r="P702" s="259"/>
      <c r="Q702" s="260"/>
    </row>
    <row r="703">
      <c r="P703" s="259"/>
      <c r="Q703" s="260"/>
    </row>
    <row r="704">
      <c r="P704" s="259"/>
      <c r="Q704" s="260"/>
    </row>
    <row r="705">
      <c r="P705" s="259"/>
      <c r="Q705" s="260"/>
    </row>
    <row r="706">
      <c r="P706" s="259"/>
      <c r="Q706" s="260"/>
    </row>
    <row r="707">
      <c r="P707" s="259"/>
      <c r="Q707" s="260"/>
    </row>
    <row r="708">
      <c r="P708" s="259"/>
      <c r="Q708" s="260"/>
    </row>
    <row r="709">
      <c r="P709" s="259"/>
      <c r="Q709" s="260"/>
    </row>
    <row r="710">
      <c r="P710" s="259"/>
      <c r="Q710" s="260"/>
    </row>
    <row r="711">
      <c r="P711" s="259"/>
      <c r="Q711" s="260"/>
    </row>
    <row r="712">
      <c r="P712" s="259"/>
      <c r="Q712" s="260"/>
    </row>
    <row r="713">
      <c r="P713" s="259"/>
      <c r="Q713" s="260"/>
    </row>
    <row r="714">
      <c r="P714" s="259"/>
      <c r="Q714" s="260"/>
    </row>
    <row r="715">
      <c r="P715" s="259"/>
      <c r="Q715" s="260"/>
    </row>
    <row r="716">
      <c r="P716" s="259"/>
      <c r="Q716" s="260"/>
    </row>
    <row r="717">
      <c r="P717" s="259"/>
      <c r="Q717" s="260"/>
    </row>
    <row r="718">
      <c r="P718" s="259"/>
      <c r="Q718" s="260"/>
    </row>
    <row r="719">
      <c r="P719" s="259"/>
      <c r="Q719" s="260"/>
    </row>
    <row r="720">
      <c r="P720" s="259"/>
      <c r="Q720" s="260"/>
    </row>
    <row r="721">
      <c r="P721" s="259"/>
      <c r="Q721" s="260"/>
    </row>
    <row r="722">
      <c r="P722" s="259"/>
      <c r="Q722" s="260"/>
    </row>
    <row r="723">
      <c r="P723" s="259"/>
      <c r="Q723" s="260"/>
    </row>
    <row r="724">
      <c r="P724" s="259"/>
      <c r="Q724" s="260"/>
    </row>
    <row r="725">
      <c r="P725" s="259"/>
      <c r="Q725" s="260"/>
    </row>
    <row r="726">
      <c r="P726" s="259"/>
      <c r="Q726" s="260"/>
    </row>
    <row r="727">
      <c r="P727" s="259"/>
      <c r="Q727" s="260"/>
    </row>
    <row r="728">
      <c r="P728" s="259"/>
      <c r="Q728" s="260"/>
    </row>
    <row r="729">
      <c r="P729" s="259"/>
      <c r="Q729" s="260"/>
    </row>
    <row r="730">
      <c r="P730" s="259"/>
      <c r="Q730" s="260"/>
    </row>
    <row r="731">
      <c r="P731" s="259"/>
      <c r="Q731" s="260"/>
    </row>
    <row r="732">
      <c r="P732" s="259"/>
      <c r="Q732" s="260"/>
    </row>
    <row r="733">
      <c r="P733" s="259"/>
      <c r="Q733" s="260"/>
    </row>
    <row r="734">
      <c r="P734" s="259"/>
      <c r="Q734" s="260"/>
    </row>
    <row r="735">
      <c r="P735" s="259"/>
      <c r="Q735" s="260"/>
    </row>
    <row r="736">
      <c r="P736" s="259"/>
      <c r="Q736" s="260"/>
    </row>
    <row r="737">
      <c r="P737" s="259"/>
      <c r="Q737" s="260"/>
    </row>
    <row r="738">
      <c r="P738" s="259"/>
      <c r="Q738" s="260"/>
    </row>
    <row r="739">
      <c r="P739" s="259"/>
      <c r="Q739" s="260"/>
    </row>
    <row r="740">
      <c r="P740" s="259"/>
      <c r="Q740" s="260"/>
    </row>
    <row r="741">
      <c r="P741" s="259"/>
      <c r="Q741" s="260"/>
    </row>
    <row r="742">
      <c r="P742" s="259"/>
      <c r="Q742" s="260"/>
    </row>
    <row r="743">
      <c r="P743" s="259"/>
      <c r="Q743" s="260"/>
    </row>
    <row r="744">
      <c r="P744" s="259"/>
      <c r="Q744" s="260"/>
    </row>
    <row r="745">
      <c r="P745" s="259"/>
      <c r="Q745" s="260"/>
    </row>
    <row r="746">
      <c r="P746" s="259"/>
      <c r="Q746" s="260"/>
    </row>
    <row r="747">
      <c r="P747" s="259"/>
      <c r="Q747" s="260"/>
    </row>
    <row r="748">
      <c r="P748" s="259"/>
      <c r="Q748" s="260"/>
    </row>
    <row r="749">
      <c r="P749" s="259"/>
      <c r="Q749" s="260"/>
    </row>
    <row r="750">
      <c r="P750" s="259"/>
      <c r="Q750" s="260"/>
    </row>
    <row r="751">
      <c r="P751" s="259"/>
      <c r="Q751" s="260"/>
    </row>
    <row r="752">
      <c r="P752" s="259"/>
      <c r="Q752" s="260"/>
    </row>
    <row r="753">
      <c r="P753" s="259"/>
      <c r="Q753" s="260"/>
    </row>
    <row r="754">
      <c r="P754" s="259"/>
      <c r="Q754" s="260"/>
    </row>
    <row r="755">
      <c r="P755" s="259"/>
      <c r="Q755" s="260"/>
    </row>
    <row r="756">
      <c r="P756" s="259"/>
      <c r="Q756" s="260"/>
    </row>
    <row r="757">
      <c r="P757" s="259"/>
      <c r="Q757" s="260"/>
    </row>
    <row r="758">
      <c r="P758" s="259"/>
      <c r="Q758" s="260"/>
    </row>
    <row r="759">
      <c r="P759" s="259"/>
      <c r="Q759" s="260"/>
    </row>
    <row r="760">
      <c r="P760" s="259"/>
      <c r="Q760" s="260"/>
    </row>
    <row r="761">
      <c r="P761" s="259"/>
      <c r="Q761" s="260"/>
    </row>
    <row r="762">
      <c r="P762" s="259"/>
      <c r="Q762" s="260"/>
    </row>
    <row r="763">
      <c r="P763" s="259"/>
      <c r="Q763" s="260"/>
    </row>
    <row r="764">
      <c r="P764" s="259"/>
      <c r="Q764" s="260"/>
    </row>
    <row r="765">
      <c r="P765" s="259"/>
      <c r="Q765" s="260"/>
    </row>
    <row r="766">
      <c r="P766" s="259"/>
      <c r="Q766" s="260"/>
    </row>
    <row r="767">
      <c r="P767" s="259"/>
      <c r="Q767" s="260"/>
    </row>
    <row r="768">
      <c r="P768" s="259"/>
      <c r="Q768" s="260"/>
    </row>
    <row r="769">
      <c r="P769" s="259"/>
      <c r="Q769" s="260"/>
    </row>
    <row r="770">
      <c r="P770" s="259"/>
      <c r="Q770" s="260"/>
    </row>
    <row r="771">
      <c r="P771" s="259"/>
      <c r="Q771" s="260"/>
    </row>
    <row r="772">
      <c r="P772" s="259"/>
      <c r="Q772" s="260"/>
    </row>
    <row r="773">
      <c r="P773" s="259"/>
      <c r="Q773" s="260"/>
    </row>
    <row r="774">
      <c r="P774" s="259"/>
      <c r="Q774" s="260"/>
    </row>
    <row r="775">
      <c r="P775" s="259"/>
      <c r="Q775" s="260"/>
    </row>
    <row r="776">
      <c r="P776" s="259"/>
      <c r="Q776" s="260"/>
    </row>
    <row r="777">
      <c r="P777" s="259"/>
      <c r="Q777" s="260"/>
    </row>
    <row r="778">
      <c r="P778" s="259"/>
      <c r="Q778" s="260"/>
    </row>
    <row r="779">
      <c r="P779" s="259"/>
      <c r="Q779" s="260"/>
    </row>
    <row r="780">
      <c r="P780" s="259"/>
      <c r="Q780" s="260"/>
    </row>
    <row r="781">
      <c r="P781" s="259"/>
      <c r="Q781" s="260"/>
    </row>
    <row r="782">
      <c r="P782" s="259"/>
      <c r="Q782" s="260"/>
    </row>
    <row r="783">
      <c r="P783" s="259"/>
      <c r="Q783" s="260"/>
    </row>
    <row r="784">
      <c r="P784" s="259"/>
      <c r="Q784" s="260"/>
    </row>
    <row r="785">
      <c r="P785" s="259"/>
      <c r="Q785" s="260"/>
    </row>
    <row r="786">
      <c r="P786" s="259"/>
      <c r="Q786" s="260"/>
    </row>
    <row r="787">
      <c r="P787" s="259"/>
      <c r="Q787" s="260"/>
    </row>
    <row r="788">
      <c r="P788" s="259"/>
      <c r="Q788" s="260"/>
    </row>
    <row r="789">
      <c r="P789" s="259"/>
      <c r="Q789" s="260"/>
    </row>
    <row r="790">
      <c r="P790" s="259"/>
      <c r="Q790" s="260"/>
    </row>
    <row r="791">
      <c r="P791" s="259"/>
      <c r="Q791" s="260"/>
    </row>
    <row r="792">
      <c r="P792" s="259"/>
      <c r="Q792" s="260"/>
    </row>
    <row r="793">
      <c r="P793" s="259"/>
      <c r="Q793" s="260"/>
    </row>
    <row r="794">
      <c r="P794" s="259"/>
      <c r="Q794" s="260"/>
    </row>
    <row r="795">
      <c r="P795" s="259"/>
      <c r="Q795" s="260"/>
    </row>
    <row r="796">
      <c r="P796" s="259"/>
      <c r="Q796" s="260"/>
    </row>
    <row r="797">
      <c r="P797" s="259"/>
      <c r="Q797" s="260"/>
    </row>
    <row r="798">
      <c r="P798" s="259"/>
      <c r="Q798" s="260"/>
    </row>
    <row r="799">
      <c r="P799" s="259"/>
      <c r="Q799" s="260"/>
    </row>
    <row r="800">
      <c r="P800" s="259"/>
      <c r="Q800" s="260"/>
    </row>
    <row r="801">
      <c r="P801" s="259"/>
      <c r="Q801" s="260"/>
    </row>
    <row r="802">
      <c r="P802" s="259"/>
      <c r="Q802" s="260"/>
    </row>
    <row r="803">
      <c r="P803" s="259"/>
      <c r="Q803" s="260"/>
    </row>
    <row r="804">
      <c r="P804" s="259"/>
      <c r="Q804" s="260"/>
    </row>
    <row r="805">
      <c r="P805" s="259"/>
      <c r="Q805" s="260"/>
    </row>
    <row r="806">
      <c r="P806" s="259"/>
      <c r="Q806" s="260"/>
    </row>
    <row r="807">
      <c r="P807" s="259"/>
      <c r="Q807" s="260"/>
    </row>
    <row r="808">
      <c r="P808" s="259"/>
      <c r="Q808" s="260"/>
    </row>
    <row r="809">
      <c r="P809" s="259"/>
      <c r="Q809" s="260"/>
    </row>
    <row r="810">
      <c r="P810" s="259"/>
      <c r="Q810" s="260"/>
    </row>
    <row r="811">
      <c r="P811" s="259"/>
      <c r="Q811" s="260"/>
    </row>
    <row r="812">
      <c r="P812" s="259"/>
      <c r="Q812" s="260"/>
    </row>
    <row r="813">
      <c r="P813" s="259"/>
      <c r="Q813" s="260"/>
    </row>
    <row r="814">
      <c r="P814" s="259"/>
      <c r="Q814" s="260"/>
    </row>
    <row r="815">
      <c r="P815" s="259"/>
      <c r="Q815" s="260"/>
    </row>
    <row r="816">
      <c r="P816" s="259"/>
      <c r="Q816" s="260"/>
    </row>
    <row r="817">
      <c r="P817" s="259"/>
      <c r="Q817" s="260"/>
    </row>
    <row r="818">
      <c r="P818" s="259"/>
      <c r="Q818" s="260"/>
    </row>
    <row r="819">
      <c r="P819" s="259"/>
      <c r="Q819" s="260"/>
    </row>
    <row r="820">
      <c r="P820" s="259"/>
      <c r="Q820" s="260"/>
    </row>
    <row r="821">
      <c r="P821" s="259"/>
      <c r="Q821" s="260"/>
    </row>
    <row r="822">
      <c r="P822" s="259"/>
      <c r="Q822" s="260"/>
    </row>
    <row r="823">
      <c r="P823" s="259"/>
      <c r="Q823" s="260"/>
    </row>
    <row r="824">
      <c r="P824" s="259"/>
      <c r="Q824" s="260"/>
    </row>
    <row r="825">
      <c r="P825" s="259"/>
      <c r="Q825" s="260"/>
    </row>
    <row r="826">
      <c r="P826" s="259"/>
      <c r="Q826" s="260"/>
    </row>
    <row r="827">
      <c r="P827" s="259"/>
      <c r="Q827" s="260"/>
    </row>
    <row r="828">
      <c r="P828" s="259"/>
      <c r="Q828" s="260"/>
    </row>
    <row r="829">
      <c r="P829" s="259"/>
      <c r="Q829" s="260"/>
    </row>
    <row r="830">
      <c r="P830" s="259"/>
      <c r="Q830" s="260"/>
    </row>
    <row r="831">
      <c r="P831" s="259"/>
      <c r="Q831" s="260"/>
    </row>
    <row r="832">
      <c r="P832" s="259"/>
      <c r="Q832" s="260"/>
    </row>
    <row r="833">
      <c r="P833" s="259"/>
      <c r="Q833" s="260"/>
    </row>
    <row r="834">
      <c r="P834" s="259"/>
      <c r="Q834" s="260"/>
    </row>
    <row r="835">
      <c r="P835" s="259"/>
      <c r="Q835" s="260"/>
    </row>
    <row r="836">
      <c r="P836" s="259"/>
      <c r="Q836" s="260"/>
    </row>
    <row r="837">
      <c r="P837" s="259"/>
      <c r="Q837" s="260"/>
    </row>
    <row r="838">
      <c r="P838" s="259"/>
      <c r="Q838" s="260"/>
    </row>
    <row r="839">
      <c r="P839" s="259"/>
      <c r="Q839" s="260"/>
    </row>
    <row r="840">
      <c r="P840" s="259"/>
      <c r="Q840" s="260"/>
    </row>
    <row r="841">
      <c r="P841" s="259"/>
      <c r="Q841" s="260"/>
    </row>
    <row r="842">
      <c r="P842" s="259"/>
      <c r="Q842" s="260"/>
    </row>
    <row r="843">
      <c r="P843" s="259"/>
      <c r="Q843" s="260"/>
    </row>
    <row r="844">
      <c r="P844" s="259"/>
      <c r="Q844" s="260"/>
    </row>
    <row r="845">
      <c r="P845" s="259"/>
      <c r="Q845" s="260"/>
    </row>
    <row r="846">
      <c r="P846" s="259"/>
      <c r="Q846" s="260"/>
    </row>
    <row r="847">
      <c r="P847" s="259"/>
      <c r="Q847" s="260"/>
    </row>
    <row r="848">
      <c r="P848" s="259"/>
      <c r="Q848" s="260"/>
    </row>
    <row r="849">
      <c r="P849" s="259"/>
      <c r="Q849" s="260"/>
    </row>
    <row r="850">
      <c r="P850" s="259"/>
      <c r="Q850" s="260"/>
    </row>
    <row r="851">
      <c r="P851" s="259"/>
      <c r="Q851" s="260"/>
    </row>
    <row r="852">
      <c r="P852" s="259"/>
      <c r="Q852" s="260"/>
    </row>
    <row r="853">
      <c r="P853" s="259"/>
      <c r="Q853" s="260"/>
    </row>
    <row r="854">
      <c r="P854" s="259"/>
      <c r="Q854" s="260"/>
    </row>
    <row r="855">
      <c r="P855" s="259"/>
      <c r="Q855" s="260"/>
    </row>
    <row r="856">
      <c r="P856" s="259"/>
      <c r="Q856" s="260"/>
    </row>
    <row r="857">
      <c r="P857" s="259"/>
      <c r="Q857" s="260"/>
    </row>
    <row r="858">
      <c r="P858" s="259"/>
      <c r="Q858" s="260"/>
    </row>
    <row r="859">
      <c r="P859" s="259"/>
      <c r="Q859" s="260"/>
    </row>
    <row r="860">
      <c r="P860" s="259"/>
      <c r="Q860" s="260"/>
    </row>
    <row r="861">
      <c r="P861" s="259"/>
      <c r="Q861" s="260"/>
    </row>
    <row r="862">
      <c r="P862" s="259"/>
      <c r="Q862" s="260"/>
    </row>
    <row r="863">
      <c r="P863" s="259"/>
      <c r="Q863" s="260"/>
    </row>
    <row r="864">
      <c r="P864" s="259"/>
      <c r="Q864" s="260"/>
    </row>
    <row r="865">
      <c r="P865" s="259"/>
      <c r="Q865" s="260"/>
    </row>
    <row r="866">
      <c r="P866" s="259"/>
      <c r="Q866" s="260"/>
    </row>
    <row r="867">
      <c r="P867" s="259"/>
      <c r="Q867" s="260"/>
    </row>
    <row r="868">
      <c r="P868" s="259"/>
      <c r="Q868" s="260"/>
    </row>
    <row r="869">
      <c r="P869" s="259"/>
      <c r="Q869" s="260"/>
    </row>
    <row r="870">
      <c r="P870" s="259"/>
      <c r="Q870" s="260"/>
    </row>
    <row r="871">
      <c r="P871" s="259"/>
      <c r="Q871" s="260"/>
    </row>
    <row r="872">
      <c r="P872" s="259"/>
      <c r="Q872" s="260"/>
    </row>
    <row r="873">
      <c r="P873" s="259"/>
      <c r="Q873" s="260"/>
    </row>
    <row r="874">
      <c r="P874" s="259"/>
      <c r="Q874" s="260"/>
    </row>
    <row r="875">
      <c r="P875" s="259"/>
      <c r="Q875" s="260"/>
    </row>
    <row r="876">
      <c r="P876" s="259"/>
      <c r="Q876" s="260"/>
    </row>
    <row r="877">
      <c r="P877" s="259"/>
      <c r="Q877" s="260"/>
    </row>
    <row r="878">
      <c r="P878" s="259"/>
      <c r="Q878" s="260"/>
    </row>
    <row r="879">
      <c r="P879" s="259"/>
      <c r="Q879" s="260"/>
    </row>
    <row r="880">
      <c r="P880" s="259"/>
      <c r="Q880" s="260"/>
    </row>
    <row r="881">
      <c r="P881" s="259"/>
      <c r="Q881" s="260"/>
    </row>
    <row r="882">
      <c r="P882" s="259"/>
      <c r="Q882" s="260"/>
    </row>
    <row r="883">
      <c r="P883" s="259"/>
      <c r="Q883" s="260"/>
    </row>
    <row r="884">
      <c r="P884" s="259"/>
      <c r="Q884" s="260"/>
    </row>
    <row r="885">
      <c r="P885" s="259"/>
      <c r="Q885" s="260"/>
    </row>
    <row r="886">
      <c r="P886" s="259"/>
      <c r="Q886" s="260"/>
    </row>
    <row r="887">
      <c r="P887" s="259"/>
      <c r="Q887" s="260"/>
    </row>
    <row r="888">
      <c r="P888" s="259"/>
      <c r="Q888" s="260"/>
    </row>
    <row r="889">
      <c r="P889" s="259"/>
      <c r="Q889" s="260"/>
    </row>
    <row r="890">
      <c r="P890" s="259"/>
      <c r="Q890" s="260"/>
    </row>
    <row r="891">
      <c r="P891" s="259"/>
      <c r="Q891" s="260"/>
    </row>
    <row r="892">
      <c r="P892" s="259"/>
      <c r="Q892" s="260"/>
    </row>
    <row r="893">
      <c r="P893" s="259"/>
      <c r="Q893" s="260"/>
    </row>
    <row r="894">
      <c r="P894" s="259"/>
      <c r="Q894" s="260"/>
    </row>
    <row r="895">
      <c r="P895" s="259"/>
      <c r="Q895" s="260"/>
    </row>
    <row r="896">
      <c r="P896" s="259"/>
      <c r="Q896" s="260"/>
    </row>
    <row r="897">
      <c r="P897" s="259"/>
      <c r="Q897" s="260"/>
    </row>
    <row r="898">
      <c r="P898" s="259"/>
      <c r="Q898" s="260"/>
    </row>
    <row r="899">
      <c r="P899" s="259"/>
      <c r="Q899" s="260"/>
    </row>
    <row r="900">
      <c r="P900" s="259"/>
      <c r="Q900" s="260"/>
    </row>
    <row r="901">
      <c r="P901" s="259"/>
      <c r="Q901" s="260"/>
    </row>
    <row r="902">
      <c r="P902" s="259"/>
      <c r="Q902" s="260"/>
    </row>
    <row r="903">
      <c r="P903" s="259"/>
      <c r="Q903" s="260"/>
    </row>
    <row r="904">
      <c r="P904" s="259"/>
      <c r="Q904" s="260"/>
    </row>
    <row r="905">
      <c r="P905" s="259"/>
      <c r="Q905" s="260"/>
    </row>
    <row r="906">
      <c r="P906" s="259"/>
      <c r="Q906" s="260"/>
    </row>
    <row r="907">
      <c r="P907" s="259"/>
      <c r="Q907" s="260"/>
    </row>
    <row r="908">
      <c r="P908" s="259"/>
      <c r="Q908" s="260"/>
    </row>
    <row r="909">
      <c r="P909" s="259"/>
      <c r="Q909" s="260"/>
    </row>
    <row r="910">
      <c r="P910" s="259"/>
      <c r="Q910" s="260"/>
    </row>
    <row r="911">
      <c r="P911" s="259"/>
      <c r="Q911" s="260"/>
    </row>
    <row r="912">
      <c r="P912" s="259"/>
      <c r="Q912" s="260"/>
    </row>
    <row r="913">
      <c r="P913" s="259"/>
      <c r="Q913" s="260"/>
    </row>
    <row r="914">
      <c r="P914" s="259"/>
      <c r="Q914" s="260"/>
    </row>
    <row r="915">
      <c r="P915" s="259"/>
      <c r="Q915" s="260"/>
    </row>
    <row r="916">
      <c r="P916" s="259"/>
      <c r="Q916" s="260"/>
    </row>
    <row r="917">
      <c r="P917" s="259"/>
      <c r="Q917" s="260"/>
    </row>
    <row r="918">
      <c r="P918" s="259"/>
      <c r="Q918" s="260"/>
    </row>
    <row r="919">
      <c r="P919" s="259"/>
      <c r="Q919" s="260"/>
    </row>
    <row r="920">
      <c r="P920" s="259"/>
      <c r="Q920" s="260"/>
    </row>
    <row r="921">
      <c r="P921" s="259"/>
      <c r="Q921" s="260"/>
    </row>
    <row r="922">
      <c r="P922" s="259"/>
      <c r="Q922" s="260"/>
    </row>
    <row r="923">
      <c r="P923" s="259"/>
      <c r="Q923" s="260"/>
    </row>
    <row r="924">
      <c r="P924" s="259"/>
      <c r="Q924" s="260"/>
    </row>
    <row r="925">
      <c r="P925" s="259"/>
      <c r="Q925" s="260"/>
    </row>
    <row r="926">
      <c r="P926" s="259"/>
      <c r="Q926" s="260"/>
    </row>
    <row r="927">
      <c r="P927" s="259"/>
      <c r="Q927" s="260"/>
    </row>
    <row r="928">
      <c r="P928" s="259"/>
      <c r="Q928" s="260"/>
    </row>
    <row r="929">
      <c r="P929" s="259"/>
      <c r="Q929" s="260"/>
    </row>
    <row r="930">
      <c r="P930" s="259"/>
      <c r="Q930" s="260"/>
    </row>
    <row r="931">
      <c r="P931" s="259"/>
      <c r="Q931" s="260"/>
    </row>
    <row r="932">
      <c r="P932" s="259"/>
      <c r="Q932" s="260"/>
    </row>
    <row r="933">
      <c r="P933" s="259"/>
      <c r="Q933" s="260"/>
    </row>
    <row r="934">
      <c r="P934" s="259"/>
      <c r="Q934" s="260"/>
    </row>
    <row r="935">
      <c r="P935" s="259"/>
      <c r="Q935" s="260"/>
    </row>
    <row r="936">
      <c r="P936" s="259"/>
      <c r="Q936" s="260"/>
    </row>
    <row r="937">
      <c r="P937" s="259"/>
      <c r="Q937" s="260"/>
    </row>
    <row r="938">
      <c r="P938" s="259"/>
      <c r="Q938" s="260"/>
    </row>
    <row r="939">
      <c r="P939" s="259"/>
      <c r="Q939" s="260"/>
    </row>
    <row r="940">
      <c r="P940" s="259"/>
      <c r="Q940" s="260"/>
    </row>
    <row r="941">
      <c r="P941" s="259"/>
      <c r="Q941" s="260"/>
    </row>
    <row r="942">
      <c r="P942" s="259"/>
      <c r="Q942" s="260"/>
    </row>
    <row r="943">
      <c r="P943" s="259"/>
      <c r="Q943" s="260"/>
    </row>
    <row r="944">
      <c r="P944" s="259"/>
      <c r="Q944" s="260"/>
    </row>
    <row r="945">
      <c r="P945" s="259"/>
      <c r="Q945" s="260"/>
    </row>
    <row r="946">
      <c r="P946" s="259"/>
      <c r="Q946" s="260"/>
    </row>
    <row r="947">
      <c r="P947" s="259"/>
      <c r="Q947" s="260"/>
    </row>
    <row r="948">
      <c r="P948" s="259"/>
      <c r="Q948" s="260"/>
    </row>
    <row r="949">
      <c r="P949" s="259"/>
      <c r="Q949" s="260"/>
    </row>
    <row r="950">
      <c r="P950" s="259"/>
      <c r="Q950" s="260"/>
    </row>
    <row r="951">
      <c r="P951" s="259"/>
      <c r="Q951" s="260"/>
    </row>
    <row r="952">
      <c r="P952" s="259"/>
      <c r="Q952" s="260"/>
    </row>
    <row r="953">
      <c r="P953" s="259"/>
      <c r="Q953" s="260"/>
    </row>
    <row r="954">
      <c r="P954" s="259"/>
      <c r="Q954" s="260"/>
    </row>
    <row r="955">
      <c r="P955" s="259"/>
      <c r="Q955" s="260"/>
    </row>
    <row r="956">
      <c r="P956" s="259"/>
      <c r="Q956" s="260"/>
    </row>
    <row r="957">
      <c r="P957" s="259"/>
      <c r="Q957" s="260"/>
    </row>
    <row r="958">
      <c r="P958" s="259"/>
      <c r="Q958" s="260"/>
    </row>
    <row r="959">
      <c r="P959" s="259"/>
      <c r="Q959" s="260"/>
    </row>
    <row r="960">
      <c r="P960" s="259"/>
      <c r="Q960" s="260"/>
    </row>
    <row r="961">
      <c r="P961" s="259"/>
      <c r="Q961" s="260"/>
    </row>
    <row r="962">
      <c r="P962" s="259"/>
      <c r="Q962" s="260"/>
    </row>
    <row r="963">
      <c r="P963" s="259"/>
      <c r="Q963" s="260"/>
    </row>
    <row r="964">
      <c r="P964" s="259"/>
      <c r="Q964" s="260"/>
    </row>
    <row r="965">
      <c r="P965" s="259"/>
      <c r="Q965" s="260"/>
    </row>
    <row r="966">
      <c r="P966" s="259"/>
      <c r="Q966" s="260"/>
    </row>
    <row r="967">
      <c r="P967" s="259"/>
      <c r="Q967" s="260"/>
    </row>
    <row r="968">
      <c r="P968" s="259"/>
      <c r="Q968" s="260"/>
    </row>
    <row r="969">
      <c r="P969" s="259"/>
      <c r="Q969" s="260"/>
    </row>
    <row r="970">
      <c r="P970" s="259"/>
      <c r="Q970" s="260"/>
    </row>
    <row r="971">
      <c r="P971" s="259"/>
      <c r="Q971" s="260"/>
    </row>
    <row r="972">
      <c r="P972" s="259"/>
      <c r="Q972" s="260"/>
    </row>
    <row r="973">
      <c r="P973" s="259"/>
      <c r="Q973" s="260"/>
    </row>
    <row r="974">
      <c r="P974" s="259"/>
      <c r="Q974" s="260"/>
    </row>
    <row r="975">
      <c r="P975" s="259"/>
      <c r="Q975" s="260"/>
    </row>
    <row r="976">
      <c r="P976" s="259"/>
      <c r="Q976" s="260"/>
    </row>
    <row r="977">
      <c r="P977" s="259"/>
      <c r="Q977" s="260"/>
    </row>
    <row r="978">
      <c r="P978" s="259"/>
      <c r="Q978" s="260"/>
    </row>
    <row r="979">
      <c r="P979" s="259"/>
      <c r="Q979" s="260"/>
    </row>
    <row r="980">
      <c r="P980" s="259"/>
      <c r="Q980" s="260"/>
    </row>
    <row r="981">
      <c r="P981" s="259"/>
      <c r="Q981" s="260"/>
    </row>
    <row r="982">
      <c r="P982" s="259"/>
      <c r="Q982" s="260"/>
    </row>
    <row r="983">
      <c r="P983" s="259"/>
      <c r="Q983" s="260"/>
    </row>
    <row r="984">
      <c r="P984" s="259"/>
      <c r="Q984" s="260"/>
    </row>
    <row r="985">
      <c r="P985" s="259"/>
      <c r="Q985" s="260"/>
    </row>
    <row r="986">
      <c r="P986" s="259"/>
      <c r="Q986" s="260"/>
    </row>
    <row r="987">
      <c r="P987" s="259"/>
      <c r="Q987" s="260"/>
    </row>
    <row r="988">
      <c r="P988" s="259"/>
      <c r="Q988" s="260"/>
    </row>
    <row r="989">
      <c r="P989" s="259"/>
      <c r="Q989" s="260"/>
    </row>
    <row r="990">
      <c r="P990" s="259"/>
      <c r="Q990" s="260"/>
    </row>
    <row r="991">
      <c r="P991" s="259"/>
      <c r="Q991" s="260"/>
    </row>
    <row r="992">
      <c r="P992" s="259"/>
      <c r="Q992" s="260"/>
    </row>
    <row r="993">
      <c r="P993" s="259"/>
      <c r="Q993" s="260"/>
    </row>
    <row r="994">
      <c r="P994" s="259"/>
      <c r="Q994" s="260"/>
    </row>
    <row r="995">
      <c r="P995" s="259"/>
      <c r="Q995" s="260"/>
    </row>
    <row r="996">
      <c r="P996" s="259"/>
      <c r="Q996" s="260"/>
    </row>
    <row r="997">
      <c r="P997" s="259"/>
      <c r="Q997" s="260"/>
    </row>
  </sheetData>
  <mergeCells count="1">
    <mergeCell ref="A1:Q1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6" width="7.29"/>
    <col customWidth="1" min="17" max="17" width="9.43"/>
    <col customWidth="1" min="18" max="18" width="12.29"/>
  </cols>
  <sheetData>
    <row r="1">
      <c r="A1" s="1" t="s">
        <v>498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256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7" t="s">
        <v>18</v>
      </c>
      <c r="R2" s="5" t="s">
        <v>19</v>
      </c>
    </row>
    <row r="3">
      <c r="A3" s="9" t="s">
        <v>224</v>
      </c>
      <c r="B3" s="228">
        <v>0.0</v>
      </c>
      <c r="C3" s="228">
        <v>5.0</v>
      </c>
      <c r="D3" s="228">
        <v>6.0</v>
      </c>
      <c r="E3" s="228">
        <v>6.0</v>
      </c>
      <c r="F3" s="228">
        <v>2.0</v>
      </c>
      <c r="G3" s="228">
        <v>2.0</v>
      </c>
      <c r="H3" s="172">
        <v>7.0</v>
      </c>
      <c r="I3" s="172">
        <v>3.0</v>
      </c>
      <c r="J3" s="172">
        <v>2.0</v>
      </c>
      <c r="K3" s="172">
        <v>7.0</v>
      </c>
      <c r="L3" s="172">
        <v>6.0</v>
      </c>
      <c r="M3" s="172">
        <v>5.0</v>
      </c>
      <c r="N3" s="172">
        <v>3.0</v>
      </c>
      <c r="O3" s="172">
        <v>15.0</v>
      </c>
      <c r="P3" s="23">
        <f t="shared" ref="P3:P18" si="1">SUM(B3:O3)</f>
        <v>69</v>
      </c>
      <c r="Q3" s="16">
        <f t="shared" ref="Q3:Q5" si="2">AVERAGE(B3:O3)</f>
        <v>4.928571429</v>
      </c>
      <c r="R3" s="17">
        <v>0.123</v>
      </c>
    </row>
    <row r="4">
      <c r="A4" s="9" t="s">
        <v>412</v>
      </c>
      <c r="B4" s="228">
        <v>3.0</v>
      </c>
      <c r="C4" s="228">
        <v>2.0</v>
      </c>
      <c r="D4" s="228">
        <v>9.0</v>
      </c>
      <c r="E4" s="228">
        <v>5.0</v>
      </c>
      <c r="F4" s="228">
        <v>3.0</v>
      </c>
      <c r="G4" s="228">
        <v>7.0</v>
      </c>
      <c r="H4" s="172">
        <v>7.0</v>
      </c>
      <c r="I4" s="172">
        <v>4.0</v>
      </c>
      <c r="J4" s="172">
        <v>5.0</v>
      </c>
      <c r="K4" s="172">
        <v>4.0</v>
      </c>
      <c r="L4" s="172">
        <v>9.0</v>
      </c>
      <c r="M4" s="172">
        <v>10.0</v>
      </c>
      <c r="N4" s="172">
        <v>13.0</v>
      </c>
      <c r="O4" s="172">
        <v>17.0</v>
      </c>
      <c r="P4" s="23">
        <f t="shared" si="1"/>
        <v>98</v>
      </c>
      <c r="Q4" s="16">
        <f t="shared" si="2"/>
        <v>7</v>
      </c>
      <c r="R4" s="17">
        <v>0.1747</v>
      </c>
    </row>
    <row r="5">
      <c r="A5" s="9" t="s">
        <v>157</v>
      </c>
      <c r="B5" s="228">
        <v>4.0</v>
      </c>
      <c r="C5" s="228">
        <v>4.0</v>
      </c>
      <c r="D5" s="228">
        <v>10.0</v>
      </c>
      <c r="E5" s="228">
        <v>4.0</v>
      </c>
      <c r="F5" s="228">
        <v>4.0</v>
      </c>
      <c r="G5" s="228">
        <v>2.0</v>
      </c>
      <c r="H5" s="172">
        <v>6.0</v>
      </c>
      <c r="I5" s="172">
        <v>3.0</v>
      </c>
      <c r="J5" s="172">
        <v>3.0</v>
      </c>
      <c r="K5" s="172">
        <v>6.0</v>
      </c>
      <c r="L5" s="172">
        <v>5.0</v>
      </c>
      <c r="M5" s="172">
        <v>6.0</v>
      </c>
      <c r="N5" s="172">
        <v>5.0</v>
      </c>
      <c r="O5" s="172">
        <v>8.0</v>
      </c>
      <c r="P5" s="23">
        <f t="shared" si="1"/>
        <v>70</v>
      </c>
      <c r="Q5" s="16">
        <f t="shared" si="2"/>
        <v>5</v>
      </c>
      <c r="R5" s="17">
        <v>0.1248</v>
      </c>
    </row>
    <row r="6">
      <c r="A6" s="9" t="s">
        <v>499</v>
      </c>
      <c r="B6" s="267">
        <v>3.0</v>
      </c>
      <c r="C6" s="267">
        <v>0.0</v>
      </c>
      <c r="D6" s="267">
        <v>4.0</v>
      </c>
      <c r="E6" s="267">
        <v>0.0</v>
      </c>
      <c r="F6" s="267">
        <v>3.0</v>
      </c>
      <c r="G6" s="267">
        <v>2.0</v>
      </c>
      <c r="H6" s="172">
        <v>3.0</v>
      </c>
      <c r="I6" s="172">
        <v>11.0</v>
      </c>
      <c r="J6" s="172">
        <v>1.0</v>
      </c>
      <c r="K6" s="172">
        <v>9.0</v>
      </c>
      <c r="L6" s="172">
        <v>8.0</v>
      </c>
      <c r="M6" s="172">
        <v>4.0</v>
      </c>
      <c r="N6" s="172">
        <v>9.0</v>
      </c>
      <c r="O6" s="148"/>
      <c r="P6" s="23">
        <f t="shared" si="1"/>
        <v>57</v>
      </c>
      <c r="Q6" s="16">
        <f>AVERAGE(B6:N6)</f>
        <v>4.384615385</v>
      </c>
      <c r="R6" s="17">
        <v>0.1016</v>
      </c>
    </row>
    <row r="7">
      <c r="A7" s="9" t="s">
        <v>500</v>
      </c>
      <c r="B7" s="267">
        <v>3.0</v>
      </c>
      <c r="C7" s="267">
        <v>3.0</v>
      </c>
      <c r="D7" s="267">
        <v>3.0</v>
      </c>
      <c r="E7" s="267">
        <v>2.0</v>
      </c>
      <c r="F7" s="267">
        <v>3.0</v>
      </c>
      <c r="G7" s="267">
        <v>2.0</v>
      </c>
      <c r="H7" s="172">
        <v>4.0</v>
      </c>
      <c r="I7" s="172">
        <v>3.0</v>
      </c>
      <c r="J7" s="172">
        <v>0.0</v>
      </c>
      <c r="K7" s="172">
        <v>2.0</v>
      </c>
      <c r="L7" s="172">
        <v>5.0</v>
      </c>
      <c r="M7" s="172">
        <v>4.0</v>
      </c>
      <c r="N7" s="148"/>
      <c r="O7" s="148"/>
      <c r="P7" s="23">
        <f t="shared" si="1"/>
        <v>34</v>
      </c>
      <c r="Q7" s="16">
        <f>AVERAGE(B7:M7)</f>
        <v>2.833333333</v>
      </c>
      <c r="R7" s="17">
        <v>0.0606</v>
      </c>
    </row>
    <row r="8">
      <c r="A8" s="9" t="s">
        <v>39</v>
      </c>
      <c r="B8" s="228">
        <v>1.0</v>
      </c>
      <c r="C8" s="228">
        <v>1.0</v>
      </c>
      <c r="D8" s="228">
        <v>3.0</v>
      </c>
      <c r="E8" s="228">
        <v>2.0</v>
      </c>
      <c r="F8" s="228">
        <v>3.0</v>
      </c>
      <c r="G8" s="228">
        <v>1.0</v>
      </c>
      <c r="H8" s="172">
        <v>1.0</v>
      </c>
      <c r="I8" s="172">
        <v>1.0</v>
      </c>
      <c r="J8" s="172">
        <v>2.0</v>
      </c>
      <c r="K8" s="172">
        <v>3.0</v>
      </c>
      <c r="L8" s="172">
        <v>5.0</v>
      </c>
      <c r="M8" s="148"/>
      <c r="N8" s="148"/>
      <c r="O8" s="148"/>
      <c r="P8" s="23">
        <f t="shared" si="1"/>
        <v>23</v>
      </c>
      <c r="Q8" s="16">
        <f>AVERAGE(B8:L8)</f>
        <v>2.090909091</v>
      </c>
      <c r="R8" s="17">
        <v>0.041</v>
      </c>
    </row>
    <row r="9">
      <c r="A9" s="9" t="s">
        <v>26</v>
      </c>
      <c r="B9" s="267">
        <v>1.0</v>
      </c>
      <c r="C9" s="267">
        <v>0.0</v>
      </c>
      <c r="D9" s="267">
        <v>1.0</v>
      </c>
      <c r="E9" s="267">
        <v>1.0</v>
      </c>
      <c r="F9" s="267">
        <v>1.0</v>
      </c>
      <c r="G9" s="267">
        <v>2.0</v>
      </c>
      <c r="H9" s="172">
        <v>3.0</v>
      </c>
      <c r="I9" s="172">
        <v>1.0</v>
      </c>
      <c r="J9" s="172">
        <v>4.0</v>
      </c>
      <c r="K9" s="172">
        <v>3.0</v>
      </c>
      <c r="L9" s="148"/>
      <c r="M9" s="148"/>
      <c r="N9" s="148"/>
      <c r="O9" s="148"/>
      <c r="P9" s="23">
        <f t="shared" si="1"/>
        <v>17</v>
      </c>
      <c r="Q9" s="16">
        <f>AVERAGE(B9:K9)</f>
        <v>1.7</v>
      </c>
      <c r="R9" s="17">
        <v>0.0303</v>
      </c>
    </row>
    <row r="10">
      <c r="A10" s="9" t="s">
        <v>411</v>
      </c>
      <c r="B10" s="228">
        <v>4.0</v>
      </c>
      <c r="C10" s="228">
        <v>9.0</v>
      </c>
      <c r="D10" s="228">
        <v>8.0</v>
      </c>
      <c r="E10" s="228">
        <v>6.0</v>
      </c>
      <c r="F10" s="228">
        <v>5.0</v>
      </c>
      <c r="G10" s="228">
        <v>6.0</v>
      </c>
      <c r="H10" s="172">
        <v>7.0</v>
      </c>
      <c r="I10" s="172">
        <v>4.0</v>
      </c>
      <c r="J10" s="172">
        <v>11.0</v>
      </c>
      <c r="K10" s="148"/>
      <c r="L10" s="148"/>
      <c r="M10" s="148"/>
      <c r="N10" s="148"/>
      <c r="O10" s="148"/>
      <c r="P10" s="23">
        <f t="shared" si="1"/>
        <v>60</v>
      </c>
      <c r="Q10" s="16">
        <f>AVERAGE(B10:J10)</f>
        <v>6.666666667</v>
      </c>
      <c r="R10" s="17">
        <v>0.107</v>
      </c>
    </row>
    <row r="11">
      <c r="A11" s="9" t="s">
        <v>279</v>
      </c>
      <c r="B11" s="267">
        <v>1.0</v>
      </c>
      <c r="C11" s="267">
        <v>3.0</v>
      </c>
      <c r="D11" s="267">
        <v>4.0</v>
      </c>
      <c r="E11" s="267">
        <v>1.0</v>
      </c>
      <c r="F11" s="267">
        <v>3.0</v>
      </c>
      <c r="G11" s="267">
        <v>4.0</v>
      </c>
      <c r="H11" s="172">
        <v>4.0</v>
      </c>
      <c r="I11" s="172">
        <v>3.0</v>
      </c>
      <c r="J11" s="148"/>
      <c r="K11" s="148"/>
      <c r="L11" s="148"/>
      <c r="M11" s="148"/>
      <c r="N11" s="148"/>
      <c r="O11" s="148"/>
      <c r="P11" s="23">
        <f t="shared" si="1"/>
        <v>23</v>
      </c>
      <c r="Q11" s="16">
        <f>AVERAGE(B11:I11)</f>
        <v>2.875</v>
      </c>
      <c r="R11" s="17">
        <v>0.041</v>
      </c>
    </row>
    <row r="12">
      <c r="A12" s="9" t="s">
        <v>107</v>
      </c>
      <c r="B12" s="267">
        <v>5.0</v>
      </c>
      <c r="C12" s="267">
        <v>4.0</v>
      </c>
      <c r="D12" s="267">
        <v>8.0</v>
      </c>
      <c r="E12" s="267">
        <v>1.0</v>
      </c>
      <c r="F12" s="267">
        <v>4.0</v>
      </c>
      <c r="G12" s="267">
        <v>4.0</v>
      </c>
      <c r="H12" s="172">
        <v>9.0</v>
      </c>
      <c r="I12" s="148"/>
      <c r="J12" s="148"/>
      <c r="K12" s="148"/>
      <c r="L12" s="148"/>
      <c r="M12" s="148"/>
      <c r="N12" s="148"/>
      <c r="O12" s="148"/>
      <c r="P12" s="23">
        <f t="shared" si="1"/>
        <v>35</v>
      </c>
      <c r="Q12" s="16">
        <f>AVERAGE(B12:H12)</f>
        <v>5</v>
      </c>
      <c r="R12" s="17">
        <v>0.0624</v>
      </c>
    </row>
    <row r="13">
      <c r="A13" s="9" t="s">
        <v>56</v>
      </c>
      <c r="B13" s="267">
        <v>3.0</v>
      </c>
      <c r="C13" s="267">
        <v>4.0</v>
      </c>
      <c r="D13" s="267">
        <v>3.0</v>
      </c>
      <c r="E13" s="267">
        <v>4.0</v>
      </c>
      <c r="F13" s="267">
        <v>6.0</v>
      </c>
      <c r="G13" s="267">
        <v>1.0</v>
      </c>
      <c r="H13" s="148"/>
      <c r="I13" s="148"/>
      <c r="J13" s="148"/>
      <c r="K13" s="148"/>
      <c r="L13" s="148"/>
      <c r="M13" s="148"/>
      <c r="N13" s="148"/>
      <c r="O13" s="148"/>
      <c r="P13" s="23">
        <f t="shared" si="1"/>
        <v>21</v>
      </c>
      <c r="Q13" s="16">
        <f>AVERAGE(B13:G13)</f>
        <v>3.5</v>
      </c>
      <c r="R13" s="17">
        <v>0.0374</v>
      </c>
    </row>
    <row r="14">
      <c r="A14" s="9" t="s">
        <v>158</v>
      </c>
      <c r="B14" s="267">
        <v>6.0</v>
      </c>
      <c r="C14" s="267">
        <v>3.0</v>
      </c>
      <c r="D14" s="267">
        <v>3.0</v>
      </c>
      <c r="E14" s="267">
        <v>1.0</v>
      </c>
      <c r="F14" s="267">
        <v>3.0</v>
      </c>
      <c r="G14" s="148"/>
      <c r="H14" s="148"/>
      <c r="I14" s="148"/>
      <c r="J14" s="148"/>
      <c r="K14" s="148"/>
      <c r="L14" s="148"/>
      <c r="M14" s="148"/>
      <c r="N14" s="148"/>
      <c r="O14" s="148"/>
      <c r="P14" s="23">
        <f t="shared" si="1"/>
        <v>16</v>
      </c>
      <c r="Q14" s="16">
        <f>AVERAGE(B14:F14)</f>
        <v>3.2</v>
      </c>
      <c r="R14" s="17">
        <v>0.0285</v>
      </c>
    </row>
    <row r="15">
      <c r="A15" s="9" t="s">
        <v>501</v>
      </c>
      <c r="B15" s="228">
        <v>2.0</v>
      </c>
      <c r="C15" s="228">
        <v>5.0</v>
      </c>
      <c r="D15" s="228">
        <v>8.0</v>
      </c>
      <c r="E15" s="228">
        <v>3.0</v>
      </c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23">
        <f t="shared" si="1"/>
        <v>18</v>
      </c>
      <c r="Q15" s="16">
        <f>AVERAGE(B15:E15)</f>
        <v>4.5</v>
      </c>
      <c r="R15" s="17">
        <v>0.0321</v>
      </c>
    </row>
    <row r="16">
      <c r="A16" s="9" t="s">
        <v>502</v>
      </c>
      <c r="B16" s="228">
        <v>2.0</v>
      </c>
      <c r="C16" s="228">
        <v>7.0</v>
      </c>
      <c r="D16" s="228">
        <v>3.0</v>
      </c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23">
        <f t="shared" si="1"/>
        <v>12</v>
      </c>
      <c r="Q16" s="16">
        <f>AVERAGE(B16:D16)</f>
        <v>4</v>
      </c>
      <c r="R16" s="17">
        <v>0.0214</v>
      </c>
    </row>
    <row r="17">
      <c r="A17" s="9" t="s">
        <v>503</v>
      </c>
      <c r="B17" s="228">
        <v>0.0</v>
      </c>
      <c r="C17" s="228">
        <v>4.0</v>
      </c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23">
        <f t="shared" si="1"/>
        <v>4</v>
      </c>
      <c r="Q17" s="16">
        <f>AVERAGE(B17:C17)</f>
        <v>2</v>
      </c>
      <c r="R17" s="17">
        <v>0.0071</v>
      </c>
    </row>
    <row r="18">
      <c r="A18" s="9" t="s">
        <v>504</v>
      </c>
      <c r="B18" s="267">
        <v>4.0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23">
        <f t="shared" si="1"/>
        <v>4</v>
      </c>
      <c r="Q18" s="16">
        <f>AVERAGE(B18)</f>
        <v>4</v>
      </c>
      <c r="R18" s="17">
        <v>0.0071</v>
      </c>
    </row>
    <row r="19">
      <c r="A19" s="256" t="s">
        <v>40</v>
      </c>
      <c r="B19" s="23">
        <f t="shared" ref="B19:P19" si="3">SUM(B3:B18)</f>
        <v>42</v>
      </c>
      <c r="C19" s="23">
        <f t="shared" si="3"/>
        <v>54</v>
      </c>
      <c r="D19" s="23">
        <f t="shared" si="3"/>
        <v>73</v>
      </c>
      <c r="E19" s="23">
        <f t="shared" si="3"/>
        <v>36</v>
      </c>
      <c r="F19" s="23">
        <f t="shared" si="3"/>
        <v>40</v>
      </c>
      <c r="G19" s="23">
        <f t="shared" si="3"/>
        <v>33</v>
      </c>
      <c r="H19" s="23">
        <f t="shared" si="3"/>
        <v>51</v>
      </c>
      <c r="I19" s="23">
        <f t="shared" si="3"/>
        <v>33</v>
      </c>
      <c r="J19" s="23">
        <f t="shared" si="3"/>
        <v>28</v>
      </c>
      <c r="K19" s="23">
        <f t="shared" si="3"/>
        <v>34</v>
      </c>
      <c r="L19" s="23">
        <f t="shared" si="3"/>
        <v>38</v>
      </c>
      <c r="M19" s="23">
        <f t="shared" si="3"/>
        <v>29</v>
      </c>
      <c r="N19" s="23">
        <f t="shared" si="3"/>
        <v>30</v>
      </c>
      <c r="O19" s="23">
        <f t="shared" si="3"/>
        <v>40</v>
      </c>
      <c r="P19" s="23">
        <f t="shared" si="3"/>
        <v>561</v>
      </c>
      <c r="Q19" s="16"/>
      <c r="R19" s="23"/>
    </row>
    <row r="20">
      <c r="A20" s="258" t="s">
        <v>18</v>
      </c>
      <c r="B20" s="16">
        <f>AVERAGE(B3:B18)</f>
        <v>2.625</v>
      </c>
      <c r="C20" s="16">
        <f>AVERAGE(C3:C17)</f>
        <v>3.6</v>
      </c>
      <c r="D20" s="16">
        <f>AVERAGE(D3:D16)</f>
        <v>5.214285714</v>
      </c>
      <c r="E20" s="16">
        <f>AVERAGE(E3:E15)</f>
        <v>2.769230769</v>
      </c>
      <c r="F20" s="16">
        <f>AVERAGE(F3:F14)</f>
        <v>3.333333333</v>
      </c>
      <c r="G20" s="16">
        <f>AVERAGE(G3:G13)</f>
        <v>3</v>
      </c>
      <c r="H20" s="16">
        <f>AVERAGE(H3:H12)</f>
        <v>5.1</v>
      </c>
      <c r="I20" s="16">
        <f>AVERAGE(I3:I11)</f>
        <v>3.666666667</v>
      </c>
      <c r="J20" s="16">
        <f>AVERAGE(J3:J10)</f>
        <v>3.5</v>
      </c>
      <c r="K20" s="16">
        <f>AVERAGE(K3:K9)</f>
        <v>4.857142857</v>
      </c>
      <c r="L20" s="16">
        <f>AVERAGE(L3:L8)</f>
        <v>6.333333333</v>
      </c>
      <c r="M20" s="16">
        <f>AVERAGE(M3:M7)</f>
        <v>5.8</v>
      </c>
      <c r="N20" s="16">
        <f>AVERAGE(N3:N6)</f>
        <v>7.5</v>
      </c>
      <c r="O20" s="16">
        <f>AVERAGE(O3:O5)</f>
        <v>13.33333333</v>
      </c>
      <c r="P20" s="16"/>
      <c r="Q20" s="16"/>
      <c r="R20" s="16"/>
      <c r="S20" s="259"/>
      <c r="T20" s="259"/>
      <c r="U20" s="259"/>
      <c r="V20" s="259"/>
      <c r="W20" s="259"/>
      <c r="X20" s="259"/>
      <c r="Y20" s="259"/>
    </row>
    <row r="21">
      <c r="A21" s="256" t="s">
        <v>41</v>
      </c>
      <c r="B21" s="149" t="str">
        <f>HYPERLINK("https://docs.google.com/document/d/1fSuWSeRbGqiyyTyznlBdKKjaF8idNDcuvXFybBnOoHg/edit?usp=sharing","Link")</f>
        <v>Link</v>
      </c>
      <c r="C21" s="149" t="str">
        <f>HYPERLINK("https://docs.google.com/document/d/1b5sBj9jnXst_jEjltoJSfNAK1eUo1JfwQntpgChSb3M/edit?usp=sharing","Link")</f>
        <v>Link</v>
      </c>
      <c r="D21" s="149" t="str">
        <f>HYPERLINK("https://docs.google.com/document/d/13uerIF5U9OwZ0B-nbCpZDpfeAX8f7455qWL3AvUT_UQ/edit?usp=sharing","Link")</f>
        <v>Link</v>
      </c>
      <c r="E21" s="149" t="str">
        <f>HYPERLINK("https://docs.google.com/document/d/1TUy4r2-Auns8Ff370FV4CTVVitya3m98S61PdQtJYxM/edit?usp=sharing","Link")</f>
        <v>Link</v>
      </c>
      <c r="F21" s="149" t="str">
        <f>HYPERLINK("https://docs.google.com/document/d/1qBe4XeCN5RlNABcUJlOZMu_klaFw3uoYZwrHdSPST9M/edit?usp=sharing","Link")</f>
        <v>Link</v>
      </c>
      <c r="G21" s="149" t="str">
        <f>HYPERLINK("https://docs.google.com/document/d/1rPjHqEnV5EKUJ8EqlLwXNhyUklCWexA_xBBMHysTg2U/edit?usp=sharing","Link")</f>
        <v>Link</v>
      </c>
      <c r="H21" s="149" t="str">
        <f>HYPERLINK("https://docs.google.com/document/d/1kId8CNN2jvJ3v5Vmrmaa4xkzS27l7O7-W0iCHWgFT-Y/edit?usp=sharing","Link")</f>
        <v>Link</v>
      </c>
      <c r="I21" s="149" t="str">
        <f>HYPERLINK("https://docs.google.com/document/d/1KF8njk9TMpVrunYliOR2pyKBEgnYR7XFaKmGgvPko7Q/edit?usp=sharing","Link")</f>
        <v>Link</v>
      </c>
      <c r="J21" s="149" t="str">
        <f>HYPERLINK("https://docs.google.com/document/d/1prL9ai_k_Abc94Ba-fb6nkrR7wryxXFCAS8glTacHb4/edit?usp=sharing","Link")</f>
        <v>Link</v>
      </c>
      <c r="K21" s="149" t="str">
        <f>HYPERLINK("https://docs.google.com/document/d/1sjlI4_Pds--6Oa-rUIYeRQ5L8BTlepJw6V0WE1Wkj-s/edit?usp=sharing","Link")</f>
        <v>Link</v>
      </c>
      <c r="L21" s="149" t="str">
        <f>HYPERLINK("https://docs.google.com/document/d/17Bo8VuseSH72ABb4dh1p_6G57Mi1X0hSuo-JS8BjjyE/edit?usp=sharing","Link")</f>
        <v>Link</v>
      </c>
      <c r="M21" s="149" t="str">
        <f>HYPERLINK("https://docs.google.com/document/d/1WW7iygGDFyx904SAmuVyLiJ2-mNWPUopNmFySHsIpXw/edit?usp=sharing","Link")</f>
        <v>Link</v>
      </c>
      <c r="N21" s="149" t="str">
        <f>HYPERLINK("https://docs.google.com/document/d/1scTxQqgwXWDBh9f8BGkL2FrbroDS4w632uswIFMRdcg/edit?usp=sharing","Link")</f>
        <v>Link</v>
      </c>
      <c r="O21" s="149" t="str">
        <f>HYPERLINK("https://docs.google.com/document/d/1jfopE_pKUSULAe7ZdoB9xGVZJyroyCOjh3AwW9f58To/edit?usp=sharing","Link")</f>
        <v>Link</v>
      </c>
      <c r="P21" s="40" t="str">
        <f>HYPERLINK("https://docs.google.com/document/d/1YKrlk75bamDHOu5Fhloc3WCK6yhiywPH6-BAV17QTLc/edit?usp=sharing","Link")</f>
        <v>Link</v>
      </c>
      <c r="Q21" s="16"/>
      <c r="R21" s="23"/>
    </row>
    <row r="22">
      <c r="Q22" s="259"/>
      <c r="R22" s="260"/>
    </row>
    <row r="23">
      <c r="A23" s="270" t="s">
        <v>505</v>
      </c>
      <c r="Q23" s="259"/>
      <c r="R23" s="260"/>
    </row>
    <row r="24">
      <c r="A24" s="234" t="s">
        <v>506</v>
      </c>
      <c r="Q24" s="259"/>
      <c r="R24" s="260"/>
    </row>
    <row r="25">
      <c r="A25" s="174" t="s">
        <v>507</v>
      </c>
      <c r="Q25" s="259"/>
      <c r="R25" s="260"/>
    </row>
    <row r="26">
      <c r="Q26" s="259"/>
      <c r="R26" s="260"/>
    </row>
    <row r="27">
      <c r="Q27" s="259"/>
      <c r="R27" s="260"/>
    </row>
    <row r="28">
      <c r="Q28" s="259"/>
      <c r="R28" s="260"/>
    </row>
    <row r="29">
      <c r="Q29" s="259"/>
      <c r="R29" s="260"/>
    </row>
    <row r="30">
      <c r="Q30" s="259"/>
      <c r="R30" s="260"/>
    </row>
    <row r="31">
      <c r="Q31" s="259"/>
      <c r="R31" s="260"/>
    </row>
    <row r="32">
      <c r="Q32" s="259"/>
      <c r="R32" s="260"/>
    </row>
    <row r="33">
      <c r="Q33" s="259"/>
      <c r="R33" s="260"/>
    </row>
    <row r="34">
      <c r="Q34" s="259"/>
      <c r="R34" s="260"/>
    </row>
    <row r="35">
      <c r="Q35" s="259"/>
      <c r="R35" s="260"/>
    </row>
    <row r="36">
      <c r="Q36" s="259"/>
      <c r="R36" s="260"/>
    </row>
    <row r="37">
      <c r="Q37" s="259"/>
      <c r="R37" s="260"/>
    </row>
    <row r="38">
      <c r="Q38" s="259"/>
      <c r="R38" s="260"/>
    </row>
    <row r="39">
      <c r="Q39" s="259"/>
      <c r="R39" s="260"/>
    </row>
    <row r="40">
      <c r="Q40" s="259"/>
      <c r="R40" s="260"/>
    </row>
    <row r="41">
      <c r="Q41" s="259"/>
      <c r="R41" s="260"/>
    </row>
    <row r="42">
      <c r="Q42" s="259"/>
      <c r="R42" s="260"/>
    </row>
    <row r="43">
      <c r="Q43" s="259"/>
      <c r="R43" s="260"/>
    </row>
    <row r="44">
      <c r="Q44" s="259"/>
      <c r="R44" s="260"/>
    </row>
    <row r="45">
      <c r="Q45" s="259"/>
      <c r="R45" s="260"/>
    </row>
    <row r="46">
      <c r="Q46" s="259"/>
      <c r="R46" s="260"/>
    </row>
    <row r="47">
      <c r="Q47" s="259"/>
      <c r="R47" s="260"/>
    </row>
    <row r="48">
      <c r="Q48" s="259"/>
      <c r="R48" s="260"/>
    </row>
    <row r="49">
      <c r="Q49" s="259"/>
      <c r="R49" s="260"/>
    </row>
    <row r="50">
      <c r="Q50" s="259"/>
      <c r="R50" s="260"/>
    </row>
    <row r="51">
      <c r="Q51" s="259"/>
      <c r="R51" s="260"/>
    </row>
    <row r="52">
      <c r="Q52" s="259"/>
      <c r="R52" s="260"/>
    </row>
    <row r="53">
      <c r="Q53" s="259"/>
      <c r="R53" s="260"/>
    </row>
    <row r="54">
      <c r="Q54" s="259"/>
      <c r="R54" s="260"/>
    </row>
    <row r="55">
      <c r="Q55" s="259"/>
      <c r="R55" s="260"/>
    </row>
    <row r="56">
      <c r="Q56" s="259"/>
      <c r="R56" s="260"/>
    </row>
    <row r="57">
      <c r="Q57" s="259"/>
      <c r="R57" s="260"/>
    </row>
    <row r="58">
      <c r="Q58" s="259"/>
      <c r="R58" s="260"/>
    </row>
    <row r="59">
      <c r="Q59" s="259"/>
      <c r="R59" s="260"/>
    </row>
    <row r="60">
      <c r="Q60" s="259"/>
      <c r="R60" s="260"/>
    </row>
    <row r="61">
      <c r="Q61" s="259"/>
      <c r="R61" s="260"/>
    </row>
    <row r="62">
      <c r="Q62" s="259"/>
      <c r="R62" s="260"/>
    </row>
    <row r="63">
      <c r="Q63" s="259"/>
      <c r="R63" s="260"/>
    </row>
    <row r="64">
      <c r="Q64" s="259"/>
      <c r="R64" s="260"/>
    </row>
    <row r="65">
      <c r="Q65" s="259"/>
      <c r="R65" s="260"/>
    </row>
    <row r="66">
      <c r="Q66" s="259"/>
      <c r="R66" s="260"/>
    </row>
    <row r="67">
      <c r="Q67" s="259"/>
      <c r="R67" s="260"/>
    </row>
    <row r="68">
      <c r="Q68" s="259"/>
      <c r="R68" s="260"/>
    </row>
    <row r="69">
      <c r="Q69" s="259"/>
      <c r="R69" s="260"/>
    </row>
    <row r="70">
      <c r="Q70" s="259"/>
      <c r="R70" s="260"/>
    </row>
    <row r="71">
      <c r="Q71" s="259"/>
      <c r="R71" s="260"/>
    </row>
    <row r="72">
      <c r="Q72" s="259"/>
      <c r="R72" s="260"/>
    </row>
    <row r="73">
      <c r="Q73" s="259"/>
      <c r="R73" s="260"/>
    </row>
    <row r="74">
      <c r="Q74" s="259"/>
      <c r="R74" s="260"/>
    </row>
    <row r="75">
      <c r="Q75" s="259"/>
      <c r="R75" s="260"/>
    </row>
    <row r="76">
      <c r="Q76" s="259"/>
      <c r="R76" s="260"/>
    </row>
    <row r="77">
      <c r="Q77" s="259"/>
      <c r="R77" s="260"/>
    </row>
    <row r="78">
      <c r="Q78" s="259"/>
      <c r="R78" s="260"/>
    </row>
    <row r="79">
      <c r="Q79" s="259"/>
      <c r="R79" s="260"/>
    </row>
    <row r="80">
      <c r="Q80" s="259"/>
      <c r="R80" s="260"/>
    </row>
    <row r="81">
      <c r="Q81" s="259"/>
      <c r="R81" s="260"/>
    </row>
    <row r="82">
      <c r="Q82" s="259"/>
      <c r="R82" s="260"/>
    </row>
    <row r="83">
      <c r="Q83" s="259"/>
      <c r="R83" s="260"/>
    </row>
    <row r="84">
      <c r="Q84" s="259"/>
      <c r="R84" s="260"/>
    </row>
    <row r="85">
      <c r="Q85" s="259"/>
      <c r="R85" s="260"/>
    </row>
    <row r="86">
      <c r="Q86" s="259"/>
      <c r="R86" s="260"/>
    </row>
    <row r="87">
      <c r="Q87" s="259"/>
      <c r="R87" s="260"/>
    </row>
    <row r="88">
      <c r="Q88" s="259"/>
      <c r="R88" s="260"/>
    </row>
    <row r="89">
      <c r="Q89" s="259"/>
      <c r="R89" s="260"/>
    </row>
    <row r="90">
      <c r="Q90" s="259"/>
      <c r="R90" s="260"/>
    </row>
    <row r="91">
      <c r="Q91" s="259"/>
      <c r="R91" s="260"/>
    </row>
    <row r="92">
      <c r="Q92" s="259"/>
      <c r="R92" s="260"/>
    </row>
    <row r="93">
      <c r="Q93" s="259"/>
      <c r="R93" s="260"/>
    </row>
    <row r="94">
      <c r="Q94" s="259"/>
      <c r="R94" s="260"/>
    </row>
    <row r="95">
      <c r="Q95" s="259"/>
      <c r="R95" s="260"/>
    </row>
    <row r="96">
      <c r="Q96" s="259"/>
      <c r="R96" s="260"/>
    </row>
    <row r="97">
      <c r="Q97" s="259"/>
      <c r="R97" s="260"/>
    </row>
    <row r="98">
      <c r="Q98" s="259"/>
      <c r="R98" s="260"/>
    </row>
    <row r="99">
      <c r="Q99" s="259"/>
      <c r="R99" s="260"/>
    </row>
    <row r="100">
      <c r="Q100" s="259"/>
      <c r="R100" s="260"/>
    </row>
    <row r="101">
      <c r="Q101" s="259"/>
      <c r="R101" s="260"/>
    </row>
    <row r="102">
      <c r="Q102" s="259"/>
      <c r="R102" s="260"/>
    </row>
    <row r="103">
      <c r="Q103" s="259"/>
      <c r="R103" s="260"/>
    </row>
    <row r="104">
      <c r="Q104" s="259"/>
      <c r="R104" s="260"/>
    </row>
    <row r="105">
      <c r="Q105" s="259"/>
      <c r="R105" s="260"/>
    </row>
    <row r="106">
      <c r="Q106" s="259"/>
      <c r="R106" s="260"/>
    </row>
    <row r="107">
      <c r="Q107" s="259"/>
      <c r="R107" s="260"/>
    </row>
    <row r="108">
      <c r="Q108" s="259"/>
      <c r="R108" s="260"/>
    </row>
    <row r="109">
      <c r="Q109" s="259"/>
      <c r="R109" s="260"/>
    </row>
    <row r="110">
      <c r="Q110" s="259"/>
      <c r="R110" s="260"/>
    </row>
    <row r="111">
      <c r="Q111" s="259"/>
      <c r="R111" s="260"/>
    </row>
    <row r="112">
      <c r="Q112" s="259"/>
      <c r="R112" s="260"/>
    </row>
    <row r="113">
      <c r="Q113" s="259"/>
      <c r="R113" s="260"/>
    </row>
    <row r="114">
      <c r="Q114" s="259"/>
      <c r="R114" s="260"/>
    </row>
    <row r="115">
      <c r="Q115" s="259"/>
      <c r="R115" s="260"/>
    </row>
    <row r="116">
      <c r="Q116" s="259"/>
      <c r="R116" s="260"/>
    </row>
    <row r="117">
      <c r="Q117" s="259"/>
      <c r="R117" s="260"/>
    </row>
    <row r="118">
      <c r="Q118" s="259"/>
      <c r="R118" s="260"/>
    </row>
    <row r="119">
      <c r="Q119" s="259"/>
      <c r="R119" s="260"/>
    </row>
    <row r="120">
      <c r="Q120" s="259"/>
      <c r="R120" s="260"/>
    </row>
    <row r="121">
      <c r="Q121" s="259"/>
      <c r="R121" s="260"/>
    </row>
    <row r="122">
      <c r="Q122" s="259"/>
      <c r="R122" s="260"/>
    </row>
    <row r="123">
      <c r="Q123" s="259"/>
      <c r="R123" s="260"/>
    </row>
    <row r="124">
      <c r="Q124" s="259"/>
      <c r="R124" s="260"/>
    </row>
    <row r="125">
      <c r="Q125" s="259"/>
      <c r="R125" s="260"/>
    </row>
    <row r="126">
      <c r="Q126" s="259"/>
      <c r="R126" s="260"/>
    </row>
    <row r="127">
      <c r="Q127" s="259"/>
      <c r="R127" s="260"/>
    </row>
    <row r="128">
      <c r="Q128" s="259"/>
      <c r="R128" s="260"/>
    </row>
    <row r="129">
      <c r="Q129" s="259"/>
      <c r="R129" s="260"/>
    </row>
    <row r="130">
      <c r="Q130" s="259"/>
      <c r="R130" s="260"/>
    </row>
    <row r="131">
      <c r="Q131" s="259"/>
      <c r="R131" s="260"/>
    </row>
    <row r="132">
      <c r="Q132" s="259"/>
      <c r="R132" s="260"/>
    </row>
    <row r="133">
      <c r="Q133" s="259"/>
      <c r="R133" s="260"/>
    </row>
    <row r="134">
      <c r="Q134" s="259"/>
      <c r="R134" s="260"/>
    </row>
    <row r="135">
      <c r="Q135" s="259"/>
      <c r="R135" s="260"/>
    </row>
    <row r="136">
      <c r="Q136" s="259"/>
      <c r="R136" s="260"/>
    </row>
    <row r="137">
      <c r="Q137" s="259"/>
      <c r="R137" s="260"/>
    </row>
    <row r="138">
      <c r="Q138" s="259"/>
      <c r="R138" s="260"/>
    </row>
    <row r="139">
      <c r="Q139" s="259"/>
      <c r="R139" s="260"/>
    </row>
    <row r="140">
      <c r="Q140" s="259"/>
      <c r="R140" s="260"/>
    </row>
    <row r="141">
      <c r="Q141" s="259"/>
      <c r="R141" s="260"/>
    </row>
    <row r="142">
      <c r="Q142" s="259"/>
      <c r="R142" s="260"/>
    </row>
    <row r="143">
      <c r="Q143" s="259"/>
      <c r="R143" s="260"/>
    </row>
    <row r="144">
      <c r="Q144" s="259"/>
      <c r="R144" s="260"/>
    </row>
    <row r="145">
      <c r="Q145" s="259"/>
      <c r="R145" s="260"/>
    </row>
    <row r="146">
      <c r="Q146" s="259"/>
      <c r="R146" s="260"/>
    </row>
    <row r="147">
      <c r="Q147" s="259"/>
      <c r="R147" s="260"/>
    </row>
    <row r="148">
      <c r="Q148" s="259"/>
      <c r="R148" s="260"/>
    </row>
    <row r="149">
      <c r="Q149" s="259"/>
      <c r="R149" s="260"/>
    </row>
    <row r="150">
      <c r="Q150" s="259"/>
      <c r="R150" s="260"/>
    </row>
    <row r="151">
      <c r="Q151" s="259"/>
      <c r="R151" s="260"/>
    </row>
    <row r="152">
      <c r="Q152" s="259"/>
      <c r="R152" s="260"/>
    </row>
    <row r="153">
      <c r="Q153" s="259"/>
      <c r="R153" s="260"/>
    </row>
    <row r="154">
      <c r="Q154" s="259"/>
      <c r="R154" s="260"/>
    </row>
    <row r="155">
      <c r="Q155" s="259"/>
      <c r="R155" s="260"/>
    </row>
    <row r="156">
      <c r="Q156" s="259"/>
      <c r="R156" s="260"/>
    </row>
    <row r="157">
      <c r="Q157" s="259"/>
      <c r="R157" s="260"/>
    </row>
    <row r="158">
      <c r="Q158" s="259"/>
      <c r="R158" s="260"/>
    </row>
    <row r="159">
      <c r="Q159" s="259"/>
      <c r="R159" s="260"/>
    </row>
    <row r="160">
      <c r="Q160" s="259"/>
      <c r="R160" s="260"/>
    </row>
    <row r="161">
      <c r="Q161" s="259"/>
      <c r="R161" s="260"/>
    </row>
    <row r="162">
      <c r="Q162" s="259"/>
      <c r="R162" s="260"/>
    </row>
    <row r="163">
      <c r="Q163" s="259"/>
      <c r="R163" s="260"/>
    </row>
    <row r="164">
      <c r="Q164" s="259"/>
      <c r="R164" s="260"/>
    </row>
    <row r="165">
      <c r="Q165" s="259"/>
      <c r="R165" s="260"/>
    </row>
    <row r="166">
      <c r="Q166" s="259"/>
      <c r="R166" s="260"/>
    </row>
    <row r="167">
      <c r="Q167" s="259"/>
      <c r="R167" s="260"/>
    </row>
    <row r="168">
      <c r="Q168" s="259"/>
      <c r="R168" s="260"/>
    </row>
    <row r="169">
      <c r="Q169" s="259"/>
      <c r="R169" s="260"/>
    </row>
    <row r="170">
      <c r="Q170" s="259"/>
      <c r="R170" s="260"/>
    </row>
    <row r="171">
      <c r="Q171" s="259"/>
      <c r="R171" s="260"/>
    </row>
    <row r="172">
      <c r="Q172" s="259"/>
      <c r="R172" s="260"/>
    </row>
    <row r="173">
      <c r="Q173" s="259"/>
      <c r="R173" s="260"/>
    </row>
    <row r="174">
      <c r="Q174" s="259"/>
      <c r="R174" s="260"/>
    </row>
    <row r="175">
      <c r="Q175" s="259"/>
      <c r="R175" s="260"/>
    </row>
    <row r="176">
      <c r="Q176" s="259"/>
      <c r="R176" s="260"/>
    </row>
    <row r="177">
      <c r="Q177" s="259"/>
      <c r="R177" s="260"/>
    </row>
    <row r="178">
      <c r="Q178" s="259"/>
      <c r="R178" s="260"/>
    </row>
    <row r="179">
      <c r="Q179" s="259"/>
      <c r="R179" s="260"/>
    </row>
    <row r="180">
      <c r="Q180" s="259"/>
      <c r="R180" s="260"/>
    </row>
    <row r="181">
      <c r="Q181" s="259"/>
      <c r="R181" s="260"/>
    </row>
    <row r="182">
      <c r="Q182" s="259"/>
      <c r="R182" s="260"/>
    </row>
    <row r="183">
      <c r="Q183" s="259"/>
      <c r="R183" s="260"/>
    </row>
    <row r="184">
      <c r="Q184" s="259"/>
      <c r="R184" s="260"/>
    </row>
    <row r="185">
      <c r="Q185" s="259"/>
      <c r="R185" s="260"/>
    </row>
    <row r="186">
      <c r="Q186" s="259"/>
      <c r="R186" s="260"/>
    </row>
    <row r="187">
      <c r="Q187" s="259"/>
      <c r="R187" s="260"/>
    </row>
    <row r="188">
      <c r="Q188" s="259"/>
      <c r="R188" s="260"/>
    </row>
    <row r="189">
      <c r="Q189" s="259"/>
      <c r="R189" s="260"/>
    </row>
    <row r="190">
      <c r="Q190" s="259"/>
      <c r="R190" s="260"/>
    </row>
    <row r="191">
      <c r="Q191" s="259"/>
      <c r="R191" s="260"/>
    </row>
    <row r="192">
      <c r="Q192" s="259"/>
      <c r="R192" s="260"/>
    </row>
    <row r="193">
      <c r="Q193" s="259"/>
      <c r="R193" s="260"/>
    </row>
    <row r="194">
      <c r="Q194" s="259"/>
      <c r="R194" s="260"/>
    </row>
    <row r="195">
      <c r="Q195" s="259"/>
      <c r="R195" s="260"/>
    </row>
    <row r="196">
      <c r="Q196" s="259"/>
      <c r="R196" s="260"/>
    </row>
    <row r="197">
      <c r="Q197" s="259"/>
      <c r="R197" s="260"/>
    </row>
    <row r="198">
      <c r="Q198" s="259"/>
      <c r="R198" s="260"/>
    </row>
    <row r="199">
      <c r="Q199" s="259"/>
      <c r="R199" s="260"/>
    </row>
    <row r="200">
      <c r="Q200" s="259"/>
      <c r="R200" s="260"/>
    </row>
    <row r="201">
      <c r="Q201" s="259"/>
      <c r="R201" s="260"/>
    </row>
    <row r="202">
      <c r="Q202" s="259"/>
      <c r="R202" s="260"/>
    </row>
    <row r="203">
      <c r="Q203" s="259"/>
      <c r="R203" s="260"/>
    </row>
    <row r="204">
      <c r="Q204" s="259"/>
      <c r="R204" s="260"/>
    </row>
    <row r="205">
      <c r="Q205" s="259"/>
      <c r="R205" s="260"/>
    </row>
    <row r="206">
      <c r="Q206" s="259"/>
      <c r="R206" s="260"/>
    </row>
    <row r="207">
      <c r="Q207" s="259"/>
      <c r="R207" s="260"/>
    </row>
    <row r="208">
      <c r="Q208" s="259"/>
      <c r="R208" s="260"/>
    </row>
    <row r="209">
      <c r="Q209" s="259"/>
      <c r="R209" s="260"/>
    </row>
    <row r="210">
      <c r="Q210" s="259"/>
      <c r="R210" s="260"/>
    </row>
    <row r="211">
      <c r="Q211" s="259"/>
      <c r="R211" s="260"/>
    </row>
    <row r="212">
      <c r="Q212" s="259"/>
      <c r="R212" s="260"/>
    </row>
    <row r="213">
      <c r="Q213" s="259"/>
      <c r="R213" s="260"/>
    </row>
    <row r="214">
      <c r="Q214" s="259"/>
      <c r="R214" s="260"/>
    </row>
    <row r="215">
      <c r="Q215" s="259"/>
      <c r="R215" s="260"/>
    </row>
    <row r="216">
      <c r="Q216" s="259"/>
      <c r="R216" s="260"/>
    </row>
    <row r="217">
      <c r="Q217" s="259"/>
      <c r="R217" s="260"/>
    </row>
    <row r="218">
      <c r="Q218" s="259"/>
      <c r="R218" s="260"/>
    </row>
    <row r="219">
      <c r="Q219" s="259"/>
      <c r="R219" s="260"/>
    </row>
    <row r="220">
      <c r="Q220" s="259"/>
      <c r="R220" s="260"/>
    </row>
    <row r="221">
      <c r="Q221" s="259"/>
      <c r="R221" s="260"/>
    </row>
    <row r="222">
      <c r="Q222" s="259"/>
      <c r="R222" s="260"/>
    </row>
    <row r="223">
      <c r="Q223" s="259"/>
      <c r="R223" s="260"/>
    </row>
    <row r="224">
      <c r="Q224" s="259"/>
      <c r="R224" s="260"/>
    </row>
    <row r="225">
      <c r="Q225" s="259"/>
      <c r="R225" s="260"/>
    </row>
    <row r="226">
      <c r="Q226" s="259"/>
      <c r="R226" s="260"/>
    </row>
    <row r="227">
      <c r="Q227" s="259"/>
      <c r="R227" s="260"/>
    </row>
    <row r="228">
      <c r="Q228" s="259"/>
      <c r="R228" s="260"/>
    </row>
    <row r="229">
      <c r="Q229" s="259"/>
      <c r="R229" s="260"/>
    </row>
    <row r="230">
      <c r="Q230" s="259"/>
      <c r="R230" s="260"/>
    </row>
    <row r="231">
      <c r="Q231" s="259"/>
      <c r="R231" s="260"/>
    </row>
    <row r="232">
      <c r="Q232" s="259"/>
      <c r="R232" s="260"/>
    </row>
    <row r="233">
      <c r="Q233" s="259"/>
      <c r="R233" s="260"/>
    </row>
    <row r="234">
      <c r="Q234" s="259"/>
      <c r="R234" s="260"/>
    </row>
    <row r="235">
      <c r="Q235" s="259"/>
      <c r="R235" s="260"/>
    </row>
    <row r="236">
      <c r="Q236" s="259"/>
      <c r="R236" s="260"/>
    </row>
    <row r="237">
      <c r="Q237" s="259"/>
      <c r="R237" s="260"/>
    </row>
    <row r="238">
      <c r="Q238" s="259"/>
      <c r="R238" s="260"/>
    </row>
    <row r="239">
      <c r="Q239" s="259"/>
      <c r="R239" s="260"/>
    </row>
    <row r="240">
      <c r="Q240" s="259"/>
      <c r="R240" s="260"/>
    </row>
    <row r="241">
      <c r="Q241" s="259"/>
      <c r="R241" s="260"/>
    </row>
    <row r="242">
      <c r="Q242" s="259"/>
      <c r="R242" s="260"/>
    </row>
    <row r="243">
      <c r="Q243" s="259"/>
      <c r="R243" s="260"/>
    </row>
    <row r="244">
      <c r="Q244" s="259"/>
      <c r="R244" s="260"/>
    </row>
    <row r="245">
      <c r="Q245" s="259"/>
      <c r="R245" s="260"/>
    </row>
    <row r="246">
      <c r="Q246" s="259"/>
      <c r="R246" s="260"/>
    </row>
    <row r="247">
      <c r="Q247" s="259"/>
      <c r="R247" s="260"/>
    </row>
    <row r="248">
      <c r="Q248" s="259"/>
      <c r="R248" s="260"/>
    </row>
    <row r="249">
      <c r="Q249" s="259"/>
      <c r="R249" s="260"/>
    </row>
    <row r="250">
      <c r="Q250" s="259"/>
      <c r="R250" s="260"/>
    </row>
    <row r="251">
      <c r="Q251" s="259"/>
      <c r="R251" s="260"/>
    </row>
    <row r="252">
      <c r="Q252" s="259"/>
      <c r="R252" s="260"/>
    </row>
    <row r="253">
      <c r="Q253" s="259"/>
      <c r="R253" s="260"/>
    </row>
    <row r="254">
      <c r="Q254" s="259"/>
      <c r="R254" s="260"/>
    </row>
    <row r="255">
      <c r="Q255" s="259"/>
      <c r="R255" s="260"/>
    </row>
    <row r="256">
      <c r="Q256" s="259"/>
      <c r="R256" s="260"/>
    </row>
    <row r="257">
      <c r="Q257" s="259"/>
      <c r="R257" s="260"/>
    </row>
    <row r="258">
      <c r="Q258" s="259"/>
      <c r="R258" s="260"/>
    </row>
    <row r="259">
      <c r="Q259" s="259"/>
      <c r="R259" s="260"/>
    </row>
    <row r="260">
      <c r="Q260" s="259"/>
      <c r="R260" s="260"/>
    </row>
    <row r="261">
      <c r="Q261" s="259"/>
      <c r="R261" s="260"/>
    </row>
    <row r="262">
      <c r="Q262" s="259"/>
      <c r="R262" s="260"/>
    </row>
    <row r="263">
      <c r="Q263" s="259"/>
      <c r="R263" s="260"/>
    </row>
    <row r="264">
      <c r="Q264" s="259"/>
      <c r="R264" s="260"/>
    </row>
    <row r="265">
      <c r="Q265" s="259"/>
      <c r="R265" s="260"/>
    </row>
    <row r="266">
      <c r="Q266" s="259"/>
      <c r="R266" s="260"/>
    </row>
    <row r="267">
      <c r="Q267" s="259"/>
      <c r="R267" s="260"/>
    </row>
    <row r="268">
      <c r="Q268" s="259"/>
      <c r="R268" s="260"/>
    </row>
    <row r="269">
      <c r="Q269" s="259"/>
      <c r="R269" s="260"/>
    </row>
    <row r="270">
      <c r="Q270" s="259"/>
      <c r="R270" s="260"/>
    </row>
    <row r="271">
      <c r="Q271" s="259"/>
      <c r="R271" s="260"/>
    </row>
    <row r="272">
      <c r="Q272" s="259"/>
      <c r="R272" s="260"/>
    </row>
    <row r="273">
      <c r="Q273" s="259"/>
      <c r="R273" s="260"/>
    </row>
    <row r="274">
      <c r="Q274" s="259"/>
      <c r="R274" s="260"/>
    </row>
    <row r="275">
      <c r="Q275" s="259"/>
      <c r="R275" s="260"/>
    </row>
    <row r="276">
      <c r="Q276" s="259"/>
      <c r="R276" s="260"/>
    </row>
    <row r="277">
      <c r="Q277" s="259"/>
      <c r="R277" s="260"/>
    </row>
    <row r="278">
      <c r="Q278" s="259"/>
      <c r="R278" s="260"/>
    </row>
    <row r="279">
      <c r="Q279" s="259"/>
      <c r="R279" s="260"/>
    </row>
    <row r="280">
      <c r="Q280" s="259"/>
      <c r="R280" s="260"/>
    </row>
    <row r="281">
      <c r="Q281" s="259"/>
      <c r="R281" s="260"/>
    </row>
    <row r="282">
      <c r="Q282" s="259"/>
      <c r="R282" s="260"/>
    </row>
    <row r="283">
      <c r="Q283" s="259"/>
      <c r="R283" s="260"/>
    </row>
    <row r="284">
      <c r="Q284" s="259"/>
      <c r="R284" s="260"/>
    </row>
    <row r="285">
      <c r="Q285" s="259"/>
      <c r="R285" s="260"/>
    </row>
    <row r="286">
      <c r="Q286" s="259"/>
      <c r="R286" s="260"/>
    </row>
    <row r="287">
      <c r="Q287" s="259"/>
      <c r="R287" s="260"/>
    </row>
    <row r="288">
      <c r="Q288" s="259"/>
      <c r="R288" s="260"/>
    </row>
    <row r="289">
      <c r="Q289" s="259"/>
      <c r="R289" s="260"/>
    </row>
    <row r="290">
      <c r="Q290" s="259"/>
      <c r="R290" s="260"/>
    </row>
    <row r="291">
      <c r="Q291" s="259"/>
      <c r="R291" s="260"/>
    </row>
    <row r="292">
      <c r="Q292" s="259"/>
      <c r="R292" s="260"/>
    </row>
    <row r="293">
      <c r="Q293" s="259"/>
      <c r="R293" s="260"/>
    </row>
    <row r="294">
      <c r="Q294" s="259"/>
      <c r="R294" s="260"/>
    </row>
    <row r="295">
      <c r="Q295" s="259"/>
      <c r="R295" s="260"/>
    </row>
    <row r="296">
      <c r="Q296" s="259"/>
      <c r="R296" s="260"/>
    </row>
    <row r="297">
      <c r="Q297" s="259"/>
      <c r="R297" s="260"/>
    </row>
    <row r="298">
      <c r="Q298" s="259"/>
      <c r="R298" s="260"/>
    </row>
    <row r="299">
      <c r="Q299" s="259"/>
      <c r="R299" s="260"/>
    </row>
    <row r="300">
      <c r="Q300" s="259"/>
      <c r="R300" s="260"/>
    </row>
    <row r="301">
      <c r="Q301" s="259"/>
      <c r="R301" s="260"/>
    </row>
    <row r="302">
      <c r="Q302" s="259"/>
      <c r="R302" s="260"/>
    </row>
    <row r="303">
      <c r="Q303" s="259"/>
      <c r="R303" s="260"/>
    </row>
    <row r="304">
      <c r="Q304" s="259"/>
      <c r="R304" s="260"/>
    </row>
    <row r="305">
      <c r="Q305" s="259"/>
      <c r="R305" s="260"/>
    </row>
    <row r="306">
      <c r="Q306" s="259"/>
      <c r="R306" s="260"/>
    </row>
    <row r="307">
      <c r="Q307" s="259"/>
      <c r="R307" s="260"/>
    </row>
    <row r="308">
      <c r="Q308" s="259"/>
      <c r="R308" s="260"/>
    </row>
    <row r="309">
      <c r="Q309" s="259"/>
      <c r="R309" s="260"/>
    </row>
    <row r="310">
      <c r="Q310" s="259"/>
      <c r="R310" s="260"/>
    </row>
    <row r="311">
      <c r="Q311" s="259"/>
      <c r="R311" s="260"/>
    </row>
    <row r="312">
      <c r="Q312" s="259"/>
      <c r="R312" s="260"/>
    </row>
    <row r="313">
      <c r="Q313" s="259"/>
      <c r="R313" s="260"/>
    </row>
    <row r="314">
      <c r="Q314" s="259"/>
      <c r="R314" s="260"/>
    </row>
    <row r="315">
      <c r="Q315" s="259"/>
      <c r="R315" s="260"/>
    </row>
    <row r="316">
      <c r="Q316" s="259"/>
      <c r="R316" s="260"/>
    </row>
    <row r="317">
      <c r="Q317" s="259"/>
      <c r="R317" s="260"/>
    </row>
    <row r="318">
      <c r="Q318" s="259"/>
      <c r="R318" s="260"/>
    </row>
    <row r="319">
      <c r="Q319" s="259"/>
      <c r="R319" s="260"/>
    </row>
    <row r="320">
      <c r="Q320" s="259"/>
      <c r="R320" s="260"/>
    </row>
    <row r="321">
      <c r="Q321" s="259"/>
      <c r="R321" s="260"/>
    </row>
    <row r="322">
      <c r="Q322" s="259"/>
      <c r="R322" s="260"/>
    </row>
    <row r="323">
      <c r="Q323" s="259"/>
      <c r="R323" s="260"/>
    </row>
    <row r="324">
      <c r="Q324" s="259"/>
      <c r="R324" s="260"/>
    </row>
    <row r="325">
      <c r="Q325" s="259"/>
      <c r="R325" s="260"/>
    </row>
    <row r="326">
      <c r="Q326" s="259"/>
      <c r="R326" s="260"/>
    </row>
    <row r="327">
      <c r="Q327" s="259"/>
      <c r="R327" s="260"/>
    </row>
    <row r="328">
      <c r="Q328" s="259"/>
      <c r="R328" s="260"/>
    </row>
    <row r="329">
      <c r="Q329" s="259"/>
      <c r="R329" s="260"/>
    </row>
    <row r="330">
      <c r="Q330" s="259"/>
      <c r="R330" s="260"/>
    </row>
    <row r="331">
      <c r="Q331" s="259"/>
      <c r="R331" s="260"/>
    </row>
    <row r="332">
      <c r="Q332" s="259"/>
      <c r="R332" s="260"/>
    </row>
    <row r="333">
      <c r="Q333" s="259"/>
      <c r="R333" s="260"/>
    </row>
    <row r="334">
      <c r="Q334" s="259"/>
      <c r="R334" s="260"/>
    </row>
    <row r="335">
      <c r="Q335" s="259"/>
      <c r="R335" s="260"/>
    </row>
    <row r="336">
      <c r="Q336" s="259"/>
      <c r="R336" s="260"/>
    </row>
    <row r="337">
      <c r="Q337" s="259"/>
      <c r="R337" s="260"/>
    </row>
    <row r="338">
      <c r="Q338" s="259"/>
      <c r="R338" s="260"/>
    </row>
    <row r="339">
      <c r="Q339" s="259"/>
      <c r="R339" s="260"/>
    </row>
    <row r="340">
      <c r="Q340" s="259"/>
      <c r="R340" s="260"/>
    </row>
    <row r="341">
      <c r="Q341" s="259"/>
      <c r="R341" s="260"/>
    </row>
    <row r="342">
      <c r="Q342" s="259"/>
      <c r="R342" s="260"/>
    </row>
    <row r="343">
      <c r="Q343" s="259"/>
      <c r="R343" s="260"/>
    </row>
    <row r="344">
      <c r="Q344" s="259"/>
      <c r="R344" s="260"/>
    </row>
    <row r="345">
      <c r="Q345" s="259"/>
      <c r="R345" s="260"/>
    </row>
    <row r="346">
      <c r="Q346" s="259"/>
      <c r="R346" s="260"/>
    </row>
    <row r="347">
      <c r="Q347" s="259"/>
      <c r="R347" s="260"/>
    </row>
    <row r="348">
      <c r="Q348" s="259"/>
      <c r="R348" s="260"/>
    </row>
    <row r="349">
      <c r="Q349" s="259"/>
      <c r="R349" s="260"/>
    </row>
    <row r="350">
      <c r="Q350" s="259"/>
      <c r="R350" s="260"/>
    </row>
    <row r="351">
      <c r="Q351" s="259"/>
      <c r="R351" s="260"/>
    </row>
    <row r="352">
      <c r="Q352" s="259"/>
      <c r="R352" s="260"/>
    </row>
    <row r="353">
      <c r="Q353" s="259"/>
      <c r="R353" s="260"/>
    </row>
    <row r="354">
      <c r="Q354" s="259"/>
      <c r="R354" s="260"/>
    </row>
    <row r="355">
      <c r="Q355" s="259"/>
      <c r="R355" s="260"/>
    </row>
    <row r="356">
      <c r="Q356" s="259"/>
      <c r="R356" s="260"/>
    </row>
    <row r="357">
      <c r="Q357" s="259"/>
      <c r="R357" s="260"/>
    </row>
    <row r="358">
      <c r="Q358" s="259"/>
      <c r="R358" s="260"/>
    </row>
    <row r="359">
      <c r="Q359" s="259"/>
      <c r="R359" s="260"/>
    </row>
    <row r="360">
      <c r="Q360" s="259"/>
      <c r="R360" s="260"/>
    </row>
    <row r="361">
      <c r="Q361" s="259"/>
      <c r="R361" s="260"/>
    </row>
    <row r="362">
      <c r="Q362" s="259"/>
      <c r="R362" s="260"/>
    </row>
    <row r="363">
      <c r="Q363" s="259"/>
      <c r="R363" s="260"/>
    </row>
    <row r="364">
      <c r="Q364" s="259"/>
      <c r="R364" s="260"/>
    </row>
    <row r="365">
      <c r="Q365" s="259"/>
      <c r="R365" s="260"/>
    </row>
    <row r="366">
      <c r="Q366" s="259"/>
      <c r="R366" s="260"/>
    </row>
    <row r="367">
      <c r="Q367" s="259"/>
      <c r="R367" s="260"/>
    </row>
    <row r="368">
      <c r="Q368" s="259"/>
      <c r="R368" s="260"/>
    </row>
    <row r="369">
      <c r="Q369" s="259"/>
      <c r="R369" s="260"/>
    </row>
    <row r="370">
      <c r="Q370" s="259"/>
      <c r="R370" s="260"/>
    </row>
    <row r="371">
      <c r="Q371" s="259"/>
      <c r="R371" s="260"/>
    </row>
    <row r="372">
      <c r="Q372" s="259"/>
      <c r="R372" s="260"/>
    </row>
    <row r="373">
      <c r="Q373" s="259"/>
      <c r="R373" s="260"/>
    </row>
    <row r="374">
      <c r="Q374" s="259"/>
      <c r="R374" s="260"/>
    </row>
    <row r="375">
      <c r="Q375" s="259"/>
      <c r="R375" s="260"/>
    </row>
    <row r="376">
      <c r="Q376" s="259"/>
      <c r="R376" s="260"/>
    </row>
    <row r="377">
      <c r="Q377" s="259"/>
      <c r="R377" s="260"/>
    </row>
    <row r="378">
      <c r="Q378" s="259"/>
      <c r="R378" s="260"/>
    </row>
    <row r="379">
      <c r="Q379" s="259"/>
      <c r="R379" s="260"/>
    </row>
    <row r="380">
      <c r="Q380" s="259"/>
      <c r="R380" s="260"/>
    </row>
    <row r="381">
      <c r="Q381" s="259"/>
      <c r="R381" s="260"/>
    </row>
    <row r="382">
      <c r="Q382" s="259"/>
      <c r="R382" s="260"/>
    </row>
    <row r="383">
      <c r="Q383" s="259"/>
      <c r="R383" s="260"/>
    </row>
    <row r="384">
      <c r="Q384" s="259"/>
      <c r="R384" s="260"/>
    </row>
    <row r="385">
      <c r="Q385" s="259"/>
      <c r="R385" s="260"/>
    </row>
    <row r="386">
      <c r="Q386" s="259"/>
      <c r="R386" s="260"/>
    </row>
    <row r="387">
      <c r="Q387" s="259"/>
      <c r="R387" s="260"/>
    </row>
    <row r="388">
      <c r="Q388" s="259"/>
      <c r="R388" s="260"/>
    </row>
    <row r="389">
      <c r="Q389" s="259"/>
      <c r="R389" s="260"/>
    </row>
    <row r="390">
      <c r="Q390" s="259"/>
      <c r="R390" s="260"/>
    </row>
    <row r="391">
      <c r="Q391" s="259"/>
      <c r="R391" s="260"/>
    </row>
    <row r="392">
      <c r="Q392" s="259"/>
      <c r="R392" s="260"/>
    </row>
    <row r="393">
      <c r="Q393" s="259"/>
      <c r="R393" s="260"/>
    </row>
    <row r="394">
      <c r="Q394" s="259"/>
      <c r="R394" s="260"/>
    </row>
    <row r="395">
      <c r="Q395" s="259"/>
      <c r="R395" s="260"/>
    </row>
    <row r="396">
      <c r="Q396" s="259"/>
      <c r="R396" s="260"/>
    </row>
    <row r="397">
      <c r="Q397" s="259"/>
      <c r="R397" s="260"/>
    </row>
    <row r="398">
      <c r="Q398" s="259"/>
      <c r="R398" s="260"/>
    </row>
    <row r="399">
      <c r="Q399" s="259"/>
      <c r="R399" s="260"/>
    </row>
    <row r="400">
      <c r="Q400" s="259"/>
      <c r="R400" s="260"/>
    </row>
    <row r="401">
      <c r="Q401" s="259"/>
      <c r="R401" s="260"/>
    </row>
    <row r="402">
      <c r="Q402" s="259"/>
      <c r="R402" s="260"/>
    </row>
    <row r="403">
      <c r="Q403" s="259"/>
      <c r="R403" s="260"/>
    </row>
    <row r="404">
      <c r="Q404" s="259"/>
      <c r="R404" s="260"/>
    </row>
    <row r="405">
      <c r="Q405" s="259"/>
      <c r="R405" s="260"/>
    </row>
    <row r="406">
      <c r="Q406" s="259"/>
      <c r="R406" s="260"/>
    </row>
    <row r="407">
      <c r="Q407" s="259"/>
      <c r="R407" s="260"/>
    </row>
    <row r="408">
      <c r="Q408" s="259"/>
      <c r="R408" s="260"/>
    </row>
    <row r="409">
      <c r="Q409" s="259"/>
      <c r="R409" s="260"/>
    </row>
    <row r="410">
      <c r="Q410" s="259"/>
      <c r="R410" s="260"/>
    </row>
    <row r="411">
      <c r="Q411" s="259"/>
      <c r="R411" s="260"/>
    </row>
    <row r="412">
      <c r="Q412" s="259"/>
      <c r="R412" s="260"/>
    </row>
    <row r="413">
      <c r="Q413" s="259"/>
      <c r="R413" s="260"/>
    </row>
    <row r="414">
      <c r="Q414" s="259"/>
      <c r="R414" s="260"/>
    </row>
    <row r="415">
      <c r="Q415" s="259"/>
      <c r="R415" s="260"/>
    </row>
    <row r="416">
      <c r="Q416" s="259"/>
      <c r="R416" s="260"/>
    </row>
    <row r="417">
      <c r="Q417" s="259"/>
      <c r="R417" s="260"/>
    </row>
    <row r="418">
      <c r="Q418" s="259"/>
      <c r="R418" s="260"/>
    </row>
    <row r="419">
      <c r="Q419" s="259"/>
      <c r="R419" s="260"/>
    </row>
    <row r="420">
      <c r="Q420" s="259"/>
      <c r="R420" s="260"/>
    </row>
    <row r="421">
      <c r="Q421" s="259"/>
      <c r="R421" s="260"/>
    </row>
    <row r="422">
      <c r="Q422" s="259"/>
      <c r="R422" s="260"/>
    </row>
    <row r="423">
      <c r="Q423" s="259"/>
      <c r="R423" s="260"/>
    </row>
    <row r="424">
      <c r="Q424" s="259"/>
      <c r="R424" s="260"/>
    </row>
    <row r="425">
      <c r="Q425" s="259"/>
      <c r="R425" s="260"/>
    </row>
    <row r="426">
      <c r="Q426" s="259"/>
      <c r="R426" s="260"/>
    </row>
    <row r="427">
      <c r="Q427" s="259"/>
      <c r="R427" s="260"/>
    </row>
    <row r="428">
      <c r="Q428" s="259"/>
      <c r="R428" s="260"/>
    </row>
    <row r="429">
      <c r="Q429" s="259"/>
      <c r="R429" s="260"/>
    </row>
    <row r="430">
      <c r="Q430" s="259"/>
      <c r="R430" s="260"/>
    </row>
    <row r="431">
      <c r="Q431" s="259"/>
      <c r="R431" s="260"/>
    </row>
    <row r="432">
      <c r="Q432" s="259"/>
      <c r="R432" s="260"/>
    </row>
    <row r="433">
      <c r="Q433" s="259"/>
      <c r="R433" s="260"/>
    </row>
    <row r="434">
      <c r="Q434" s="259"/>
      <c r="R434" s="260"/>
    </row>
    <row r="435">
      <c r="Q435" s="259"/>
      <c r="R435" s="260"/>
    </row>
    <row r="436">
      <c r="Q436" s="259"/>
      <c r="R436" s="260"/>
    </row>
    <row r="437">
      <c r="Q437" s="259"/>
      <c r="R437" s="260"/>
    </row>
    <row r="438">
      <c r="Q438" s="259"/>
      <c r="R438" s="260"/>
    </row>
    <row r="439">
      <c r="Q439" s="259"/>
      <c r="R439" s="260"/>
    </row>
    <row r="440">
      <c r="Q440" s="259"/>
      <c r="R440" s="260"/>
    </row>
    <row r="441">
      <c r="Q441" s="259"/>
      <c r="R441" s="260"/>
    </row>
    <row r="442">
      <c r="Q442" s="259"/>
      <c r="R442" s="260"/>
    </row>
    <row r="443">
      <c r="Q443" s="259"/>
      <c r="R443" s="260"/>
    </row>
    <row r="444">
      <c r="Q444" s="259"/>
      <c r="R444" s="260"/>
    </row>
    <row r="445">
      <c r="Q445" s="259"/>
      <c r="R445" s="260"/>
    </row>
    <row r="446">
      <c r="Q446" s="259"/>
      <c r="R446" s="260"/>
    </row>
    <row r="447">
      <c r="Q447" s="259"/>
      <c r="R447" s="260"/>
    </row>
    <row r="448">
      <c r="Q448" s="259"/>
      <c r="R448" s="260"/>
    </row>
    <row r="449">
      <c r="Q449" s="259"/>
      <c r="R449" s="260"/>
    </row>
    <row r="450">
      <c r="Q450" s="259"/>
      <c r="R450" s="260"/>
    </row>
    <row r="451">
      <c r="Q451" s="259"/>
      <c r="R451" s="260"/>
    </row>
    <row r="452">
      <c r="Q452" s="259"/>
      <c r="R452" s="260"/>
    </row>
    <row r="453">
      <c r="Q453" s="259"/>
      <c r="R453" s="260"/>
    </row>
    <row r="454">
      <c r="Q454" s="259"/>
      <c r="R454" s="260"/>
    </row>
    <row r="455">
      <c r="Q455" s="259"/>
      <c r="R455" s="260"/>
    </row>
    <row r="456">
      <c r="Q456" s="259"/>
      <c r="R456" s="260"/>
    </row>
    <row r="457">
      <c r="Q457" s="259"/>
      <c r="R457" s="260"/>
    </row>
    <row r="458">
      <c r="Q458" s="259"/>
      <c r="R458" s="260"/>
    </row>
    <row r="459">
      <c r="Q459" s="259"/>
      <c r="R459" s="260"/>
    </row>
    <row r="460">
      <c r="Q460" s="259"/>
      <c r="R460" s="260"/>
    </row>
    <row r="461">
      <c r="Q461" s="259"/>
      <c r="R461" s="260"/>
    </row>
    <row r="462">
      <c r="Q462" s="259"/>
      <c r="R462" s="260"/>
    </row>
    <row r="463">
      <c r="Q463" s="259"/>
      <c r="R463" s="260"/>
    </row>
    <row r="464">
      <c r="Q464" s="259"/>
      <c r="R464" s="260"/>
    </row>
    <row r="465">
      <c r="Q465" s="259"/>
      <c r="R465" s="260"/>
    </row>
    <row r="466">
      <c r="Q466" s="259"/>
      <c r="R466" s="260"/>
    </row>
    <row r="467">
      <c r="Q467" s="259"/>
      <c r="R467" s="260"/>
    </row>
    <row r="468">
      <c r="Q468" s="259"/>
      <c r="R468" s="260"/>
    </row>
    <row r="469">
      <c r="Q469" s="259"/>
      <c r="R469" s="260"/>
    </row>
    <row r="470">
      <c r="Q470" s="259"/>
      <c r="R470" s="260"/>
    </row>
    <row r="471">
      <c r="Q471" s="259"/>
      <c r="R471" s="260"/>
    </row>
    <row r="472">
      <c r="Q472" s="259"/>
      <c r="R472" s="260"/>
    </row>
    <row r="473">
      <c r="Q473" s="259"/>
      <c r="R473" s="260"/>
    </row>
    <row r="474">
      <c r="Q474" s="259"/>
      <c r="R474" s="260"/>
    </row>
    <row r="475">
      <c r="Q475" s="259"/>
      <c r="R475" s="260"/>
    </row>
    <row r="476">
      <c r="Q476" s="259"/>
      <c r="R476" s="260"/>
    </row>
    <row r="477">
      <c r="Q477" s="259"/>
      <c r="R477" s="260"/>
    </row>
    <row r="478">
      <c r="Q478" s="259"/>
      <c r="R478" s="260"/>
    </row>
    <row r="479">
      <c r="Q479" s="259"/>
      <c r="R479" s="260"/>
    </row>
    <row r="480">
      <c r="Q480" s="259"/>
      <c r="R480" s="260"/>
    </row>
    <row r="481">
      <c r="Q481" s="259"/>
      <c r="R481" s="260"/>
    </row>
    <row r="482">
      <c r="Q482" s="259"/>
      <c r="R482" s="260"/>
    </row>
    <row r="483">
      <c r="Q483" s="259"/>
      <c r="R483" s="260"/>
    </row>
    <row r="484">
      <c r="Q484" s="259"/>
      <c r="R484" s="260"/>
    </row>
    <row r="485">
      <c r="Q485" s="259"/>
      <c r="R485" s="260"/>
    </row>
    <row r="486">
      <c r="Q486" s="259"/>
      <c r="R486" s="260"/>
    </row>
    <row r="487">
      <c r="Q487" s="259"/>
      <c r="R487" s="260"/>
    </row>
    <row r="488">
      <c r="Q488" s="259"/>
      <c r="R488" s="260"/>
    </row>
    <row r="489">
      <c r="Q489" s="259"/>
      <c r="R489" s="260"/>
    </row>
    <row r="490">
      <c r="Q490" s="259"/>
      <c r="R490" s="260"/>
    </row>
    <row r="491">
      <c r="Q491" s="259"/>
      <c r="R491" s="260"/>
    </row>
    <row r="492">
      <c r="Q492" s="259"/>
      <c r="R492" s="260"/>
    </row>
    <row r="493">
      <c r="Q493" s="259"/>
      <c r="R493" s="260"/>
    </row>
    <row r="494">
      <c r="Q494" s="259"/>
      <c r="R494" s="260"/>
    </row>
    <row r="495">
      <c r="Q495" s="259"/>
      <c r="R495" s="260"/>
    </row>
    <row r="496">
      <c r="Q496" s="259"/>
      <c r="R496" s="260"/>
    </row>
    <row r="497">
      <c r="Q497" s="259"/>
      <c r="R497" s="260"/>
    </row>
    <row r="498">
      <c r="Q498" s="259"/>
      <c r="R498" s="260"/>
    </row>
    <row r="499">
      <c r="Q499" s="259"/>
      <c r="R499" s="260"/>
    </row>
    <row r="500">
      <c r="Q500" s="259"/>
      <c r="R500" s="260"/>
    </row>
    <row r="501">
      <c r="Q501" s="259"/>
      <c r="R501" s="260"/>
    </row>
    <row r="502">
      <c r="Q502" s="259"/>
      <c r="R502" s="260"/>
    </row>
    <row r="503">
      <c r="Q503" s="259"/>
      <c r="R503" s="260"/>
    </row>
    <row r="504">
      <c r="Q504" s="259"/>
      <c r="R504" s="260"/>
    </row>
    <row r="505">
      <c r="Q505" s="259"/>
      <c r="R505" s="260"/>
    </row>
    <row r="506">
      <c r="Q506" s="259"/>
      <c r="R506" s="260"/>
    </row>
    <row r="507">
      <c r="Q507" s="259"/>
      <c r="R507" s="260"/>
    </row>
    <row r="508">
      <c r="Q508" s="259"/>
      <c r="R508" s="260"/>
    </row>
    <row r="509">
      <c r="Q509" s="259"/>
      <c r="R509" s="260"/>
    </row>
    <row r="510">
      <c r="Q510" s="259"/>
      <c r="R510" s="260"/>
    </row>
    <row r="511">
      <c r="Q511" s="259"/>
      <c r="R511" s="260"/>
    </row>
    <row r="512">
      <c r="Q512" s="259"/>
      <c r="R512" s="260"/>
    </row>
    <row r="513">
      <c r="Q513" s="259"/>
      <c r="R513" s="260"/>
    </row>
    <row r="514">
      <c r="Q514" s="259"/>
      <c r="R514" s="260"/>
    </row>
    <row r="515">
      <c r="Q515" s="259"/>
      <c r="R515" s="260"/>
    </row>
    <row r="516">
      <c r="Q516" s="259"/>
      <c r="R516" s="260"/>
    </row>
    <row r="517">
      <c r="Q517" s="259"/>
      <c r="R517" s="260"/>
    </row>
    <row r="518">
      <c r="Q518" s="259"/>
      <c r="R518" s="260"/>
    </row>
    <row r="519">
      <c r="Q519" s="259"/>
      <c r="R519" s="260"/>
    </row>
    <row r="520">
      <c r="Q520" s="259"/>
      <c r="R520" s="260"/>
    </row>
    <row r="521">
      <c r="Q521" s="259"/>
      <c r="R521" s="260"/>
    </row>
    <row r="522">
      <c r="Q522" s="259"/>
      <c r="R522" s="260"/>
    </row>
    <row r="523">
      <c r="Q523" s="259"/>
      <c r="R523" s="260"/>
    </row>
    <row r="524">
      <c r="Q524" s="259"/>
      <c r="R524" s="260"/>
    </row>
    <row r="525">
      <c r="Q525" s="259"/>
      <c r="R525" s="260"/>
    </row>
    <row r="526">
      <c r="Q526" s="259"/>
      <c r="R526" s="260"/>
    </row>
    <row r="527">
      <c r="Q527" s="259"/>
      <c r="R527" s="260"/>
    </row>
    <row r="528">
      <c r="Q528" s="259"/>
      <c r="R528" s="260"/>
    </row>
    <row r="529">
      <c r="Q529" s="259"/>
      <c r="R529" s="260"/>
    </row>
    <row r="530">
      <c r="Q530" s="259"/>
      <c r="R530" s="260"/>
    </row>
    <row r="531">
      <c r="Q531" s="259"/>
      <c r="R531" s="260"/>
    </row>
    <row r="532">
      <c r="Q532" s="259"/>
      <c r="R532" s="260"/>
    </row>
    <row r="533">
      <c r="Q533" s="259"/>
      <c r="R533" s="260"/>
    </row>
    <row r="534">
      <c r="Q534" s="259"/>
      <c r="R534" s="260"/>
    </row>
    <row r="535">
      <c r="Q535" s="259"/>
      <c r="R535" s="260"/>
    </row>
    <row r="536">
      <c r="Q536" s="259"/>
      <c r="R536" s="260"/>
    </row>
    <row r="537">
      <c r="Q537" s="259"/>
      <c r="R537" s="260"/>
    </row>
    <row r="538">
      <c r="Q538" s="259"/>
      <c r="R538" s="260"/>
    </row>
    <row r="539">
      <c r="Q539" s="259"/>
      <c r="R539" s="260"/>
    </row>
    <row r="540">
      <c r="Q540" s="259"/>
      <c r="R540" s="260"/>
    </row>
    <row r="541">
      <c r="Q541" s="259"/>
      <c r="R541" s="260"/>
    </row>
    <row r="542">
      <c r="Q542" s="259"/>
      <c r="R542" s="260"/>
    </row>
    <row r="543">
      <c r="Q543" s="259"/>
      <c r="R543" s="260"/>
    </row>
    <row r="544">
      <c r="Q544" s="259"/>
      <c r="R544" s="260"/>
    </row>
    <row r="545">
      <c r="Q545" s="259"/>
      <c r="R545" s="260"/>
    </row>
    <row r="546">
      <c r="Q546" s="259"/>
      <c r="R546" s="260"/>
    </row>
    <row r="547">
      <c r="Q547" s="259"/>
      <c r="R547" s="260"/>
    </row>
    <row r="548">
      <c r="Q548" s="259"/>
      <c r="R548" s="260"/>
    </row>
    <row r="549">
      <c r="Q549" s="259"/>
      <c r="R549" s="260"/>
    </row>
    <row r="550">
      <c r="Q550" s="259"/>
      <c r="R550" s="260"/>
    </row>
    <row r="551">
      <c r="Q551" s="259"/>
      <c r="R551" s="260"/>
    </row>
    <row r="552">
      <c r="Q552" s="259"/>
      <c r="R552" s="260"/>
    </row>
    <row r="553">
      <c r="Q553" s="259"/>
      <c r="R553" s="260"/>
    </row>
    <row r="554">
      <c r="Q554" s="259"/>
      <c r="R554" s="260"/>
    </row>
    <row r="555">
      <c r="Q555" s="259"/>
      <c r="R555" s="260"/>
    </row>
    <row r="556">
      <c r="Q556" s="259"/>
      <c r="R556" s="260"/>
    </row>
    <row r="557">
      <c r="Q557" s="259"/>
      <c r="R557" s="260"/>
    </row>
    <row r="558">
      <c r="Q558" s="259"/>
      <c r="R558" s="260"/>
    </row>
    <row r="559">
      <c r="Q559" s="259"/>
      <c r="R559" s="260"/>
    </row>
    <row r="560">
      <c r="Q560" s="259"/>
      <c r="R560" s="260"/>
    </row>
    <row r="561">
      <c r="Q561" s="259"/>
      <c r="R561" s="260"/>
    </row>
    <row r="562">
      <c r="Q562" s="259"/>
      <c r="R562" s="260"/>
    </row>
    <row r="563">
      <c r="Q563" s="259"/>
      <c r="R563" s="260"/>
    </row>
    <row r="564">
      <c r="Q564" s="259"/>
      <c r="R564" s="260"/>
    </row>
    <row r="565">
      <c r="Q565" s="259"/>
      <c r="R565" s="260"/>
    </row>
    <row r="566">
      <c r="Q566" s="259"/>
      <c r="R566" s="260"/>
    </row>
    <row r="567">
      <c r="Q567" s="259"/>
      <c r="R567" s="260"/>
    </row>
    <row r="568">
      <c r="Q568" s="259"/>
      <c r="R568" s="260"/>
    </row>
    <row r="569">
      <c r="Q569" s="259"/>
      <c r="R569" s="260"/>
    </row>
    <row r="570">
      <c r="Q570" s="259"/>
      <c r="R570" s="260"/>
    </row>
    <row r="571">
      <c r="Q571" s="259"/>
      <c r="R571" s="260"/>
    </row>
    <row r="572">
      <c r="Q572" s="259"/>
      <c r="R572" s="260"/>
    </row>
    <row r="573">
      <c r="Q573" s="259"/>
      <c r="R573" s="260"/>
    </row>
    <row r="574">
      <c r="Q574" s="259"/>
      <c r="R574" s="260"/>
    </row>
    <row r="575">
      <c r="Q575" s="259"/>
      <c r="R575" s="260"/>
    </row>
    <row r="576">
      <c r="Q576" s="259"/>
      <c r="R576" s="260"/>
    </row>
    <row r="577">
      <c r="Q577" s="259"/>
      <c r="R577" s="260"/>
    </row>
    <row r="578">
      <c r="Q578" s="259"/>
      <c r="R578" s="260"/>
    </row>
    <row r="579">
      <c r="Q579" s="259"/>
      <c r="R579" s="260"/>
    </row>
    <row r="580">
      <c r="Q580" s="259"/>
      <c r="R580" s="260"/>
    </row>
    <row r="581">
      <c r="Q581" s="259"/>
      <c r="R581" s="260"/>
    </row>
    <row r="582">
      <c r="Q582" s="259"/>
      <c r="R582" s="260"/>
    </row>
    <row r="583">
      <c r="Q583" s="259"/>
      <c r="R583" s="260"/>
    </row>
    <row r="584">
      <c r="Q584" s="259"/>
      <c r="R584" s="260"/>
    </row>
    <row r="585">
      <c r="Q585" s="259"/>
      <c r="R585" s="260"/>
    </row>
    <row r="586">
      <c r="Q586" s="259"/>
      <c r="R586" s="260"/>
    </row>
    <row r="587">
      <c r="Q587" s="259"/>
      <c r="R587" s="260"/>
    </row>
    <row r="588">
      <c r="Q588" s="259"/>
      <c r="R588" s="260"/>
    </row>
    <row r="589">
      <c r="Q589" s="259"/>
      <c r="R589" s="260"/>
    </row>
    <row r="590">
      <c r="Q590" s="259"/>
      <c r="R590" s="260"/>
    </row>
    <row r="591">
      <c r="Q591" s="259"/>
      <c r="R591" s="260"/>
    </row>
    <row r="592">
      <c r="Q592" s="259"/>
      <c r="R592" s="260"/>
    </row>
    <row r="593">
      <c r="Q593" s="259"/>
      <c r="R593" s="260"/>
    </row>
    <row r="594">
      <c r="Q594" s="259"/>
      <c r="R594" s="260"/>
    </row>
    <row r="595">
      <c r="Q595" s="259"/>
      <c r="R595" s="260"/>
    </row>
    <row r="596">
      <c r="Q596" s="259"/>
      <c r="R596" s="260"/>
    </row>
    <row r="597">
      <c r="Q597" s="259"/>
      <c r="R597" s="260"/>
    </row>
    <row r="598">
      <c r="Q598" s="259"/>
      <c r="R598" s="260"/>
    </row>
    <row r="599">
      <c r="Q599" s="259"/>
      <c r="R599" s="260"/>
    </row>
    <row r="600">
      <c r="Q600" s="259"/>
      <c r="R600" s="260"/>
    </row>
    <row r="601">
      <c r="Q601" s="259"/>
      <c r="R601" s="260"/>
    </row>
    <row r="602">
      <c r="Q602" s="259"/>
      <c r="R602" s="260"/>
    </row>
    <row r="603">
      <c r="Q603" s="259"/>
      <c r="R603" s="260"/>
    </row>
    <row r="604">
      <c r="Q604" s="259"/>
      <c r="R604" s="260"/>
    </row>
    <row r="605">
      <c r="Q605" s="259"/>
      <c r="R605" s="260"/>
    </row>
    <row r="606">
      <c r="Q606" s="259"/>
      <c r="R606" s="260"/>
    </row>
    <row r="607">
      <c r="Q607" s="259"/>
      <c r="R607" s="260"/>
    </row>
    <row r="608">
      <c r="Q608" s="259"/>
      <c r="R608" s="260"/>
    </row>
    <row r="609">
      <c r="Q609" s="259"/>
      <c r="R609" s="260"/>
    </row>
    <row r="610">
      <c r="Q610" s="259"/>
      <c r="R610" s="260"/>
    </row>
    <row r="611">
      <c r="Q611" s="259"/>
      <c r="R611" s="260"/>
    </row>
    <row r="612">
      <c r="Q612" s="259"/>
      <c r="R612" s="260"/>
    </row>
    <row r="613">
      <c r="Q613" s="259"/>
      <c r="R613" s="260"/>
    </row>
    <row r="614">
      <c r="Q614" s="259"/>
      <c r="R614" s="260"/>
    </row>
    <row r="615">
      <c r="Q615" s="259"/>
      <c r="R615" s="260"/>
    </row>
    <row r="616">
      <c r="Q616" s="259"/>
      <c r="R616" s="260"/>
    </row>
    <row r="617">
      <c r="Q617" s="259"/>
      <c r="R617" s="260"/>
    </row>
    <row r="618">
      <c r="Q618" s="259"/>
      <c r="R618" s="260"/>
    </row>
    <row r="619">
      <c r="Q619" s="259"/>
      <c r="R619" s="260"/>
    </row>
    <row r="620">
      <c r="Q620" s="259"/>
      <c r="R620" s="260"/>
    </row>
    <row r="621">
      <c r="Q621" s="259"/>
      <c r="R621" s="260"/>
    </row>
    <row r="622">
      <c r="Q622" s="259"/>
      <c r="R622" s="260"/>
    </row>
    <row r="623">
      <c r="Q623" s="259"/>
      <c r="R623" s="260"/>
    </row>
    <row r="624">
      <c r="Q624" s="259"/>
      <c r="R624" s="260"/>
    </row>
    <row r="625">
      <c r="Q625" s="259"/>
      <c r="R625" s="260"/>
    </row>
    <row r="626">
      <c r="Q626" s="259"/>
      <c r="R626" s="260"/>
    </row>
    <row r="627">
      <c r="Q627" s="259"/>
      <c r="R627" s="260"/>
    </row>
    <row r="628">
      <c r="Q628" s="259"/>
      <c r="R628" s="260"/>
    </row>
    <row r="629">
      <c r="Q629" s="259"/>
      <c r="R629" s="260"/>
    </row>
    <row r="630">
      <c r="Q630" s="259"/>
      <c r="R630" s="260"/>
    </row>
    <row r="631">
      <c r="Q631" s="259"/>
      <c r="R631" s="260"/>
    </row>
    <row r="632">
      <c r="Q632" s="259"/>
      <c r="R632" s="260"/>
    </row>
    <row r="633">
      <c r="Q633" s="259"/>
      <c r="R633" s="260"/>
    </row>
    <row r="634">
      <c r="Q634" s="259"/>
      <c r="R634" s="260"/>
    </row>
    <row r="635">
      <c r="Q635" s="259"/>
      <c r="R635" s="260"/>
    </row>
    <row r="636">
      <c r="Q636" s="259"/>
      <c r="R636" s="260"/>
    </row>
    <row r="637">
      <c r="Q637" s="259"/>
      <c r="R637" s="260"/>
    </row>
    <row r="638">
      <c r="Q638" s="259"/>
      <c r="R638" s="260"/>
    </row>
    <row r="639">
      <c r="Q639" s="259"/>
      <c r="R639" s="260"/>
    </row>
    <row r="640">
      <c r="Q640" s="259"/>
      <c r="R640" s="260"/>
    </row>
    <row r="641">
      <c r="Q641" s="259"/>
      <c r="R641" s="260"/>
    </row>
    <row r="642">
      <c r="Q642" s="259"/>
      <c r="R642" s="260"/>
    </row>
    <row r="643">
      <c r="Q643" s="259"/>
      <c r="R643" s="260"/>
    </row>
    <row r="644">
      <c r="Q644" s="259"/>
      <c r="R644" s="260"/>
    </row>
    <row r="645">
      <c r="Q645" s="259"/>
      <c r="R645" s="260"/>
    </row>
    <row r="646">
      <c r="Q646" s="259"/>
      <c r="R646" s="260"/>
    </row>
    <row r="647">
      <c r="Q647" s="259"/>
      <c r="R647" s="260"/>
    </row>
    <row r="648">
      <c r="Q648" s="259"/>
      <c r="R648" s="260"/>
    </row>
    <row r="649">
      <c r="Q649" s="259"/>
      <c r="R649" s="260"/>
    </row>
    <row r="650">
      <c r="Q650" s="259"/>
      <c r="R650" s="260"/>
    </row>
    <row r="651">
      <c r="Q651" s="259"/>
      <c r="R651" s="260"/>
    </row>
    <row r="652">
      <c r="Q652" s="259"/>
      <c r="R652" s="260"/>
    </row>
    <row r="653">
      <c r="Q653" s="259"/>
      <c r="R653" s="260"/>
    </row>
    <row r="654">
      <c r="Q654" s="259"/>
      <c r="R654" s="260"/>
    </row>
    <row r="655">
      <c r="Q655" s="259"/>
      <c r="R655" s="260"/>
    </row>
    <row r="656">
      <c r="Q656" s="259"/>
      <c r="R656" s="260"/>
    </row>
    <row r="657">
      <c r="Q657" s="259"/>
      <c r="R657" s="260"/>
    </row>
    <row r="658">
      <c r="Q658" s="259"/>
      <c r="R658" s="260"/>
    </row>
    <row r="659">
      <c r="Q659" s="259"/>
      <c r="R659" s="260"/>
    </row>
    <row r="660">
      <c r="Q660" s="259"/>
      <c r="R660" s="260"/>
    </row>
    <row r="661">
      <c r="Q661" s="259"/>
      <c r="R661" s="260"/>
    </row>
    <row r="662">
      <c r="Q662" s="259"/>
      <c r="R662" s="260"/>
    </row>
    <row r="663">
      <c r="Q663" s="259"/>
      <c r="R663" s="260"/>
    </row>
    <row r="664">
      <c r="Q664" s="259"/>
      <c r="R664" s="260"/>
    </row>
    <row r="665">
      <c r="Q665" s="259"/>
      <c r="R665" s="260"/>
    </row>
    <row r="666">
      <c r="Q666" s="259"/>
      <c r="R666" s="260"/>
    </row>
    <row r="667">
      <c r="Q667" s="259"/>
      <c r="R667" s="260"/>
    </row>
    <row r="668">
      <c r="Q668" s="259"/>
      <c r="R668" s="260"/>
    </row>
    <row r="669">
      <c r="Q669" s="259"/>
      <c r="R669" s="260"/>
    </row>
    <row r="670">
      <c r="Q670" s="259"/>
      <c r="R670" s="260"/>
    </row>
    <row r="671">
      <c r="Q671" s="259"/>
      <c r="R671" s="260"/>
    </row>
    <row r="672">
      <c r="Q672" s="259"/>
      <c r="R672" s="260"/>
    </row>
    <row r="673">
      <c r="Q673" s="259"/>
      <c r="R673" s="260"/>
    </row>
    <row r="674">
      <c r="Q674" s="259"/>
      <c r="R674" s="260"/>
    </row>
    <row r="675">
      <c r="Q675" s="259"/>
      <c r="R675" s="260"/>
    </row>
    <row r="676">
      <c r="Q676" s="259"/>
      <c r="R676" s="260"/>
    </row>
    <row r="677">
      <c r="Q677" s="259"/>
      <c r="R677" s="260"/>
    </row>
    <row r="678">
      <c r="Q678" s="259"/>
      <c r="R678" s="260"/>
    </row>
    <row r="679">
      <c r="Q679" s="259"/>
      <c r="R679" s="260"/>
    </row>
    <row r="680">
      <c r="Q680" s="259"/>
      <c r="R680" s="260"/>
    </row>
    <row r="681">
      <c r="Q681" s="259"/>
      <c r="R681" s="260"/>
    </row>
    <row r="682">
      <c r="Q682" s="259"/>
      <c r="R682" s="260"/>
    </row>
    <row r="683">
      <c r="Q683" s="259"/>
      <c r="R683" s="260"/>
    </row>
    <row r="684">
      <c r="Q684" s="259"/>
      <c r="R684" s="260"/>
    </row>
    <row r="685">
      <c r="Q685" s="259"/>
      <c r="R685" s="260"/>
    </row>
    <row r="686">
      <c r="Q686" s="259"/>
      <c r="R686" s="260"/>
    </row>
    <row r="687">
      <c r="Q687" s="259"/>
      <c r="R687" s="260"/>
    </row>
    <row r="688">
      <c r="Q688" s="259"/>
      <c r="R688" s="260"/>
    </row>
    <row r="689">
      <c r="Q689" s="259"/>
      <c r="R689" s="260"/>
    </row>
    <row r="690">
      <c r="Q690" s="259"/>
      <c r="R690" s="260"/>
    </row>
    <row r="691">
      <c r="Q691" s="259"/>
      <c r="R691" s="260"/>
    </row>
    <row r="692">
      <c r="Q692" s="259"/>
      <c r="R692" s="260"/>
    </row>
    <row r="693">
      <c r="Q693" s="259"/>
      <c r="R693" s="260"/>
    </row>
    <row r="694">
      <c r="Q694" s="259"/>
      <c r="R694" s="260"/>
    </row>
    <row r="695">
      <c r="Q695" s="259"/>
      <c r="R695" s="260"/>
    </row>
    <row r="696">
      <c r="Q696" s="259"/>
      <c r="R696" s="260"/>
    </row>
    <row r="697">
      <c r="Q697" s="259"/>
      <c r="R697" s="260"/>
    </row>
    <row r="698">
      <c r="Q698" s="259"/>
      <c r="R698" s="260"/>
    </row>
    <row r="699">
      <c r="Q699" s="259"/>
      <c r="R699" s="260"/>
    </row>
    <row r="700">
      <c r="Q700" s="259"/>
      <c r="R700" s="260"/>
    </row>
    <row r="701">
      <c r="Q701" s="259"/>
      <c r="R701" s="260"/>
    </row>
    <row r="702">
      <c r="Q702" s="259"/>
      <c r="R702" s="260"/>
    </row>
    <row r="703">
      <c r="Q703" s="259"/>
      <c r="R703" s="260"/>
    </row>
    <row r="704">
      <c r="Q704" s="259"/>
      <c r="R704" s="260"/>
    </row>
    <row r="705">
      <c r="Q705" s="259"/>
      <c r="R705" s="260"/>
    </row>
    <row r="706">
      <c r="Q706" s="259"/>
      <c r="R706" s="260"/>
    </row>
    <row r="707">
      <c r="Q707" s="259"/>
      <c r="R707" s="260"/>
    </row>
    <row r="708">
      <c r="Q708" s="259"/>
      <c r="R708" s="260"/>
    </row>
    <row r="709">
      <c r="Q709" s="259"/>
      <c r="R709" s="260"/>
    </row>
    <row r="710">
      <c r="Q710" s="259"/>
      <c r="R710" s="260"/>
    </row>
    <row r="711">
      <c r="Q711" s="259"/>
      <c r="R711" s="260"/>
    </row>
    <row r="712">
      <c r="Q712" s="259"/>
      <c r="R712" s="260"/>
    </row>
    <row r="713">
      <c r="Q713" s="259"/>
      <c r="R713" s="260"/>
    </row>
    <row r="714">
      <c r="Q714" s="259"/>
      <c r="R714" s="260"/>
    </row>
    <row r="715">
      <c r="Q715" s="259"/>
      <c r="R715" s="260"/>
    </row>
    <row r="716">
      <c r="Q716" s="259"/>
      <c r="R716" s="260"/>
    </row>
    <row r="717">
      <c r="Q717" s="259"/>
      <c r="R717" s="260"/>
    </row>
    <row r="718">
      <c r="Q718" s="259"/>
      <c r="R718" s="260"/>
    </row>
    <row r="719">
      <c r="Q719" s="259"/>
      <c r="R719" s="260"/>
    </row>
    <row r="720">
      <c r="Q720" s="259"/>
      <c r="R720" s="260"/>
    </row>
    <row r="721">
      <c r="Q721" s="259"/>
      <c r="R721" s="260"/>
    </row>
    <row r="722">
      <c r="Q722" s="259"/>
      <c r="R722" s="260"/>
    </row>
    <row r="723">
      <c r="Q723" s="259"/>
      <c r="R723" s="260"/>
    </row>
    <row r="724">
      <c r="Q724" s="259"/>
      <c r="R724" s="260"/>
    </row>
    <row r="725">
      <c r="Q725" s="259"/>
      <c r="R725" s="260"/>
    </row>
    <row r="726">
      <c r="Q726" s="259"/>
      <c r="R726" s="260"/>
    </row>
    <row r="727">
      <c r="Q727" s="259"/>
      <c r="R727" s="260"/>
    </row>
    <row r="728">
      <c r="Q728" s="259"/>
      <c r="R728" s="260"/>
    </row>
    <row r="729">
      <c r="Q729" s="259"/>
      <c r="R729" s="260"/>
    </row>
    <row r="730">
      <c r="Q730" s="259"/>
      <c r="R730" s="260"/>
    </row>
    <row r="731">
      <c r="Q731" s="259"/>
      <c r="R731" s="260"/>
    </row>
    <row r="732">
      <c r="Q732" s="259"/>
      <c r="R732" s="260"/>
    </row>
    <row r="733">
      <c r="Q733" s="259"/>
      <c r="R733" s="260"/>
    </row>
    <row r="734">
      <c r="Q734" s="259"/>
      <c r="R734" s="260"/>
    </row>
    <row r="735">
      <c r="Q735" s="259"/>
      <c r="R735" s="260"/>
    </row>
    <row r="736">
      <c r="Q736" s="259"/>
      <c r="R736" s="260"/>
    </row>
    <row r="737">
      <c r="Q737" s="259"/>
      <c r="R737" s="260"/>
    </row>
    <row r="738">
      <c r="Q738" s="259"/>
      <c r="R738" s="260"/>
    </row>
    <row r="739">
      <c r="Q739" s="259"/>
      <c r="R739" s="260"/>
    </row>
    <row r="740">
      <c r="Q740" s="259"/>
      <c r="R740" s="260"/>
    </row>
    <row r="741">
      <c r="Q741" s="259"/>
      <c r="R741" s="260"/>
    </row>
    <row r="742">
      <c r="Q742" s="259"/>
      <c r="R742" s="260"/>
    </row>
    <row r="743">
      <c r="Q743" s="259"/>
      <c r="R743" s="260"/>
    </row>
    <row r="744">
      <c r="Q744" s="259"/>
      <c r="R744" s="260"/>
    </row>
    <row r="745">
      <c r="Q745" s="259"/>
      <c r="R745" s="260"/>
    </row>
    <row r="746">
      <c r="Q746" s="259"/>
      <c r="R746" s="260"/>
    </row>
    <row r="747">
      <c r="Q747" s="259"/>
      <c r="R747" s="260"/>
    </row>
    <row r="748">
      <c r="Q748" s="259"/>
      <c r="R748" s="260"/>
    </row>
    <row r="749">
      <c r="Q749" s="259"/>
      <c r="R749" s="260"/>
    </row>
    <row r="750">
      <c r="Q750" s="259"/>
      <c r="R750" s="260"/>
    </row>
    <row r="751">
      <c r="Q751" s="259"/>
      <c r="R751" s="260"/>
    </row>
    <row r="752">
      <c r="Q752" s="259"/>
      <c r="R752" s="260"/>
    </row>
    <row r="753">
      <c r="Q753" s="259"/>
      <c r="R753" s="260"/>
    </row>
    <row r="754">
      <c r="Q754" s="259"/>
      <c r="R754" s="260"/>
    </row>
    <row r="755">
      <c r="Q755" s="259"/>
      <c r="R755" s="260"/>
    </row>
    <row r="756">
      <c r="Q756" s="259"/>
      <c r="R756" s="260"/>
    </row>
    <row r="757">
      <c r="Q757" s="259"/>
      <c r="R757" s="260"/>
    </row>
    <row r="758">
      <c r="Q758" s="259"/>
      <c r="R758" s="260"/>
    </row>
    <row r="759">
      <c r="Q759" s="259"/>
      <c r="R759" s="260"/>
    </row>
    <row r="760">
      <c r="Q760" s="259"/>
      <c r="R760" s="260"/>
    </row>
    <row r="761">
      <c r="Q761" s="259"/>
      <c r="R761" s="260"/>
    </row>
    <row r="762">
      <c r="Q762" s="259"/>
      <c r="R762" s="260"/>
    </row>
    <row r="763">
      <c r="Q763" s="259"/>
      <c r="R763" s="260"/>
    </row>
    <row r="764">
      <c r="Q764" s="259"/>
      <c r="R764" s="260"/>
    </row>
    <row r="765">
      <c r="Q765" s="259"/>
      <c r="R765" s="260"/>
    </row>
    <row r="766">
      <c r="Q766" s="259"/>
      <c r="R766" s="260"/>
    </row>
    <row r="767">
      <c r="Q767" s="259"/>
      <c r="R767" s="260"/>
    </row>
    <row r="768">
      <c r="Q768" s="259"/>
      <c r="R768" s="260"/>
    </row>
    <row r="769">
      <c r="Q769" s="259"/>
      <c r="R769" s="260"/>
    </row>
    <row r="770">
      <c r="Q770" s="259"/>
      <c r="R770" s="260"/>
    </row>
    <row r="771">
      <c r="Q771" s="259"/>
      <c r="R771" s="260"/>
    </row>
    <row r="772">
      <c r="Q772" s="259"/>
      <c r="R772" s="260"/>
    </row>
    <row r="773">
      <c r="Q773" s="259"/>
      <c r="R773" s="260"/>
    </row>
    <row r="774">
      <c r="Q774" s="259"/>
      <c r="R774" s="260"/>
    </row>
    <row r="775">
      <c r="Q775" s="259"/>
      <c r="R775" s="260"/>
    </row>
    <row r="776">
      <c r="Q776" s="259"/>
      <c r="R776" s="260"/>
    </row>
    <row r="777">
      <c r="Q777" s="259"/>
      <c r="R777" s="260"/>
    </row>
    <row r="778">
      <c r="Q778" s="259"/>
      <c r="R778" s="260"/>
    </row>
    <row r="779">
      <c r="Q779" s="259"/>
      <c r="R779" s="260"/>
    </row>
    <row r="780">
      <c r="Q780" s="259"/>
      <c r="R780" s="260"/>
    </row>
    <row r="781">
      <c r="Q781" s="259"/>
      <c r="R781" s="260"/>
    </row>
    <row r="782">
      <c r="Q782" s="259"/>
      <c r="R782" s="260"/>
    </row>
    <row r="783">
      <c r="Q783" s="259"/>
      <c r="R783" s="260"/>
    </row>
    <row r="784">
      <c r="Q784" s="259"/>
      <c r="R784" s="260"/>
    </row>
    <row r="785">
      <c r="Q785" s="259"/>
      <c r="R785" s="260"/>
    </row>
    <row r="786">
      <c r="Q786" s="259"/>
      <c r="R786" s="260"/>
    </row>
    <row r="787">
      <c r="Q787" s="259"/>
      <c r="R787" s="260"/>
    </row>
    <row r="788">
      <c r="Q788" s="259"/>
      <c r="R788" s="260"/>
    </row>
    <row r="789">
      <c r="Q789" s="259"/>
      <c r="R789" s="260"/>
    </row>
    <row r="790">
      <c r="Q790" s="259"/>
      <c r="R790" s="260"/>
    </row>
    <row r="791">
      <c r="Q791" s="259"/>
      <c r="R791" s="260"/>
    </row>
    <row r="792">
      <c r="Q792" s="259"/>
      <c r="R792" s="260"/>
    </row>
    <row r="793">
      <c r="Q793" s="259"/>
      <c r="R793" s="260"/>
    </row>
    <row r="794">
      <c r="Q794" s="259"/>
      <c r="R794" s="260"/>
    </row>
    <row r="795">
      <c r="Q795" s="259"/>
      <c r="R795" s="260"/>
    </row>
    <row r="796">
      <c r="Q796" s="259"/>
      <c r="R796" s="260"/>
    </row>
    <row r="797">
      <c r="Q797" s="259"/>
      <c r="R797" s="260"/>
    </row>
    <row r="798">
      <c r="Q798" s="259"/>
      <c r="R798" s="260"/>
    </row>
    <row r="799">
      <c r="Q799" s="259"/>
      <c r="R799" s="260"/>
    </row>
    <row r="800">
      <c r="Q800" s="259"/>
      <c r="R800" s="260"/>
    </row>
    <row r="801">
      <c r="Q801" s="259"/>
      <c r="R801" s="260"/>
    </row>
    <row r="802">
      <c r="Q802" s="259"/>
      <c r="R802" s="260"/>
    </row>
    <row r="803">
      <c r="Q803" s="259"/>
      <c r="R803" s="260"/>
    </row>
    <row r="804">
      <c r="Q804" s="259"/>
      <c r="R804" s="260"/>
    </row>
    <row r="805">
      <c r="Q805" s="259"/>
      <c r="R805" s="260"/>
    </row>
    <row r="806">
      <c r="Q806" s="259"/>
      <c r="R806" s="260"/>
    </row>
    <row r="807">
      <c r="Q807" s="259"/>
      <c r="R807" s="260"/>
    </row>
    <row r="808">
      <c r="Q808" s="259"/>
      <c r="R808" s="260"/>
    </row>
    <row r="809">
      <c r="Q809" s="259"/>
      <c r="R809" s="260"/>
    </row>
    <row r="810">
      <c r="Q810" s="259"/>
      <c r="R810" s="260"/>
    </row>
    <row r="811">
      <c r="Q811" s="259"/>
      <c r="R811" s="260"/>
    </row>
    <row r="812">
      <c r="Q812" s="259"/>
      <c r="R812" s="260"/>
    </row>
    <row r="813">
      <c r="Q813" s="259"/>
      <c r="R813" s="260"/>
    </row>
    <row r="814">
      <c r="Q814" s="259"/>
      <c r="R814" s="260"/>
    </row>
    <row r="815">
      <c r="Q815" s="259"/>
      <c r="R815" s="260"/>
    </row>
    <row r="816">
      <c r="Q816" s="259"/>
      <c r="R816" s="260"/>
    </row>
    <row r="817">
      <c r="Q817" s="259"/>
      <c r="R817" s="260"/>
    </row>
    <row r="818">
      <c r="Q818" s="259"/>
      <c r="R818" s="260"/>
    </row>
    <row r="819">
      <c r="Q819" s="259"/>
      <c r="R819" s="260"/>
    </row>
    <row r="820">
      <c r="Q820" s="259"/>
      <c r="R820" s="260"/>
    </row>
    <row r="821">
      <c r="Q821" s="259"/>
      <c r="R821" s="260"/>
    </row>
    <row r="822">
      <c r="Q822" s="259"/>
      <c r="R822" s="260"/>
    </row>
    <row r="823">
      <c r="Q823" s="259"/>
      <c r="R823" s="260"/>
    </row>
    <row r="824">
      <c r="Q824" s="259"/>
      <c r="R824" s="260"/>
    </row>
    <row r="825">
      <c r="Q825" s="259"/>
      <c r="R825" s="260"/>
    </row>
    <row r="826">
      <c r="Q826" s="259"/>
      <c r="R826" s="260"/>
    </row>
    <row r="827">
      <c r="Q827" s="259"/>
      <c r="R827" s="260"/>
    </row>
    <row r="828">
      <c r="Q828" s="259"/>
      <c r="R828" s="260"/>
    </row>
    <row r="829">
      <c r="Q829" s="259"/>
      <c r="R829" s="260"/>
    </row>
    <row r="830">
      <c r="Q830" s="259"/>
      <c r="R830" s="260"/>
    </row>
    <row r="831">
      <c r="Q831" s="259"/>
      <c r="R831" s="260"/>
    </row>
    <row r="832">
      <c r="Q832" s="259"/>
      <c r="R832" s="260"/>
    </row>
    <row r="833">
      <c r="Q833" s="259"/>
      <c r="R833" s="260"/>
    </row>
    <row r="834">
      <c r="Q834" s="259"/>
      <c r="R834" s="260"/>
    </row>
    <row r="835">
      <c r="Q835" s="259"/>
      <c r="R835" s="260"/>
    </row>
    <row r="836">
      <c r="Q836" s="259"/>
      <c r="R836" s="260"/>
    </row>
    <row r="837">
      <c r="Q837" s="259"/>
      <c r="R837" s="260"/>
    </row>
    <row r="838">
      <c r="Q838" s="259"/>
      <c r="R838" s="260"/>
    </row>
    <row r="839">
      <c r="Q839" s="259"/>
      <c r="R839" s="260"/>
    </row>
    <row r="840">
      <c r="Q840" s="259"/>
      <c r="R840" s="260"/>
    </row>
    <row r="841">
      <c r="Q841" s="259"/>
      <c r="R841" s="260"/>
    </row>
    <row r="842">
      <c r="Q842" s="259"/>
      <c r="R842" s="260"/>
    </row>
    <row r="843">
      <c r="Q843" s="259"/>
      <c r="R843" s="260"/>
    </row>
    <row r="844">
      <c r="Q844" s="259"/>
      <c r="R844" s="260"/>
    </row>
    <row r="845">
      <c r="Q845" s="259"/>
      <c r="R845" s="260"/>
    </row>
    <row r="846">
      <c r="Q846" s="259"/>
      <c r="R846" s="260"/>
    </row>
    <row r="847">
      <c r="Q847" s="259"/>
      <c r="R847" s="260"/>
    </row>
    <row r="848">
      <c r="Q848" s="259"/>
      <c r="R848" s="260"/>
    </row>
    <row r="849">
      <c r="Q849" s="259"/>
      <c r="R849" s="260"/>
    </row>
    <row r="850">
      <c r="Q850" s="259"/>
      <c r="R850" s="260"/>
    </row>
    <row r="851">
      <c r="Q851" s="259"/>
      <c r="R851" s="260"/>
    </row>
    <row r="852">
      <c r="Q852" s="259"/>
      <c r="R852" s="260"/>
    </row>
    <row r="853">
      <c r="Q853" s="259"/>
      <c r="R853" s="260"/>
    </row>
    <row r="854">
      <c r="Q854" s="259"/>
      <c r="R854" s="260"/>
    </row>
    <row r="855">
      <c r="Q855" s="259"/>
      <c r="R855" s="260"/>
    </row>
    <row r="856">
      <c r="Q856" s="259"/>
      <c r="R856" s="260"/>
    </row>
    <row r="857">
      <c r="Q857" s="259"/>
      <c r="R857" s="260"/>
    </row>
    <row r="858">
      <c r="Q858" s="259"/>
      <c r="R858" s="260"/>
    </row>
    <row r="859">
      <c r="Q859" s="259"/>
      <c r="R859" s="260"/>
    </row>
    <row r="860">
      <c r="Q860" s="259"/>
      <c r="R860" s="260"/>
    </row>
    <row r="861">
      <c r="Q861" s="259"/>
      <c r="R861" s="260"/>
    </row>
    <row r="862">
      <c r="Q862" s="259"/>
      <c r="R862" s="260"/>
    </row>
    <row r="863">
      <c r="Q863" s="259"/>
      <c r="R863" s="260"/>
    </row>
    <row r="864">
      <c r="Q864" s="259"/>
      <c r="R864" s="260"/>
    </row>
    <row r="865">
      <c r="Q865" s="259"/>
      <c r="R865" s="260"/>
    </row>
    <row r="866">
      <c r="Q866" s="259"/>
      <c r="R866" s="260"/>
    </row>
    <row r="867">
      <c r="Q867" s="259"/>
      <c r="R867" s="260"/>
    </row>
    <row r="868">
      <c r="Q868" s="259"/>
      <c r="R868" s="260"/>
    </row>
    <row r="869">
      <c r="Q869" s="259"/>
      <c r="R869" s="260"/>
    </row>
    <row r="870">
      <c r="Q870" s="259"/>
      <c r="R870" s="260"/>
    </row>
    <row r="871">
      <c r="Q871" s="259"/>
      <c r="R871" s="260"/>
    </row>
    <row r="872">
      <c r="Q872" s="259"/>
      <c r="R872" s="260"/>
    </row>
    <row r="873">
      <c r="Q873" s="259"/>
      <c r="R873" s="260"/>
    </row>
    <row r="874">
      <c r="Q874" s="259"/>
      <c r="R874" s="260"/>
    </row>
    <row r="875">
      <c r="Q875" s="259"/>
      <c r="R875" s="260"/>
    </row>
    <row r="876">
      <c r="Q876" s="259"/>
      <c r="R876" s="260"/>
    </row>
    <row r="877">
      <c r="Q877" s="259"/>
      <c r="R877" s="260"/>
    </row>
    <row r="878">
      <c r="Q878" s="259"/>
      <c r="R878" s="260"/>
    </row>
    <row r="879">
      <c r="Q879" s="259"/>
      <c r="R879" s="260"/>
    </row>
    <row r="880">
      <c r="Q880" s="259"/>
      <c r="R880" s="260"/>
    </row>
    <row r="881">
      <c r="Q881" s="259"/>
      <c r="R881" s="260"/>
    </row>
    <row r="882">
      <c r="Q882" s="259"/>
      <c r="R882" s="260"/>
    </row>
    <row r="883">
      <c r="Q883" s="259"/>
      <c r="R883" s="260"/>
    </row>
    <row r="884">
      <c r="Q884" s="259"/>
      <c r="R884" s="260"/>
    </row>
    <row r="885">
      <c r="Q885" s="259"/>
      <c r="R885" s="260"/>
    </row>
    <row r="886">
      <c r="Q886" s="259"/>
      <c r="R886" s="260"/>
    </row>
    <row r="887">
      <c r="Q887" s="259"/>
      <c r="R887" s="260"/>
    </row>
    <row r="888">
      <c r="Q888" s="259"/>
      <c r="R888" s="260"/>
    </row>
    <row r="889">
      <c r="Q889" s="259"/>
      <c r="R889" s="260"/>
    </row>
    <row r="890">
      <c r="Q890" s="259"/>
      <c r="R890" s="260"/>
    </row>
    <row r="891">
      <c r="Q891" s="259"/>
      <c r="R891" s="260"/>
    </row>
    <row r="892">
      <c r="Q892" s="259"/>
      <c r="R892" s="260"/>
    </row>
    <row r="893">
      <c r="Q893" s="259"/>
      <c r="R893" s="260"/>
    </row>
    <row r="894">
      <c r="Q894" s="259"/>
      <c r="R894" s="260"/>
    </row>
    <row r="895">
      <c r="Q895" s="259"/>
      <c r="R895" s="260"/>
    </row>
    <row r="896">
      <c r="Q896" s="259"/>
      <c r="R896" s="260"/>
    </row>
    <row r="897">
      <c r="Q897" s="259"/>
      <c r="R897" s="260"/>
    </row>
    <row r="898">
      <c r="Q898" s="259"/>
      <c r="R898" s="260"/>
    </row>
    <row r="899">
      <c r="Q899" s="259"/>
      <c r="R899" s="260"/>
    </row>
    <row r="900">
      <c r="Q900" s="259"/>
      <c r="R900" s="260"/>
    </row>
    <row r="901">
      <c r="Q901" s="259"/>
      <c r="R901" s="260"/>
    </row>
    <row r="902">
      <c r="Q902" s="259"/>
      <c r="R902" s="260"/>
    </row>
    <row r="903">
      <c r="Q903" s="259"/>
      <c r="R903" s="260"/>
    </row>
    <row r="904">
      <c r="Q904" s="259"/>
      <c r="R904" s="260"/>
    </row>
    <row r="905">
      <c r="Q905" s="259"/>
      <c r="R905" s="260"/>
    </row>
    <row r="906">
      <c r="Q906" s="259"/>
      <c r="R906" s="260"/>
    </row>
    <row r="907">
      <c r="Q907" s="259"/>
      <c r="R907" s="260"/>
    </row>
    <row r="908">
      <c r="Q908" s="259"/>
      <c r="R908" s="260"/>
    </row>
    <row r="909">
      <c r="Q909" s="259"/>
      <c r="R909" s="260"/>
    </row>
    <row r="910">
      <c r="Q910" s="259"/>
      <c r="R910" s="260"/>
    </row>
    <row r="911">
      <c r="Q911" s="259"/>
      <c r="R911" s="260"/>
    </row>
    <row r="912">
      <c r="Q912" s="259"/>
      <c r="R912" s="260"/>
    </row>
    <row r="913">
      <c r="Q913" s="259"/>
      <c r="R913" s="260"/>
    </row>
    <row r="914">
      <c r="Q914" s="259"/>
      <c r="R914" s="260"/>
    </row>
    <row r="915">
      <c r="Q915" s="259"/>
      <c r="R915" s="260"/>
    </row>
    <row r="916">
      <c r="Q916" s="259"/>
      <c r="R916" s="260"/>
    </row>
    <row r="917">
      <c r="Q917" s="259"/>
      <c r="R917" s="260"/>
    </row>
    <row r="918">
      <c r="Q918" s="259"/>
      <c r="R918" s="260"/>
    </row>
    <row r="919">
      <c r="Q919" s="259"/>
      <c r="R919" s="260"/>
    </row>
    <row r="920">
      <c r="Q920" s="259"/>
      <c r="R920" s="260"/>
    </row>
    <row r="921">
      <c r="Q921" s="259"/>
      <c r="R921" s="260"/>
    </row>
    <row r="922">
      <c r="Q922" s="259"/>
      <c r="R922" s="260"/>
    </row>
    <row r="923">
      <c r="Q923" s="259"/>
      <c r="R923" s="260"/>
    </row>
    <row r="924">
      <c r="Q924" s="259"/>
      <c r="R924" s="260"/>
    </row>
    <row r="925">
      <c r="Q925" s="259"/>
      <c r="R925" s="260"/>
    </row>
    <row r="926">
      <c r="Q926" s="259"/>
      <c r="R926" s="260"/>
    </row>
    <row r="927">
      <c r="Q927" s="259"/>
      <c r="R927" s="260"/>
    </row>
    <row r="928">
      <c r="Q928" s="259"/>
      <c r="R928" s="260"/>
    </row>
    <row r="929">
      <c r="Q929" s="259"/>
      <c r="R929" s="260"/>
    </row>
    <row r="930">
      <c r="Q930" s="259"/>
      <c r="R930" s="260"/>
    </row>
    <row r="931">
      <c r="Q931" s="259"/>
      <c r="R931" s="260"/>
    </row>
    <row r="932">
      <c r="Q932" s="259"/>
      <c r="R932" s="260"/>
    </row>
    <row r="933">
      <c r="Q933" s="259"/>
      <c r="R933" s="260"/>
    </row>
    <row r="934">
      <c r="Q934" s="259"/>
      <c r="R934" s="260"/>
    </row>
    <row r="935">
      <c r="Q935" s="259"/>
      <c r="R935" s="260"/>
    </row>
    <row r="936">
      <c r="Q936" s="259"/>
      <c r="R936" s="260"/>
    </row>
    <row r="937">
      <c r="Q937" s="259"/>
      <c r="R937" s="260"/>
    </row>
    <row r="938">
      <c r="Q938" s="259"/>
      <c r="R938" s="260"/>
    </row>
    <row r="939">
      <c r="Q939" s="259"/>
      <c r="R939" s="260"/>
    </row>
    <row r="940">
      <c r="Q940" s="259"/>
      <c r="R940" s="260"/>
    </row>
    <row r="941">
      <c r="Q941" s="259"/>
      <c r="R941" s="260"/>
    </row>
    <row r="942">
      <c r="Q942" s="259"/>
      <c r="R942" s="260"/>
    </row>
    <row r="943">
      <c r="Q943" s="259"/>
      <c r="R943" s="260"/>
    </row>
    <row r="944">
      <c r="Q944" s="259"/>
      <c r="R944" s="260"/>
    </row>
    <row r="945">
      <c r="Q945" s="259"/>
      <c r="R945" s="260"/>
    </row>
    <row r="946">
      <c r="Q946" s="259"/>
      <c r="R946" s="260"/>
    </row>
    <row r="947">
      <c r="Q947" s="259"/>
      <c r="R947" s="260"/>
    </row>
    <row r="948">
      <c r="Q948" s="259"/>
      <c r="R948" s="260"/>
    </row>
    <row r="949">
      <c r="Q949" s="259"/>
      <c r="R949" s="260"/>
    </row>
    <row r="950">
      <c r="Q950" s="259"/>
      <c r="R950" s="260"/>
    </row>
    <row r="951">
      <c r="Q951" s="259"/>
      <c r="R951" s="260"/>
    </row>
    <row r="952">
      <c r="Q952" s="259"/>
      <c r="R952" s="260"/>
    </row>
    <row r="953">
      <c r="Q953" s="259"/>
      <c r="R953" s="260"/>
    </row>
    <row r="954">
      <c r="Q954" s="259"/>
      <c r="R954" s="260"/>
    </row>
    <row r="955">
      <c r="Q955" s="259"/>
      <c r="R955" s="260"/>
    </row>
    <row r="956">
      <c r="Q956" s="259"/>
      <c r="R956" s="260"/>
    </row>
    <row r="957">
      <c r="Q957" s="259"/>
      <c r="R957" s="260"/>
    </row>
    <row r="958">
      <c r="Q958" s="259"/>
      <c r="R958" s="260"/>
    </row>
    <row r="959">
      <c r="Q959" s="259"/>
      <c r="R959" s="260"/>
    </row>
    <row r="960">
      <c r="Q960" s="259"/>
      <c r="R960" s="260"/>
    </row>
    <row r="961">
      <c r="Q961" s="259"/>
      <c r="R961" s="260"/>
    </row>
    <row r="962">
      <c r="Q962" s="259"/>
      <c r="R962" s="260"/>
    </row>
    <row r="963">
      <c r="Q963" s="259"/>
      <c r="R963" s="260"/>
    </row>
    <row r="964">
      <c r="Q964" s="259"/>
      <c r="R964" s="260"/>
    </row>
    <row r="965">
      <c r="Q965" s="259"/>
      <c r="R965" s="260"/>
    </row>
    <row r="966">
      <c r="Q966" s="259"/>
      <c r="R966" s="260"/>
    </row>
    <row r="967">
      <c r="Q967" s="259"/>
      <c r="R967" s="260"/>
    </row>
    <row r="968">
      <c r="Q968" s="259"/>
      <c r="R968" s="260"/>
    </row>
    <row r="969">
      <c r="Q969" s="259"/>
      <c r="R969" s="260"/>
    </row>
    <row r="970">
      <c r="Q970" s="259"/>
      <c r="R970" s="260"/>
    </row>
    <row r="971">
      <c r="Q971" s="259"/>
      <c r="R971" s="260"/>
    </row>
    <row r="972">
      <c r="Q972" s="259"/>
      <c r="R972" s="260"/>
    </row>
    <row r="973">
      <c r="Q973" s="259"/>
      <c r="R973" s="260"/>
    </row>
    <row r="974">
      <c r="Q974" s="259"/>
      <c r="R974" s="260"/>
    </row>
    <row r="975">
      <c r="Q975" s="259"/>
      <c r="R975" s="260"/>
    </row>
    <row r="976">
      <c r="Q976" s="259"/>
      <c r="R976" s="260"/>
    </row>
    <row r="977">
      <c r="Q977" s="259"/>
      <c r="R977" s="260"/>
    </row>
    <row r="978">
      <c r="Q978" s="259"/>
      <c r="R978" s="260"/>
    </row>
    <row r="979">
      <c r="Q979" s="259"/>
      <c r="R979" s="260"/>
    </row>
    <row r="980">
      <c r="Q980" s="259"/>
      <c r="R980" s="260"/>
    </row>
    <row r="981">
      <c r="Q981" s="259"/>
      <c r="R981" s="260"/>
    </row>
    <row r="982">
      <c r="Q982" s="259"/>
      <c r="R982" s="260"/>
    </row>
    <row r="983">
      <c r="Q983" s="259"/>
      <c r="R983" s="260"/>
    </row>
    <row r="984">
      <c r="Q984" s="259"/>
      <c r="R984" s="260"/>
    </row>
    <row r="985">
      <c r="Q985" s="259"/>
      <c r="R985" s="260"/>
    </row>
    <row r="986">
      <c r="Q986" s="259"/>
      <c r="R986" s="260"/>
    </row>
    <row r="987">
      <c r="Q987" s="259"/>
      <c r="R987" s="260"/>
    </row>
    <row r="988">
      <c r="Q988" s="259"/>
      <c r="R988" s="260"/>
    </row>
    <row r="989">
      <c r="Q989" s="259"/>
      <c r="R989" s="260"/>
    </row>
    <row r="990">
      <c r="Q990" s="259"/>
      <c r="R990" s="260"/>
    </row>
    <row r="991">
      <c r="Q991" s="259"/>
      <c r="R991" s="260"/>
    </row>
    <row r="992">
      <c r="Q992" s="259"/>
      <c r="R992" s="260"/>
    </row>
    <row r="993">
      <c r="Q993" s="259"/>
      <c r="R993" s="260"/>
    </row>
    <row r="994">
      <c r="Q994" s="259"/>
      <c r="R994" s="260"/>
    </row>
    <row r="995">
      <c r="Q995" s="259"/>
      <c r="R995" s="260"/>
    </row>
    <row r="996">
      <c r="Q996" s="259"/>
      <c r="R996" s="260"/>
    </row>
    <row r="997">
      <c r="Q997" s="259"/>
      <c r="R997" s="260"/>
    </row>
  </sheetData>
  <mergeCells count="1">
    <mergeCell ref="A1:R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5" width="7.29"/>
    <col customWidth="1" min="16" max="16" width="9.43"/>
    <col customWidth="1" min="17" max="17" width="12.29"/>
  </cols>
  <sheetData>
    <row r="1">
      <c r="A1" s="1" t="s">
        <v>508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5"/>
      <c r="AI1" s="275"/>
    </row>
    <row r="2">
      <c r="A2" s="256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17</v>
      </c>
      <c r="P2" s="5" t="s">
        <v>18</v>
      </c>
      <c r="Q2" s="276" t="s">
        <v>19</v>
      </c>
    </row>
    <row r="3">
      <c r="A3" s="9" t="s">
        <v>414</v>
      </c>
      <c r="B3" s="172">
        <v>4.0</v>
      </c>
      <c r="C3" s="172">
        <v>4.0</v>
      </c>
      <c r="D3" s="172">
        <v>10.0</v>
      </c>
      <c r="E3" s="172">
        <v>8.0</v>
      </c>
      <c r="F3" s="172">
        <v>4.0</v>
      </c>
      <c r="G3" s="172">
        <v>6.0</v>
      </c>
      <c r="H3" s="228">
        <v>8.0</v>
      </c>
      <c r="I3" s="228">
        <v>8.0</v>
      </c>
      <c r="J3" s="228">
        <v>8.0</v>
      </c>
      <c r="K3" s="228">
        <v>8.0</v>
      </c>
      <c r="L3" s="228">
        <v>5.0</v>
      </c>
      <c r="M3" s="228">
        <v>8.0</v>
      </c>
      <c r="N3" s="228">
        <v>11.0</v>
      </c>
      <c r="O3" s="23">
        <f t="shared" ref="O3:O18" si="1">SUM(B3:N3)</f>
        <v>92</v>
      </c>
      <c r="P3" s="16">
        <f t="shared" ref="P3:P6" si="2">AVERAGE(B3:N3)</f>
        <v>7.076923077</v>
      </c>
      <c r="Q3" s="277">
        <v>0.14</v>
      </c>
    </row>
    <row r="4">
      <c r="A4" s="9" t="s">
        <v>161</v>
      </c>
      <c r="B4" s="172">
        <v>2.0</v>
      </c>
      <c r="C4" s="172">
        <v>1.0</v>
      </c>
      <c r="D4" s="172">
        <v>7.0</v>
      </c>
      <c r="E4" s="172">
        <v>3.0</v>
      </c>
      <c r="F4" s="172">
        <v>9.0</v>
      </c>
      <c r="G4" s="172">
        <v>2.0</v>
      </c>
      <c r="H4" s="228">
        <v>5.0</v>
      </c>
      <c r="I4" s="228">
        <v>8.0</v>
      </c>
      <c r="J4" s="228">
        <v>5.0</v>
      </c>
      <c r="K4" s="228">
        <v>8.0</v>
      </c>
      <c r="L4" s="228">
        <v>12.0</v>
      </c>
      <c r="M4" s="228">
        <v>8.0</v>
      </c>
      <c r="N4" s="228">
        <v>15.0</v>
      </c>
      <c r="O4" s="23">
        <f t="shared" si="1"/>
        <v>85</v>
      </c>
      <c r="P4" s="16">
        <f t="shared" si="2"/>
        <v>6.538461538</v>
      </c>
      <c r="Q4" s="277">
        <v>0.1294</v>
      </c>
    </row>
    <row r="5">
      <c r="A5" s="9" t="s">
        <v>417</v>
      </c>
      <c r="B5" s="172">
        <v>4.0</v>
      </c>
      <c r="C5" s="172">
        <v>3.0</v>
      </c>
      <c r="D5" s="172">
        <v>2.0</v>
      </c>
      <c r="E5" s="172">
        <v>1.0</v>
      </c>
      <c r="F5" s="172">
        <v>4.0</v>
      </c>
      <c r="G5" s="172">
        <v>4.0</v>
      </c>
      <c r="H5" s="228">
        <v>7.0</v>
      </c>
      <c r="I5" s="228">
        <v>5.0</v>
      </c>
      <c r="J5" s="228">
        <v>3.0</v>
      </c>
      <c r="K5" s="228">
        <v>4.0</v>
      </c>
      <c r="L5" s="228">
        <v>2.0</v>
      </c>
      <c r="M5" s="228">
        <v>4.0</v>
      </c>
      <c r="N5" s="228">
        <v>8.0</v>
      </c>
      <c r="O5" s="23">
        <f t="shared" si="1"/>
        <v>51</v>
      </c>
      <c r="P5" s="16">
        <f t="shared" si="2"/>
        <v>3.923076923</v>
      </c>
      <c r="Q5" s="277">
        <v>0.0776</v>
      </c>
    </row>
    <row r="6">
      <c r="A6" s="9" t="s">
        <v>509</v>
      </c>
      <c r="B6" s="172">
        <v>2.0</v>
      </c>
      <c r="C6" s="172">
        <v>2.0</v>
      </c>
      <c r="D6" s="172">
        <v>5.0</v>
      </c>
      <c r="E6" s="172">
        <v>4.0</v>
      </c>
      <c r="F6" s="172">
        <v>4.0</v>
      </c>
      <c r="G6" s="172">
        <v>3.0</v>
      </c>
      <c r="H6" s="228">
        <v>5.0</v>
      </c>
      <c r="I6" s="228">
        <v>8.0</v>
      </c>
      <c r="J6" s="228">
        <v>6.0</v>
      </c>
      <c r="K6" s="228">
        <v>8.0</v>
      </c>
      <c r="L6" s="228">
        <v>10.0</v>
      </c>
      <c r="M6" s="228">
        <v>8.0</v>
      </c>
      <c r="N6" s="228">
        <v>6.0</v>
      </c>
      <c r="O6" s="23">
        <f t="shared" si="1"/>
        <v>71</v>
      </c>
      <c r="P6" s="16">
        <f t="shared" si="2"/>
        <v>5.461538462</v>
      </c>
      <c r="Q6" s="277">
        <v>0.1081</v>
      </c>
    </row>
    <row r="7">
      <c r="A7" s="9" t="s">
        <v>473</v>
      </c>
      <c r="B7" s="172">
        <v>1.0</v>
      </c>
      <c r="C7" s="172">
        <v>5.0</v>
      </c>
      <c r="D7" s="172">
        <v>3.0</v>
      </c>
      <c r="E7" s="172">
        <v>5.0</v>
      </c>
      <c r="F7" s="172">
        <v>11.0</v>
      </c>
      <c r="G7" s="172">
        <v>2.0</v>
      </c>
      <c r="H7" s="228">
        <v>5.0</v>
      </c>
      <c r="I7" s="228">
        <v>3.0</v>
      </c>
      <c r="J7" s="228">
        <v>5.0</v>
      </c>
      <c r="K7" s="228">
        <v>4.0</v>
      </c>
      <c r="L7" s="228">
        <v>6.0</v>
      </c>
      <c r="M7" s="228">
        <v>7.0</v>
      </c>
      <c r="N7" s="148"/>
      <c r="O7" s="23">
        <f t="shared" si="1"/>
        <v>57</v>
      </c>
      <c r="P7" s="23">
        <f>AVERAGE(B7:M7)</f>
        <v>4.75</v>
      </c>
      <c r="Q7" s="277">
        <v>0.0868</v>
      </c>
    </row>
    <row r="8">
      <c r="A8" s="9" t="s">
        <v>510</v>
      </c>
      <c r="B8" s="203">
        <v>0.0</v>
      </c>
      <c r="C8" s="203">
        <v>3.0</v>
      </c>
      <c r="D8" s="203">
        <v>5.0</v>
      </c>
      <c r="E8" s="203">
        <v>5.0</v>
      </c>
      <c r="F8" s="203">
        <v>3.0</v>
      </c>
      <c r="G8" s="203">
        <v>10.0</v>
      </c>
      <c r="H8" s="228">
        <v>5.0</v>
      </c>
      <c r="I8" s="228">
        <v>3.0</v>
      </c>
      <c r="J8" s="228">
        <v>9.0</v>
      </c>
      <c r="K8" s="228">
        <v>3.0</v>
      </c>
      <c r="L8" s="228">
        <v>8.0</v>
      </c>
      <c r="M8" s="148"/>
      <c r="N8" s="148"/>
      <c r="O8" s="23">
        <f t="shared" si="1"/>
        <v>54</v>
      </c>
      <c r="P8" s="16">
        <f>AVERAGE(B8:L8)</f>
        <v>4.909090909</v>
      </c>
      <c r="Q8" s="277">
        <v>0.0822</v>
      </c>
    </row>
    <row r="9">
      <c r="A9" s="9" t="s">
        <v>223</v>
      </c>
      <c r="B9" s="203">
        <v>0.0</v>
      </c>
      <c r="C9" s="203">
        <v>6.0</v>
      </c>
      <c r="D9" s="203">
        <v>5.0</v>
      </c>
      <c r="E9" s="203">
        <v>8.0</v>
      </c>
      <c r="F9" s="203">
        <v>4.0</v>
      </c>
      <c r="G9" s="203">
        <v>9.0</v>
      </c>
      <c r="H9" s="228">
        <v>4.0</v>
      </c>
      <c r="I9" s="228">
        <v>8.0</v>
      </c>
      <c r="J9" s="228">
        <v>4.0</v>
      </c>
      <c r="K9" s="228">
        <v>8.0</v>
      </c>
      <c r="L9" s="148"/>
      <c r="M9" s="148"/>
      <c r="N9" s="148"/>
      <c r="O9" s="23">
        <f t="shared" si="1"/>
        <v>56</v>
      </c>
      <c r="P9" s="23">
        <f>AVERAGE(B9:K9)</f>
        <v>5.6</v>
      </c>
      <c r="Q9" s="277">
        <v>0.0852</v>
      </c>
    </row>
    <row r="10">
      <c r="A10" s="9" t="s">
        <v>57</v>
      </c>
      <c r="B10" s="203">
        <v>0.0</v>
      </c>
      <c r="C10" s="203">
        <v>2.0</v>
      </c>
      <c r="D10" s="203">
        <v>4.0</v>
      </c>
      <c r="E10" s="203">
        <v>5.0</v>
      </c>
      <c r="F10" s="203">
        <v>5.0</v>
      </c>
      <c r="G10" s="203">
        <v>6.0</v>
      </c>
      <c r="H10" s="228">
        <v>10.0</v>
      </c>
      <c r="I10" s="228">
        <v>10.0</v>
      </c>
      <c r="J10" s="228">
        <v>5.0</v>
      </c>
      <c r="K10" s="148"/>
      <c r="L10" s="148"/>
      <c r="M10" s="148"/>
      <c r="N10" s="148"/>
      <c r="O10" s="23">
        <f t="shared" si="1"/>
        <v>47</v>
      </c>
      <c r="P10" s="16">
        <f>AVERAGE(B10:J10)</f>
        <v>5.222222222</v>
      </c>
      <c r="Q10" s="277">
        <v>0.0715</v>
      </c>
    </row>
    <row r="11">
      <c r="A11" s="9" t="s">
        <v>511</v>
      </c>
      <c r="B11" s="203">
        <v>0.0</v>
      </c>
      <c r="C11" s="203">
        <v>4.0</v>
      </c>
      <c r="D11" s="203">
        <v>4.0</v>
      </c>
      <c r="E11" s="203">
        <v>6.0</v>
      </c>
      <c r="F11" s="203">
        <v>4.0</v>
      </c>
      <c r="G11" s="203">
        <v>1.0</v>
      </c>
      <c r="H11" s="228">
        <v>7.0</v>
      </c>
      <c r="I11" s="228">
        <v>9.0</v>
      </c>
      <c r="J11" s="148"/>
      <c r="K11" s="148"/>
      <c r="L11" s="148"/>
      <c r="M11" s="148"/>
      <c r="N11" s="148"/>
      <c r="O11" s="23">
        <f t="shared" si="1"/>
        <v>35</v>
      </c>
      <c r="P11" s="16">
        <f>AVERAGE(B11:I11)</f>
        <v>4.375</v>
      </c>
      <c r="Q11" s="277">
        <v>0.0533</v>
      </c>
    </row>
    <row r="12">
      <c r="A12" s="9" t="s">
        <v>512</v>
      </c>
      <c r="B12" s="203">
        <v>1.0</v>
      </c>
      <c r="C12" s="203">
        <v>6.0</v>
      </c>
      <c r="D12" s="203">
        <v>3.0</v>
      </c>
      <c r="E12" s="203">
        <v>6.0</v>
      </c>
      <c r="F12" s="203">
        <v>4.0</v>
      </c>
      <c r="G12" s="203">
        <v>10.0</v>
      </c>
      <c r="H12" s="228">
        <v>5.0</v>
      </c>
      <c r="I12" s="148"/>
      <c r="J12" s="148"/>
      <c r="K12" s="148"/>
      <c r="L12" s="148"/>
      <c r="M12" s="148"/>
      <c r="N12" s="148"/>
      <c r="O12" s="23">
        <f t="shared" si="1"/>
        <v>35</v>
      </c>
      <c r="P12" s="16">
        <f>AVERAGE(B12:H12)</f>
        <v>5</v>
      </c>
      <c r="Q12" s="277">
        <v>0.0533</v>
      </c>
    </row>
    <row r="13">
      <c r="A13" s="9" t="s">
        <v>513</v>
      </c>
      <c r="B13" s="203">
        <v>2.0</v>
      </c>
      <c r="C13" s="203">
        <v>2.0</v>
      </c>
      <c r="D13" s="203">
        <v>2.0</v>
      </c>
      <c r="E13" s="203">
        <v>2.0</v>
      </c>
      <c r="F13" s="203">
        <v>2.0</v>
      </c>
      <c r="G13" s="203">
        <v>12.0</v>
      </c>
      <c r="H13" s="148"/>
      <c r="I13" s="148"/>
      <c r="J13" s="148"/>
      <c r="K13" s="148"/>
      <c r="L13" s="148"/>
      <c r="M13" s="148"/>
      <c r="N13" s="148"/>
      <c r="O13" s="23">
        <f t="shared" si="1"/>
        <v>22</v>
      </c>
      <c r="P13" s="16">
        <f>AVERAGE(B13:G13)</f>
        <v>3.666666667</v>
      </c>
      <c r="Q13" s="277">
        <v>0.0335</v>
      </c>
    </row>
    <row r="14">
      <c r="A14" s="9" t="s">
        <v>514</v>
      </c>
      <c r="B14" s="172">
        <v>1.0</v>
      </c>
      <c r="C14" s="172">
        <v>0.0</v>
      </c>
      <c r="D14" s="172">
        <v>3.0</v>
      </c>
      <c r="E14" s="172">
        <v>3.0</v>
      </c>
      <c r="F14" s="172">
        <v>4.0</v>
      </c>
      <c r="G14" s="148"/>
      <c r="H14" s="148"/>
      <c r="I14" s="148"/>
      <c r="J14" s="148"/>
      <c r="K14" s="148"/>
      <c r="L14" s="148"/>
      <c r="M14" s="148"/>
      <c r="N14" s="148"/>
      <c r="O14" s="23">
        <f t="shared" si="1"/>
        <v>11</v>
      </c>
      <c r="P14" s="16">
        <f>AVERAGE(B14:F14)</f>
        <v>2.2</v>
      </c>
      <c r="Q14" s="277">
        <v>0.0167</v>
      </c>
    </row>
    <row r="15">
      <c r="A15" s="9" t="s">
        <v>515</v>
      </c>
      <c r="B15" s="203">
        <v>2.0</v>
      </c>
      <c r="C15" s="203">
        <v>9.0</v>
      </c>
      <c r="D15" s="203">
        <v>0.0</v>
      </c>
      <c r="E15" s="203">
        <v>8.0</v>
      </c>
      <c r="F15" s="148"/>
      <c r="G15" s="148"/>
      <c r="H15" s="148"/>
      <c r="I15" s="148"/>
      <c r="J15" s="148"/>
      <c r="K15" s="148"/>
      <c r="L15" s="148"/>
      <c r="M15" s="148"/>
      <c r="N15" s="148"/>
      <c r="O15" s="23">
        <f t="shared" si="1"/>
        <v>19</v>
      </c>
      <c r="P15" s="23">
        <f>AVERAGE(B15:E15)</f>
        <v>4.75</v>
      </c>
      <c r="Q15" s="277">
        <v>0.0289</v>
      </c>
    </row>
    <row r="16">
      <c r="A16" s="9" t="s">
        <v>298</v>
      </c>
      <c r="B16" s="172">
        <v>1.0</v>
      </c>
      <c r="C16" s="172">
        <v>2.0</v>
      </c>
      <c r="D16" s="172">
        <v>6.0</v>
      </c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23">
        <f t="shared" si="1"/>
        <v>9</v>
      </c>
      <c r="P16" s="16">
        <f>AVERAGE(B16:D16)</f>
        <v>3</v>
      </c>
      <c r="Q16" s="277">
        <v>0.0137</v>
      </c>
    </row>
    <row r="17">
      <c r="A17" s="9" t="s">
        <v>516</v>
      </c>
      <c r="B17" s="203">
        <v>3.0</v>
      </c>
      <c r="C17" s="203">
        <v>8.0</v>
      </c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23">
        <f t="shared" si="1"/>
        <v>11</v>
      </c>
      <c r="P17" s="16">
        <f>AVERAGE(B17:C17)</f>
        <v>5.5</v>
      </c>
      <c r="Q17" s="277">
        <v>0.0167</v>
      </c>
    </row>
    <row r="18">
      <c r="A18" s="9" t="s">
        <v>517</v>
      </c>
      <c r="B18" s="172">
        <v>2.0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23">
        <f t="shared" si="1"/>
        <v>2</v>
      </c>
      <c r="P18" s="16">
        <f>AVERAGE(B18)</f>
        <v>2</v>
      </c>
      <c r="Q18" s="277">
        <v>0.003</v>
      </c>
    </row>
    <row r="19">
      <c r="A19" s="256" t="s">
        <v>40</v>
      </c>
      <c r="B19" s="23">
        <f t="shared" ref="B19:O19" si="3">SUM(B3:B18)</f>
        <v>25</v>
      </c>
      <c r="C19" s="23">
        <f t="shared" si="3"/>
        <v>57</v>
      </c>
      <c r="D19" s="23">
        <f t="shared" si="3"/>
        <v>59</v>
      </c>
      <c r="E19" s="23">
        <f t="shared" si="3"/>
        <v>64</v>
      </c>
      <c r="F19" s="23">
        <f t="shared" si="3"/>
        <v>58</v>
      </c>
      <c r="G19" s="23">
        <f t="shared" si="3"/>
        <v>65</v>
      </c>
      <c r="H19" s="23">
        <f t="shared" si="3"/>
        <v>61</v>
      </c>
      <c r="I19" s="23">
        <f t="shared" si="3"/>
        <v>62</v>
      </c>
      <c r="J19" s="23">
        <f t="shared" si="3"/>
        <v>45</v>
      </c>
      <c r="K19" s="23">
        <f t="shared" si="3"/>
        <v>43</v>
      </c>
      <c r="L19" s="23">
        <f t="shared" si="3"/>
        <v>43</v>
      </c>
      <c r="M19" s="23">
        <f t="shared" si="3"/>
        <v>35</v>
      </c>
      <c r="N19" s="23">
        <f t="shared" si="3"/>
        <v>40</v>
      </c>
      <c r="O19" s="23">
        <f t="shared" si="3"/>
        <v>657</v>
      </c>
      <c r="P19" s="23"/>
      <c r="Q19" s="278"/>
    </row>
    <row r="20">
      <c r="A20" s="258" t="s">
        <v>18</v>
      </c>
      <c r="B20" s="16">
        <f>AVERAGE(B3:B18)</f>
        <v>1.5625</v>
      </c>
      <c r="C20" s="16">
        <f>AVERAGE(C3:C17)</f>
        <v>3.8</v>
      </c>
      <c r="D20" s="16">
        <f>AVERAGE(D3:D16)</f>
        <v>4.214285714</v>
      </c>
      <c r="E20" s="16">
        <f>AVERAGE(E3:E15)</f>
        <v>4.923076923</v>
      </c>
      <c r="F20" s="16">
        <f>AVERAGE(F3:F14)</f>
        <v>4.833333333</v>
      </c>
      <c r="G20" s="16">
        <f>AVERAGE(G3:G13)</f>
        <v>5.909090909</v>
      </c>
      <c r="H20" s="16">
        <f>AVERAGE(H3:H12)</f>
        <v>6.1</v>
      </c>
      <c r="I20" s="16">
        <f>AVERAGE(I3:I11)</f>
        <v>6.888888889</v>
      </c>
      <c r="J20" s="16">
        <f>AVERAGE(J3:J10)</f>
        <v>5.625</v>
      </c>
      <c r="K20" s="16">
        <f>AVERAGE(K3:K9)</f>
        <v>6.142857143</v>
      </c>
      <c r="L20" s="16">
        <f>AVERAGE(L3:L8)</f>
        <v>7.166666667</v>
      </c>
      <c r="M20" s="16">
        <f>AVERAGE(M3:M7)</f>
        <v>7</v>
      </c>
      <c r="N20" s="16">
        <f>AVERAGE(N3:N6)</f>
        <v>10</v>
      </c>
      <c r="O20" s="16"/>
      <c r="P20" s="16"/>
      <c r="Q20" s="279"/>
      <c r="R20" s="259"/>
      <c r="S20" s="259"/>
      <c r="T20" s="259"/>
      <c r="U20" s="259"/>
      <c r="V20" s="259"/>
      <c r="W20" s="259"/>
      <c r="X20" s="259"/>
      <c r="Y20" s="259"/>
      <c r="Z20" s="259"/>
      <c r="AA20" s="259"/>
      <c r="AB20" s="259"/>
      <c r="AC20" s="259"/>
      <c r="AD20" s="259"/>
      <c r="AE20" s="259"/>
      <c r="AF20" s="259"/>
      <c r="AG20" s="259"/>
      <c r="AH20" s="259"/>
      <c r="AI20" s="259"/>
    </row>
    <row r="21">
      <c r="A21" s="256" t="s">
        <v>41</v>
      </c>
      <c r="B21" s="149" t="str">
        <f>HYPERLINK("https://docs.google.com/document/d/1wkxNW33NryLUP1mo0jHYFoMz9saf0wIf_YRv-jYsa_g/edit?usp=sharing","Link")</f>
        <v>Link</v>
      </c>
      <c r="C21" s="149" t="str">
        <f>HYPERLINK("https://docs.google.com/document/d/1I-MiIUEVNKwIs25YIC8MEjIrgwCR1YyZPHggDAdabdQ/edit?usp=sharing","Link")</f>
        <v>Link</v>
      </c>
      <c r="D21" s="149" t="str">
        <f>HYPERLINK("https://docs.google.com/document/d/1QoVGVKHULAyQWBmOZIf1zY_tuq0ciOlYx8sQIfocbQs/edit?usp=sharing","Link")</f>
        <v>Link</v>
      </c>
      <c r="E21" s="149" t="str">
        <f>HYPERLINK("https://docs.google.com/document/d/1eiVCbkg0WyC25o47Z34UHwYLAxRYuu5rjc9qxGCAA8E/edit?usp=sharing","Link")</f>
        <v>Link</v>
      </c>
      <c r="F21" s="149" t="str">
        <f>HYPERLINK("https://docs.google.com/document/d/1EldUXnk8y7DV9ML3Vz7flgEW4KQ0aCwYJ9KamghEEcY/edit?usp=sharing","Link")</f>
        <v>Link</v>
      </c>
      <c r="G21" s="149" t="str">
        <f>HYPERLINK("https://docs.google.com/document/d/1p4GfsXiskAbUVWQq7DJee1ThnFTD7vpDy0sxLUaHzrU/edit?usp=sharing","Link")</f>
        <v>Link</v>
      </c>
      <c r="H21" s="149" t="str">
        <f>HYPERLINK("https://docs.google.com/document/d/1xdGghP6NgaIoBNUOUFKRBa7r5btv8me8tFskt_YN3ns/edit?usp=sharing","Link")</f>
        <v>Link</v>
      </c>
      <c r="I21" s="149" t="str">
        <f>HYPERLINK("https://docs.google.com/document/d/1uJevETpyJGvVl4owGSxycbaKUGI1rZK7v5nd7oYjWDg/edit?usp=sharing","Link")</f>
        <v>Link</v>
      </c>
      <c r="J21" s="149" t="str">
        <f>HYPERLINK("https://docs.google.com/document/d/1oUzwneyV77r69dIvQwsqO4i0KkIoPLYnkxXWsNnkD_w/edit?usp=sharing","Link")</f>
        <v>Link</v>
      </c>
      <c r="K21" s="149" t="str">
        <f>HYPERLINK("https://docs.google.com/document/d/1MZTXiHEOrqstZkr7eqNCLEyUlCs4CkMokkiLW1SUnl0/edit?usp=sharing","Link")</f>
        <v>Link</v>
      </c>
      <c r="L21" s="149" t="str">
        <f>HYPERLINK("https://docs.google.com/document/d/12G0SLFV-HERfZP8FLZ0x42RgGtQCTfqtSeJrCsx3NFI/edit?usp=sharing","Link")</f>
        <v>Link</v>
      </c>
      <c r="M21" s="149" t="str">
        <f>HYPERLINK("https://docs.google.com/document/d/13xGPSj09l0ze-vAYQtMQwwV7FE9-yYXjClja65Pjfks/edit?usp=sharing","Link")</f>
        <v>Link</v>
      </c>
      <c r="N21" s="149" t="str">
        <f>HYPERLINK("https://docs.google.com/document/d/1KT1iUEsC7r8PJslMZRR_gORhCqNh5Mv6_CICMDHywcg/edit?usp=sharing","Link")</f>
        <v>Link</v>
      </c>
      <c r="O21" s="40" t="str">
        <f>HYPERLINK("https://docs.google.com/document/d/1zkwNefQE759GPTt1dTJhgHjXRmK6lbUQYz9lpE9irNk/edit?usp=sharing","Link")</f>
        <v>Link</v>
      </c>
      <c r="P21" s="23"/>
      <c r="Q21" s="278"/>
    </row>
    <row r="22">
      <c r="Q22" s="280"/>
    </row>
    <row r="23">
      <c r="A23" s="174" t="s">
        <v>518</v>
      </c>
      <c r="Q23" s="280"/>
    </row>
    <row r="24">
      <c r="A24" s="206" t="s">
        <v>519</v>
      </c>
      <c r="Q24" s="280"/>
    </row>
    <row r="25">
      <c r="A25" s="234" t="s">
        <v>520</v>
      </c>
      <c r="Q25" s="280"/>
    </row>
    <row r="26">
      <c r="Q26" s="280"/>
    </row>
    <row r="27">
      <c r="Q27" s="280"/>
    </row>
    <row r="28">
      <c r="Q28" s="280"/>
    </row>
    <row r="29">
      <c r="Q29" s="280"/>
    </row>
    <row r="30">
      <c r="Q30" s="280"/>
    </row>
    <row r="31">
      <c r="Q31" s="280"/>
    </row>
    <row r="32">
      <c r="Q32" s="280"/>
    </row>
    <row r="33">
      <c r="Q33" s="280"/>
    </row>
    <row r="34">
      <c r="Q34" s="280"/>
    </row>
    <row r="35">
      <c r="Q35" s="280"/>
    </row>
    <row r="36">
      <c r="Q36" s="280"/>
    </row>
    <row r="37">
      <c r="Q37" s="280"/>
    </row>
    <row r="38">
      <c r="Q38" s="280"/>
    </row>
    <row r="39">
      <c r="Q39" s="280"/>
    </row>
    <row r="40">
      <c r="Q40" s="280"/>
    </row>
    <row r="41">
      <c r="Q41" s="280"/>
    </row>
    <row r="42">
      <c r="Q42" s="280"/>
    </row>
    <row r="43">
      <c r="Q43" s="280"/>
    </row>
    <row r="44">
      <c r="Q44" s="280"/>
    </row>
    <row r="45">
      <c r="Q45" s="280"/>
    </row>
    <row r="46">
      <c r="Q46" s="280"/>
    </row>
    <row r="47">
      <c r="Q47" s="280"/>
    </row>
    <row r="48">
      <c r="Q48" s="280"/>
    </row>
    <row r="49">
      <c r="Q49" s="280"/>
    </row>
    <row r="50">
      <c r="Q50" s="280"/>
    </row>
    <row r="51">
      <c r="Q51" s="280"/>
    </row>
    <row r="52">
      <c r="Q52" s="280"/>
    </row>
    <row r="53">
      <c r="Q53" s="280"/>
    </row>
    <row r="54">
      <c r="Q54" s="280"/>
    </row>
    <row r="55">
      <c r="Q55" s="280"/>
    </row>
    <row r="56">
      <c r="Q56" s="280"/>
    </row>
    <row r="57">
      <c r="Q57" s="280"/>
    </row>
    <row r="58">
      <c r="Q58" s="280"/>
    </row>
    <row r="59">
      <c r="Q59" s="280"/>
    </row>
    <row r="60">
      <c r="Q60" s="280"/>
    </row>
    <row r="61">
      <c r="Q61" s="280"/>
    </row>
    <row r="62">
      <c r="Q62" s="280"/>
    </row>
    <row r="63">
      <c r="Q63" s="280"/>
    </row>
    <row r="64">
      <c r="Q64" s="280"/>
    </row>
    <row r="65">
      <c r="Q65" s="280"/>
    </row>
    <row r="66">
      <c r="Q66" s="280"/>
    </row>
    <row r="67">
      <c r="Q67" s="280"/>
    </row>
    <row r="68">
      <c r="Q68" s="280"/>
    </row>
    <row r="69">
      <c r="Q69" s="280"/>
    </row>
    <row r="70">
      <c r="Q70" s="280"/>
    </row>
    <row r="71">
      <c r="Q71" s="280"/>
    </row>
    <row r="72">
      <c r="Q72" s="280"/>
    </row>
    <row r="73">
      <c r="Q73" s="280"/>
    </row>
    <row r="74">
      <c r="Q74" s="280"/>
    </row>
    <row r="75">
      <c r="Q75" s="280"/>
    </row>
    <row r="76">
      <c r="Q76" s="280"/>
    </row>
    <row r="77">
      <c r="Q77" s="280"/>
    </row>
    <row r="78">
      <c r="Q78" s="280"/>
    </row>
    <row r="79">
      <c r="Q79" s="280"/>
    </row>
    <row r="80">
      <c r="Q80" s="280"/>
    </row>
    <row r="81">
      <c r="Q81" s="280"/>
    </row>
    <row r="82">
      <c r="Q82" s="280"/>
    </row>
    <row r="83">
      <c r="Q83" s="280"/>
    </row>
    <row r="84">
      <c r="Q84" s="280"/>
    </row>
    <row r="85">
      <c r="Q85" s="280"/>
    </row>
    <row r="86">
      <c r="Q86" s="280"/>
    </row>
    <row r="87">
      <c r="Q87" s="280"/>
    </row>
    <row r="88">
      <c r="Q88" s="280"/>
    </row>
    <row r="89">
      <c r="Q89" s="280"/>
    </row>
    <row r="90">
      <c r="Q90" s="280"/>
    </row>
    <row r="91">
      <c r="Q91" s="280"/>
    </row>
    <row r="92">
      <c r="Q92" s="280"/>
    </row>
    <row r="93">
      <c r="Q93" s="280"/>
    </row>
    <row r="94">
      <c r="Q94" s="280"/>
    </row>
    <row r="95">
      <c r="Q95" s="280"/>
    </row>
    <row r="96">
      <c r="Q96" s="280"/>
    </row>
    <row r="97">
      <c r="Q97" s="280"/>
    </row>
    <row r="98">
      <c r="Q98" s="280"/>
    </row>
    <row r="99">
      <c r="Q99" s="280"/>
    </row>
    <row r="100">
      <c r="Q100" s="280"/>
    </row>
    <row r="101">
      <c r="Q101" s="280"/>
    </row>
    <row r="102">
      <c r="Q102" s="280"/>
    </row>
    <row r="103">
      <c r="Q103" s="280"/>
    </row>
    <row r="104">
      <c r="Q104" s="280"/>
    </row>
    <row r="105">
      <c r="Q105" s="280"/>
    </row>
    <row r="106">
      <c r="Q106" s="280"/>
    </row>
    <row r="107">
      <c r="Q107" s="280"/>
    </row>
    <row r="108">
      <c r="Q108" s="280"/>
    </row>
    <row r="109">
      <c r="Q109" s="280"/>
    </row>
    <row r="110">
      <c r="Q110" s="280"/>
    </row>
    <row r="111">
      <c r="Q111" s="280"/>
    </row>
    <row r="112">
      <c r="Q112" s="280"/>
    </row>
    <row r="113">
      <c r="Q113" s="280"/>
    </row>
    <row r="114">
      <c r="Q114" s="280"/>
    </row>
    <row r="115">
      <c r="Q115" s="280"/>
    </row>
    <row r="116">
      <c r="Q116" s="280"/>
    </row>
    <row r="117">
      <c r="Q117" s="280"/>
    </row>
    <row r="118">
      <c r="Q118" s="280"/>
    </row>
    <row r="119">
      <c r="Q119" s="280"/>
    </row>
    <row r="120">
      <c r="Q120" s="280"/>
    </row>
    <row r="121">
      <c r="Q121" s="280"/>
    </row>
    <row r="122">
      <c r="Q122" s="280"/>
    </row>
    <row r="123">
      <c r="Q123" s="280"/>
    </row>
    <row r="124">
      <c r="Q124" s="280"/>
    </row>
    <row r="125">
      <c r="Q125" s="280"/>
    </row>
    <row r="126">
      <c r="Q126" s="280"/>
    </row>
    <row r="127">
      <c r="Q127" s="280"/>
    </row>
    <row r="128">
      <c r="Q128" s="280"/>
    </row>
    <row r="129">
      <c r="Q129" s="280"/>
    </row>
    <row r="130">
      <c r="Q130" s="280"/>
    </row>
    <row r="131">
      <c r="Q131" s="280"/>
    </row>
    <row r="132">
      <c r="Q132" s="280"/>
    </row>
    <row r="133">
      <c r="Q133" s="280"/>
    </row>
    <row r="134">
      <c r="Q134" s="280"/>
    </row>
    <row r="135">
      <c r="Q135" s="280"/>
    </row>
    <row r="136">
      <c r="Q136" s="280"/>
    </row>
    <row r="137">
      <c r="Q137" s="280"/>
    </row>
    <row r="138">
      <c r="Q138" s="280"/>
    </row>
    <row r="139">
      <c r="Q139" s="280"/>
    </row>
    <row r="140">
      <c r="Q140" s="280"/>
    </row>
    <row r="141">
      <c r="Q141" s="280"/>
    </row>
    <row r="142">
      <c r="Q142" s="280"/>
    </row>
    <row r="143">
      <c r="Q143" s="280"/>
    </row>
    <row r="144">
      <c r="Q144" s="280"/>
    </row>
    <row r="145">
      <c r="Q145" s="280"/>
    </row>
    <row r="146">
      <c r="Q146" s="280"/>
    </row>
    <row r="147">
      <c r="Q147" s="280"/>
    </row>
    <row r="148">
      <c r="Q148" s="280"/>
    </row>
    <row r="149">
      <c r="Q149" s="280"/>
    </row>
    <row r="150">
      <c r="Q150" s="280"/>
    </row>
    <row r="151">
      <c r="Q151" s="280"/>
    </row>
    <row r="152">
      <c r="Q152" s="280"/>
    </row>
    <row r="153">
      <c r="Q153" s="280"/>
    </row>
    <row r="154">
      <c r="Q154" s="280"/>
    </row>
    <row r="155">
      <c r="Q155" s="280"/>
    </row>
    <row r="156">
      <c r="Q156" s="280"/>
    </row>
    <row r="157">
      <c r="Q157" s="280"/>
    </row>
    <row r="158">
      <c r="Q158" s="280"/>
    </row>
    <row r="159">
      <c r="Q159" s="280"/>
    </row>
    <row r="160">
      <c r="Q160" s="280"/>
    </row>
    <row r="161">
      <c r="Q161" s="280"/>
    </row>
    <row r="162">
      <c r="Q162" s="280"/>
    </row>
    <row r="163">
      <c r="Q163" s="280"/>
    </row>
    <row r="164">
      <c r="Q164" s="280"/>
    </row>
    <row r="165">
      <c r="Q165" s="280"/>
    </row>
    <row r="166">
      <c r="Q166" s="280"/>
    </row>
    <row r="167">
      <c r="Q167" s="280"/>
    </row>
    <row r="168">
      <c r="Q168" s="280"/>
    </row>
    <row r="169">
      <c r="Q169" s="280"/>
    </row>
    <row r="170">
      <c r="Q170" s="280"/>
    </row>
    <row r="171">
      <c r="Q171" s="280"/>
    </row>
    <row r="172">
      <c r="Q172" s="280"/>
    </row>
    <row r="173">
      <c r="Q173" s="280"/>
    </row>
    <row r="174">
      <c r="Q174" s="280"/>
    </row>
    <row r="175">
      <c r="Q175" s="280"/>
    </row>
    <row r="176">
      <c r="Q176" s="280"/>
    </row>
    <row r="177">
      <c r="Q177" s="280"/>
    </row>
    <row r="178">
      <c r="Q178" s="280"/>
    </row>
    <row r="179">
      <c r="Q179" s="280"/>
    </row>
    <row r="180">
      <c r="Q180" s="280"/>
    </row>
    <row r="181">
      <c r="Q181" s="280"/>
    </row>
    <row r="182">
      <c r="Q182" s="280"/>
    </row>
    <row r="183">
      <c r="Q183" s="280"/>
    </row>
    <row r="184">
      <c r="Q184" s="280"/>
    </row>
    <row r="185">
      <c r="Q185" s="280"/>
    </row>
    <row r="186">
      <c r="Q186" s="280"/>
    </row>
    <row r="187">
      <c r="Q187" s="280"/>
    </row>
    <row r="188">
      <c r="Q188" s="280"/>
    </row>
    <row r="189">
      <c r="Q189" s="280"/>
    </row>
    <row r="190">
      <c r="Q190" s="280"/>
    </row>
    <row r="191">
      <c r="Q191" s="280"/>
    </row>
    <row r="192">
      <c r="Q192" s="280"/>
    </row>
    <row r="193">
      <c r="Q193" s="280"/>
    </row>
    <row r="194">
      <c r="Q194" s="280"/>
    </row>
    <row r="195">
      <c r="Q195" s="280"/>
    </row>
    <row r="196">
      <c r="Q196" s="280"/>
    </row>
    <row r="197">
      <c r="Q197" s="280"/>
    </row>
    <row r="198">
      <c r="Q198" s="280"/>
    </row>
    <row r="199">
      <c r="Q199" s="280"/>
    </row>
    <row r="200">
      <c r="Q200" s="280"/>
    </row>
    <row r="201">
      <c r="Q201" s="280"/>
    </row>
    <row r="202">
      <c r="Q202" s="280"/>
    </row>
    <row r="203">
      <c r="Q203" s="280"/>
    </row>
    <row r="204">
      <c r="Q204" s="280"/>
    </row>
    <row r="205">
      <c r="Q205" s="280"/>
    </row>
    <row r="206">
      <c r="Q206" s="280"/>
    </row>
    <row r="207">
      <c r="Q207" s="280"/>
    </row>
    <row r="208">
      <c r="Q208" s="280"/>
    </row>
    <row r="209">
      <c r="Q209" s="280"/>
    </row>
    <row r="210">
      <c r="Q210" s="280"/>
    </row>
    <row r="211">
      <c r="Q211" s="280"/>
    </row>
    <row r="212">
      <c r="Q212" s="280"/>
    </row>
    <row r="213">
      <c r="Q213" s="280"/>
    </row>
    <row r="214">
      <c r="Q214" s="280"/>
    </row>
    <row r="215">
      <c r="Q215" s="280"/>
    </row>
    <row r="216">
      <c r="Q216" s="280"/>
    </row>
    <row r="217">
      <c r="Q217" s="280"/>
    </row>
    <row r="218">
      <c r="Q218" s="280"/>
    </row>
    <row r="219">
      <c r="Q219" s="280"/>
    </row>
    <row r="220">
      <c r="Q220" s="280"/>
    </row>
    <row r="221">
      <c r="Q221" s="280"/>
    </row>
    <row r="222">
      <c r="Q222" s="280"/>
    </row>
    <row r="223">
      <c r="Q223" s="280"/>
    </row>
    <row r="224">
      <c r="Q224" s="280"/>
    </row>
    <row r="225">
      <c r="Q225" s="280"/>
    </row>
    <row r="226">
      <c r="Q226" s="280"/>
    </row>
    <row r="227">
      <c r="Q227" s="280"/>
    </row>
    <row r="228">
      <c r="Q228" s="280"/>
    </row>
    <row r="229">
      <c r="Q229" s="280"/>
    </row>
    <row r="230">
      <c r="Q230" s="280"/>
    </row>
    <row r="231">
      <c r="Q231" s="280"/>
    </row>
    <row r="232">
      <c r="Q232" s="280"/>
    </row>
    <row r="233">
      <c r="Q233" s="280"/>
    </row>
    <row r="234">
      <c r="Q234" s="280"/>
    </row>
    <row r="235">
      <c r="Q235" s="280"/>
    </row>
    <row r="236">
      <c r="Q236" s="280"/>
    </row>
    <row r="237">
      <c r="Q237" s="280"/>
    </row>
    <row r="238">
      <c r="Q238" s="280"/>
    </row>
    <row r="239">
      <c r="Q239" s="280"/>
    </row>
    <row r="240">
      <c r="Q240" s="280"/>
    </row>
    <row r="241">
      <c r="Q241" s="280"/>
    </row>
    <row r="242">
      <c r="Q242" s="280"/>
    </row>
    <row r="243">
      <c r="Q243" s="280"/>
    </row>
    <row r="244">
      <c r="Q244" s="280"/>
    </row>
    <row r="245">
      <c r="Q245" s="280"/>
    </row>
    <row r="246">
      <c r="Q246" s="280"/>
    </row>
    <row r="247">
      <c r="Q247" s="280"/>
    </row>
    <row r="248">
      <c r="Q248" s="280"/>
    </row>
    <row r="249">
      <c r="Q249" s="280"/>
    </row>
    <row r="250">
      <c r="Q250" s="280"/>
    </row>
    <row r="251">
      <c r="Q251" s="280"/>
    </row>
    <row r="252">
      <c r="Q252" s="280"/>
    </row>
    <row r="253">
      <c r="Q253" s="280"/>
    </row>
    <row r="254">
      <c r="Q254" s="280"/>
    </row>
    <row r="255">
      <c r="Q255" s="280"/>
    </row>
    <row r="256">
      <c r="Q256" s="280"/>
    </row>
    <row r="257">
      <c r="Q257" s="280"/>
    </row>
    <row r="258">
      <c r="Q258" s="280"/>
    </row>
    <row r="259">
      <c r="Q259" s="280"/>
    </row>
    <row r="260">
      <c r="Q260" s="280"/>
    </row>
    <row r="261">
      <c r="Q261" s="280"/>
    </row>
    <row r="262">
      <c r="Q262" s="280"/>
    </row>
    <row r="263">
      <c r="Q263" s="280"/>
    </row>
    <row r="264">
      <c r="Q264" s="280"/>
    </row>
    <row r="265">
      <c r="Q265" s="280"/>
    </row>
    <row r="266">
      <c r="Q266" s="280"/>
    </row>
    <row r="267">
      <c r="Q267" s="280"/>
    </row>
    <row r="268">
      <c r="Q268" s="280"/>
    </row>
    <row r="269">
      <c r="Q269" s="280"/>
    </row>
    <row r="270">
      <c r="Q270" s="280"/>
    </row>
    <row r="271">
      <c r="Q271" s="280"/>
    </row>
    <row r="272">
      <c r="Q272" s="280"/>
    </row>
    <row r="273">
      <c r="Q273" s="280"/>
    </row>
    <row r="274">
      <c r="Q274" s="280"/>
    </row>
    <row r="275">
      <c r="Q275" s="280"/>
    </row>
    <row r="276">
      <c r="Q276" s="280"/>
    </row>
    <row r="277">
      <c r="Q277" s="280"/>
    </row>
    <row r="278">
      <c r="Q278" s="280"/>
    </row>
    <row r="279">
      <c r="Q279" s="280"/>
    </row>
    <row r="280">
      <c r="Q280" s="280"/>
    </row>
    <row r="281">
      <c r="Q281" s="280"/>
    </row>
    <row r="282">
      <c r="Q282" s="280"/>
    </row>
    <row r="283">
      <c r="Q283" s="280"/>
    </row>
    <row r="284">
      <c r="Q284" s="280"/>
    </row>
    <row r="285">
      <c r="Q285" s="280"/>
    </row>
    <row r="286">
      <c r="Q286" s="280"/>
    </row>
    <row r="287">
      <c r="Q287" s="280"/>
    </row>
    <row r="288">
      <c r="Q288" s="280"/>
    </row>
    <row r="289">
      <c r="Q289" s="280"/>
    </row>
    <row r="290">
      <c r="Q290" s="280"/>
    </row>
    <row r="291">
      <c r="Q291" s="280"/>
    </row>
    <row r="292">
      <c r="Q292" s="280"/>
    </row>
    <row r="293">
      <c r="Q293" s="280"/>
    </row>
    <row r="294">
      <c r="Q294" s="280"/>
    </row>
    <row r="295">
      <c r="Q295" s="280"/>
    </row>
    <row r="296">
      <c r="Q296" s="280"/>
    </row>
    <row r="297">
      <c r="Q297" s="280"/>
    </row>
    <row r="298">
      <c r="Q298" s="280"/>
    </row>
    <row r="299">
      <c r="Q299" s="280"/>
    </row>
    <row r="300">
      <c r="Q300" s="280"/>
    </row>
    <row r="301">
      <c r="Q301" s="280"/>
    </row>
    <row r="302">
      <c r="Q302" s="280"/>
    </row>
    <row r="303">
      <c r="Q303" s="280"/>
    </row>
    <row r="304">
      <c r="Q304" s="280"/>
    </row>
    <row r="305">
      <c r="Q305" s="280"/>
    </row>
    <row r="306">
      <c r="Q306" s="280"/>
    </row>
    <row r="307">
      <c r="Q307" s="280"/>
    </row>
    <row r="308">
      <c r="Q308" s="280"/>
    </row>
    <row r="309">
      <c r="Q309" s="280"/>
    </row>
    <row r="310">
      <c r="Q310" s="280"/>
    </row>
    <row r="311">
      <c r="Q311" s="280"/>
    </row>
    <row r="312">
      <c r="Q312" s="280"/>
    </row>
    <row r="313">
      <c r="Q313" s="280"/>
    </row>
    <row r="314">
      <c r="Q314" s="280"/>
    </row>
    <row r="315">
      <c r="Q315" s="280"/>
    </row>
    <row r="316">
      <c r="Q316" s="280"/>
    </row>
    <row r="317">
      <c r="Q317" s="280"/>
    </row>
    <row r="318">
      <c r="Q318" s="280"/>
    </row>
    <row r="319">
      <c r="Q319" s="280"/>
    </row>
    <row r="320">
      <c r="Q320" s="280"/>
    </row>
    <row r="321">
      <c r="Q321" s="280"/>
    </row>
    <row r="322">
      <c r="Q322" s="280"/>
    </row>
    <row r="323">
      <c r="Q323" s="280"/>
    </row>
    <row r="324">
      <c r="Q324" s="280"/>
    </row>
    <row r="325">
      <c r="Q325" s="280"/>
    </row>
    <row r="326">
      <c r="Q326" s="280"/>
    </row>
    <row r="327">
      <c r="Q327" s="280"/>
    </row>
    <row r="328">
      <c r="Q328" s="280"/>
    </row>
    <row r="329">
      <c r="Q329" s="280"/>
    </row>
    <row r="330">
      <c r="Q330" s="280"/>
    </row>
    <row r="331">
      <c r="Q331" s="280"/>
    </row>
    <row r="332">
      <c r="Q332" s="280"/>
    </row>
    <row r="333">
      <c r="Q333" s="280"/>
    </row>
    <row r="334">
      <c r="Q334" s="280"/>
    </row>
    <row r="335">
      <c r="Q335" s="280"/>
    </row>
    <row r="336">
      <c r="Q336" s="280"/>
    </row>
    <row r="337">
      <c r="Q337" s="280"/>
    </row>
    <row r="338">
      <c r="Q338" s="280"/>
    </row>
    <row r="339">
      <c r="Q339" s="280"/>
    </row>
    <row r="340">
      <c r="Q340" s="280"/>
    </row>
    <row r="341">
      <c r="Q341" s="280"/>
    </row>
    <row r="342">
      <c r="Q342" s="280"/>
    </row>
    <row r="343">
      <c r="Q343" s="280"/>
    </row>
    <row r="344">
      <c r="Q344" s="280"/>
    </row>
    <row r="345">
      <c r="Q345" s="280"/>
    </row>
    <row r="346">
      <c r="Q346" s="280"/>
    </row>
    <row r="347">
      <c r="Q347" s="280"/>
    </row>
    <row r="348">
      <c r="Q348" s="280"/>
    </row>
    <row r="349">
      <c r="Q349" s="280"/>
    </row>
    <row r="350">
      <c r="Q350" s="280"/>
    </row>
    <row r="351">
      <c r="Q351" s="280"/>
    </row>
    <row r="352">
      <c r="Q352" s="280"/>
    </row>
    <row r="353">
      <c r="Q353" s="280"/>
    </row>
    <row r="354">
      <c r="Q354" s="280"/>
    </row>
    <row r="355">
      <c r="Q355" s="280"/>
    </row>
    <row r="356">
      <c r="Q356" s="280"/>
    </row>
    <row r="357">
      <c r="Q357" s="280"/>
    </row>
    <row r="358">
      <c r="Q358" s="280"/>
    </row>
    <row r="359">
      <c r="Q359" s="280"/>
    </row>
    <row r="360">
      <c r="Q360" s="280"/>
    </row>
    <row r="361">
      <c r="Q361" s="280"/>
    </row>
    <row r="362">
      <c r="Q362" s="280"/>
    </row>
    <row r="363">
      <c r="Q363" s="280"/>
    </row>
    <row r="364">
      <c r="Q364" s="280"/>
    </row>
    <row r="365">
      <c r="Q365" s="280"/>
    </row>
    <row r="366">
      <c r="Q366" s="280"/>
    </row>
    <row r="367">
      <c r="Q367" s="280"/>
    </row>
    <row r="368">
      <c r="Q368" s="280"/>
    </row>
    <row r="369">
      <c r="Q369" s="280"/>
    </row>
    <row r="370">
      <c r="Q370" s="280"/>
    </row>
    <row r="371">
      <c r="Q371" s="280"/>
    </row>
    <row r="372">
      <c r="Q372" s="280"/>
    </row>
    <row r="373">
      <c r="Q373" s="280"/>
    </row>
    <row r="374">
      <c r="Q374" s="280"/>
    </row>
    <row r="375">
      <c r="Q375" s="280"/>
    </row>
    <row r="376">
      <c r="Q376" s="280"/>
    </row>
    <row r="377">
      <c r="Q377" s="280"/>
    </row>
    <row r="378">
      <c r="Q378" s="280"/>
    </row>
    <row r="379">
      <c r="Q379" s="280"/>
    </row>
    <row r="380">
      <c r="Q380" s="280"/>
    </row>
    <row r="381">
      <c r="Q381" s="280"/>
    </row>
    <row r="382">
      <c r="Q382" s="280"/>
    </row>
    <row r="383">
      <c r="Q383" s="280"/>
    </row>
    <row r="384">
      <c r="Q384" s="280"/>
    </row>
    <row r="385">
      <c r="Q385" s="280"/>
    </row>
    <row r="386">
      <c r="Q386" s="280"/>
    </row>
    <row r="387">
      <c r="Q387" s="280"/>
    </row>
    <row r="388">
      <c r="Q388" s="280"/>
    </row>
    <row r="389">
      <c r="Q389" s="280"/>
    </row>
    <row r="390">
      <c r="Q390" s="280"/>
    </row>
    <row r="391">
      <c r="Q391" s="280"/>
    </row>
    <row r="392">
      <c r="Q392" s="280"/>
    </row>
    <row r="393">
      <c r="Q393" s="280"/>
    </row>
    <row r="394">
      <c r="Q394" s="280"/>
    </row>
    <row r="395">
      <c r="Q395" s="280"/>
    </row>
    <row r="396">
      <c r="Q396" s="280"/>
    </row>
    <row r="397">
      <c r="Q397" s="280"/>
    </row>
    <row r="398">
      <c r="Q398" s="280"/>
    </row>
    <row r="399">
      <c r="Q399" s="280"/>
    </row>
    <row r="400">
      <c r="Q400" s="280"/>
    </row>
    <row r="401">
      <c r="Q401" s="280"/>
    </row>
    <row r="402">
      <c r="Q402" s="280"/>
    </row>
    <row r="403">
      <c r="Q403" s="280"/>
    </row>
    <row r="404">
      <c r="Q404" s="280"/>
    </row>
    <row r="405">
      <c r="Q405" s="280"/>
    </row>
    <row r="406">
      <c r="Q406" s="280"/>
    </row>
    <row r="407">
      <c r="Q407" s="280"/>
    </row>
    <row r="408">
      <c r="Q408" s="280"/>
    </row>
    <row r="409">
      <c r="Q409" s="280"/>
    </row>
    <row r="410">
      <c r="Q410" s="280"/>
    </row>
    <row r="411">
      <c r="Q411" s="280"/>
    </row>
    <row r="412">
      <c r="Q412" s="280"/>
    </row>
    <row r="413">
      <c r="Q413" s="280"/>
    </row>
    <row r="414">
      <c r="Q414" s="280"/>
    </row>
    <row r="415">
      <c r="Q415" s="280"/>
    </row>
    <row r="416">
      <c r="Q416" s="280"/>
    </row>
    <row r="417">
      <c r="Q417" s="280"/>
    </row>
    <row r="418">
      <c r="Q418" s="280"/>
    </row>
    <row r="419">
      <c r="Q419" s="280"/>
    </row>
    <row r="420">
      <c r="Q420" s="280"/>
    </row>
    <row r="421">
      <c r="Q421" s="280"/>
    </row>
    <row r="422">
      <c r="Q422" s="280"/>
    </row>
    <row r="423">
      <c r="Q423" s="280"/>
    </row>
    <row r="424">
      <c r="Q424" s="280"/>
    </row>
    <row r="425">
      <c r="Q425" s="280"/>
    </row>
    <row r="426">
      <c r="Q426" s="280"/>
    </row>
    <row r="427">
      <c r="Q427" s="280"/>
    </row>
    <row r="428">
      <c r="Q428" s="280"/>
    </row>
    <row r="429">
      <c r="Q429" s="280"/>
    </row>
    <row r="430">
      <c r="Q430" s="280"/>
    </row>
    <row r="431">
      <c r="Q431" s="280"/>
    </row>
    <row r="432">
      <c r="Q432" s="280"/>
    </row>
    <row r="433">
      <c r="Q433" s="280"/>
    </row>
    <row r="434">
      <c r="Q434" s="280"/>
    </row>
    <row r="435">
      <c r="Q435" s="280"/>
    </row>
    <row r="436">
      <c r="Q436" s="280"/>
    </row>
    <row r="437">
      <c r="Q437" s="280"/>
    </row>
    <row r="438">
      <c r="Q438" s="280"/>
    </row>
    <row r="439">
      <c r="Q439" s="280"/>
    </row>
    <row r="440">
      <c r="Q440" s="280"/>
    </row>
    <row r="441">
      <c r="Q441" s="280"/>
    </row>
    <row r="442">
      <c r="Q442" s="280"/>
    </row>
    <row r="443">
      <c r="Q443" s="280"/>
    </row>
    <row r="444">
      <c r="Q444" s="280"/>
    </row>
    <row r="445">
      <c r="Q445" s="280"/>
    </row>
    <row r="446">
      <c r="Q446" s="280"/>
    </row>
    <row r="447">
      <c r="Q447" s="280"/>
    </row>
    <row r="448">
      <c r="Q448" s="280"/>
    </row>
    <row r="449">
      <c r="Q449" s="280"/>
    </row>
    <row r="450">
      <c r="Q450" s="280"/>
    </row>
    <row r="451">
      <c r="Q451" s="280"/>
    </row>
    <row r="452">
      <c r="Q452" s="280"/>
    </row>
    <row r="453">
      <c r="Q453" s="280"/>
    </row>
    <row r="454">
      <c r="Q454" s="280"/>
    </row>
    <row r="455">
      <c r="Q455" s="280"/>
    </row>
    <row r="456">
      <c r="Q456" s="280"/>
    </row>
    <row r="457">
      <c r="Q457" s="280"/>
    </row>
    <row r="458">
      <c r="Q458" s="280"/>
    </row>
    <row r="459">
      <c r="Q459" s="280"/>
    </row>
    <row r="460">
      <c r="Q460" s="280"/>
    </row>
    <row r="461">
      <c r="Q461" s="280"/>
    </row>
    <row r="462">
      <c r="Q462" s="280"/>
    </row>
    <row r="463">
      <c r="Q463" s="280"/>
    </row>
    <row r="464">
      <c r="Q464" s="280"/>
    </row>
    <row r="465">
      <c r="Q465" s="280"/>
    </row>
    <row r="466">
      <c r="Q466" s="280"/>
    </row>
    <row r="467">
      <c r="Q467" s="280"/>
    </row>
    <row r="468">
      <c r="Q468" s="280"/>
    </row>
    <row r="469">
      <c r="Q469" s="280"/>
    </row>
    <row r="470">
      <c r="Q470" s="280"/>
    </row>
    <row r="471">
      <c r="Q471" s="280"/>
    </row>
    <row r="472">
      <c r="Q472" s="280"/>
    </row>
    <row r="473">
      <c r="Q473" s="280"/>
    </row>
    <row r="474">
      <c r="Q474" s="280"/>
    </row>
    <row r="475">
      <c r="Q475" s="280"/>
    </row>
    <row r="476">
      <c r="Q476" s="280"/>
    </row>
    <row r="477">
      <c r="Q477" s="280"/>
    </row>
    <row r="478">
      <c r="Q478" s="280"/>
    </row>
    <row r="479">
      <c r="Q479" s="280"/>
    </row>
    <row r="480">
      <c r="Q480" s="280"/>
    </row>
    <row r="481">
      <c r="Q481" s="280"/>
    </row>
    <row r="482">
      <c r="Q482" s="280"/>
    </row>
    <row r="483">
      <c r="Q483" s="280"/>
    </row>
    <row r="484">
      <c r="Q484" s="280"/>
    </row>
    <row r="485">
      <c r="Q485" s="280"/>
    </row>
    <row r="486">
      <c r="Q486" s="280"/>
    </row>
    <row r="487">
      <c r="Q487" s="280"/>
    </row>
    <row r="488">
      <c r="Q488" s="280"/>
    </row>
    <row r="489">
      <c r="Q489" s="280"/>
    </row>
    <row r="490">
      <c r="Q490" s="280"/>
    </row>
    <row r="491">
      <c r="Q491" s="280"/>
    </row>
    <row r="492">
      <c r="Q492" s="280"/>
    </row>
    <row r="493">
      <c r="Q493" s="280"/>
    </row>
    <row r="494">
      <c r="Q494" s="280"/>
    </row>
    <row r="495">
      <c r="Q495" s="280"/>
    </row>
    <row r="496">
      <c r="Q496" s="280"/>
    </row>
    <row r="497">
      <c r="Q497" s="280"/>
    </row>
    <row r="498">
      <c r="Q498" s="280"/>
    </row>
    <row r="499">
      <c r="Q499" s="280"/>
    </row>
    <row r="500">
      <c r="Q500" s="280"/>
    </row>
    <row r="501">
      <c r="Q501" s="280"/>
    </row>
    <row r="502">
      <c r="Q502" s="280"/>
    </row>
    <row r="503">
      <c r="Q503" s="280"/>
    </row>
    <row r="504">
      <c r="Q504" s="280"/>
    </row>
    <row r="505">
      <c r="Q505" s="280"/>
    </row>
    <row r="506">
      <c r="Q506" s="280"/>
    </row>
    <row r="507">
      <c r="Q507" s="280"/>
    </row>
    <row r="508">
      <c r="Q508" s="280"/>
    </row>
    <row r="509">
      <c r="Q509" s="280"/>
    </row>
    <row r="510">
      <c r="Q510" s="280"/>
    </row>
    <row r="511">
      <c r="Q511" s="280"/>
    </row>
    <row r="512">
      <c r="Q512" s="280"/>
    </row>
    <row r="513">
      <c r="Q513" s="280"/>
    </row>
    <row r="514">
      <c r="Q514" s="280"/>
    </row>
    <row r="515">
      <c r="Q515" s="280"/>
    </row>
    <row r="516">
      <c r="Q516" s="280"/>
    </row>
    <row r="517">
      <c r="Q517" s="280"/>
    </row>
    <row r="518">
      <c r="Q518" s="280"/>
    </row>
    <row r="519">
      <c r="Q519" s="280"/>
    </row>
    <row r="520">
      <c r="Q520" s="280"/>
    </row>
    <row r="521">
      <c r="Q521" s="280"/>
    </row>
    <row r="522">
      <c r="Q522" s="280"/>
    </row>
    <row r="523">
      <c r="Q523" s="280"/>
    </row>
    <row r="524">
      <c r="Q524" s="280"/>
    </row>
    <row r="525">
      <c r="Q525" s="280"/>
    </row>
    <row r="526">
      <c r="Q526" s="280"/>
    </row>
    <row r="527">
      <c r="Q527" s="280"/>
    </row>
    <row r="528">
      <c r="Q528" s="280"/>
    </row>
    <row r="529">
      <c r="Q529" s="280"/>
    </row>
    <row r="530">
      <c r="Q530" s="280"/>
    </row>
    <row r="531">
      <c r="Q531" s="280"/>
    </row>
    <row r="532">
      <c r="Q532" s="280"/>
    </row>
    <row r="533">
      <c r="Q533" s="280"/>
    </row>
    <row r="534">
      <c r="Q534" s="280"/>
    </row>
    <row r="535">
      <c r="Q535" s="280"/>
    </row>
    <row r="536">
      <c r="Q536" s="280"/>
    </row>
    <row r="537">
      <c r="Q537" s="280"/>
    </row>
    <row r="538">
      <c r="Q538" s="280"/>
    </row>
    <row r="539">
      <c r="Q539" s="280"/>
    </row>
    <row r="540">
      <c r="Q540" s="280"/>
    </row>
    <row r="541">
      <c r="Q541" s="280"/>
    </row>
    <row r="542">
      <c r="Q542" s="280"/>
    </row>
    <row r="543">
      <c r="Q543" s="280"/>
    </row>
    <row r="544">
      <c r="Q544" s="280"/>
    </row>
    <row r="545">
      <c r="Q545" s="280"/>
    </row>
    <row r="546">
      <c r="Q546" s="280"/>
    </row>
    <row r="547">
      <c r="Q547" s="280"/>
    </row>
    <row r="548">
      <c r="Q548" s="280"/>
    </row>
    <row r="549">
      <c r="Q549" s="280"/>
    </row>
    <row r="550">
      <c r="Q550" s="280"/>
    </row>
    <row r="551">
      <c r="Q551" s="280"/>
    </row>
    <row r="552">
      <c r="Q552" s="280"/>
    </row>
    <row r="553">
      <c r="Q553" s="280"/>
    </row>
    <row r="554">
      <c r="Q554" s="280"/>
    </row>
    <row r="555">
      <c r="Q555" s="280"/>
    </row>
    <row r="556">
      <c r="Q556" s="280"/>
    </row>
    <row r="557">
      <c r="Q557" s="280"/>
    </row>
    <row r="558">
      <c r="Q558" s="280"/>
    </row>
    <row r="559">
      <c r="Q559" s="280"/>
    </row>
    <row r="560">
      <c r="Q560" s="280"/>
    </row>
    <row r="561">
      <c r="Q561" s="280"/>
    </row>
    <row r="562">
      <c r="Q562" s="280"/>
    </row>
    <row r="563">
      <c r="Q563" s="280"/>
    </row>
    <row r="564">
      <c r="Q564" s="280"/>
    </row>
    <row r="565">
      <c r="Q565" s="280"/>
    </row>
    <row r="566">
      <c r="Q566" s="280"/>
    </row>
    <row r="567">
      <c r="Q567" s="280"/>
    </row>
    <row r="568">
      <c r="Q568" s="280"/>
    </row>
    <row r="569">
      <c r="Q569" s="280"/>
    </row>
    <row r="570">
      <c r="Q570" s="280"/>
    </row>
    <row r="571">
      <c r="Q571" s="280"/>
    </row>
    <row r="572">
      <c r="Q572" s="280"/>
    </row>
    <row r="573">
      <c r="Q573" s="280"/>
    </row>
    <row r="574">
      <c r="Q574" s="280"/>
    </row>
    <row r="575">
      <c r="Q575" s="280"/>
    </row>
    <row r="576">
      <c r="Q576" s="280"/>
    </row>
    <row r="577">
      <c r="Q577" s="280"/>
    </row>
    <row r="578">
      <c r="Q578" s="280"/>
    </row>
    <row r="579">
      <c r="Q579" s="280"/>
    </row>
    <row r="580">
      <c r="Q580" s="280"/>
    </row>
    <row r="581">
      <c r="Q581" s="280"/>
    </row>
    <row r="582">
      <c r="Q582" s="280"/>
    </row>
    <row r="583">
      <c r="Q583" s="280"/>
    </row>
    <row r="584">
      <c r="Q584" s="280"/>
    </row>
    <row r="585">
      <c r="Q585" s="280"/>
    </row>
    <row r="586">
      <c r="Q586" s="280"/>
    </row>
    <row r="587">
      <c r="Q587" s="280"/>
    </row>
    <row r="588">
      <c r="Q588" s="280"/>
    </row>
    <row r="589">
      <c r="Q589" s="280"/>
    </row>
    <row r="590">
      <c r="Q590" s="280"/>
    </row>
    <row r="591">
      <c r="Q591" s="280"/>
    </row>
    <row r="592">
      <c r="Q592" s="280"/>
    </row>
    <row r="593">
      <c r="Q593" s="280"/>
    </row>
    <row r="594">
      <c r="Q594" s="280"/>
    </row>
    <row r="595">
      <c r="Q595" s="280"/>
    </row>
    <row r="596">
      <c r="Q596" s="280"/>
    </row>
    <row r="597">
      <c r="Q597" s="280"/>
    </row>
    <row r="598">
      <c r="Q598" s="280"/>
    </row>
    <row r="599">
      <c r="Q599" s="280"/>
    </row>
    <row r="600">
      <c r="Q600" s="280"/>
    </row>
    <row r="601">
      <c r="Q601" s="280"/>
    </row>
    <row r="602">
      <c r="Q602" s="280"/>
    </row>
    <row r="603">
      <c r="Q603" s="280"/>
    </row>
    <row r="604">
      <c r="Q604" s="280"/>
    </row>
    <row r="605">
      <c r="Q605" s="280"/>
    </row>
    <row r="606">
      <c r="Q606" s="280"/>
    </row>
    <row r="607">
      <c r="Q607" s="280"/>
    </row>
    <row r="608">
      <c r="Q608" s="280"/>
    </row>
    <row r="609">
      <c r="Q609" s="280"/>
    </row>
    <row r="610">
      <c r="Q610" s="280"/>
    </row>
    <row r="611">
      <c r="Q611" s="280"/>
    </row>
    <row r="612">
      <c r="Q612" s="280"/>
    </row>
    <row r="613">
      <c r="Q613" s="280"/>
    </row>
    <row r="614">
      <c r="Q614" s="280"/>
    </row>
    <row r="615">
      <c r="Q615" s="280"/>
    </row>
    <row r="616">
      <c r="Q616" s="280"/>
    </row>
    <row r="617">
      <c r="Q617" s="280"/>
    </row>
    <row r="618">
      <c r="Q618" s="280"/>
    </row>
    <row r="619">
      <c r="Q619" s="280"/>
    </row>
    <row r="620">
      <c r="Q620" s="280"/>
    </row>
    <row r="621">
      <c r="Q621" s="280"/>
    </row>
    <row r="622">
      <c r="Q622" s="280"/>
    </row>
    <row r="623">
      <c r="Q623" s="280"/>
    </row>
    <row r="624">
      <c r="Q624" s="280"/>
    </row>
    <row r="625">
      <c r="Q625" s="280"/>
    </row>
    <row r="626">
      <c r="Q626" s="280"/>
    </row>
    <row r="627">
      <c r="Q627" s="280"/>
    </row>
    <row r="628">
      <c r="Q628" s="280"/>
    </row>
    <row r="629">
      <c r="Q629" s="280"/>
    </row>
    <row r="630">
      <c r="Q630" s="280"/>
    </row>
    <row r="631">
      <c r="Q631" s="280"/>
    </row>
    <row r="632">
      <c r="Q632" s="280"/>
    </row>
    <row r="633">
      <c r="Q633" s="280"/>
    </row>
    <row r="634">
      <c r="Q634" s="280"/>
    </row>
    <row r="635">
      <c r="Q635" s="280"/>
    </row>
    <row r="636">
      <c r="Q636" s="280"/>
    </row>
    <row r="637">
      <c r="Q637" s="280"/>
    </row>
    <row r="638">
      <c r="Q638" s="280"/>
    </row>
    <row r="639">
      <c r="Q639" s="280"/>
    </row>
    <row r="640">
      <c r="Q640" s="280"/>
    </row>
    <row r="641">
      <c r="Q641" s="280"/>
    </row>
    <row r="642">
      <c r="Q642" s="280"/>
    </row>
    <row r="643">
      <c r="Q643" s="280"/>
    </row>
    <row r="644">
      <c r="Q644" s="280"/>
    </row>
    <row r="645">
      <c r="Q645" s="280"/>
    </row>
    <row r="646">
      <c r="Q646" s="280"/>
    </row>
    <row r="647">
      <c r="Q647" s="280"/>
    </row>
    <row r="648">
      <c r="Q648" s="280"/>
    </row>
    <row r="649">
      <c r="Q649" s="280"/>
    </row>
    <row r="650">
      <c r="Q650" s="280"/>
    </row>
    <row r="651">
      <c r="Q651" s="280"/>
    </row>
    <row r="652">
      <c r="Q652" s="280"/>
    </row>
    <row r="653">
      <c r="Q653" s="280"/>
    </row>
    <row r="654">
      <c r="Q654" s="280"/>
    </row>
    <row r="655">
      <c r="Q655" s="280"/>
    </row>
    <row r="656">
      <c r="Q656" s="280"/>
    </row>
    <row r="657">
      <c r="Q657" s="280"/>
    </row>
    <row r="658">
      <c r="Q658" s="280"/>
    </row>
    <row r="659">
      <c r="Q659" s="280"/>
    </row>
    <row r="660">
      <c r="Q660" s="280"/>
    </row>
    <row r="661">
      <c r="Q661" s="280"/>
    </row>
    <row r="662">
      <c r="Q662" s="280"/>
    </row>
    <row r="663">
      <c r="Q663" s="280"/>
    </row>
    <row r="664">
      <c r="Q664" s="280"/>
    </row>
    <row r="665">
      <c r="Q665" s="280"/>
    </row>
    <row r="666">
      <c r="Q666" s="280"/>
    </row>
    <row r="667">
      <c r="Q667" s="280"/>
    </row>
    <row r="668">
      <c r="Q668" s="280"/>
    </row>
    <row r="669">
      <c r="Q669" s="280"/>
    </row>
    <row r="670">
      <c r="Q670" s="280"/>
    </row>
    <row r="671">
      <c r="Q671" s="280"/>
    </row>
    <row r="672">
      <c r="Q672" s="280"/>
    </row>
    <row r="673">
      <c r="Q673" s="280"/>
    </row>
    <row r="674">
      <c r="Q674" s="280"/>
    </row>
    <row r="675">
      <c r="Q675" s="280"/>
    </row>
    <row r="676">
      <c r="Q676" s="280"/>
    </row>
    <row r="677">
      <c r="Q677" s="280"/>
    </row>
    <row r="678">
      <c r="Q678" s="280"/>
    </row>
    <row r="679">
      <c r="Q679" s="280"/>
    </row>
    <row r="680">
      <c r="Q680" s="280"/>
    </row>
    <row r="681">
      <c r="Q681" s="280"/>
    </row>
    <row r="682">
      <c r="Q682" s="280"/>
    </row>
    <row r="683">
      <c r="Q683" s="280"/>
    </row>
    <row r="684">
      <c r="Q684" s="280"/>
    </row>
    <row r="685">
      <c r="Q685" s="280"/>
    </row>
    <row r="686">
      <c r="Q686" s="280"/>
    </row>
    <row r="687">
      <c r="Q687" s="280"/>
    </row>
    <row r="688">
      <c r="Q688" s="280"/>
    </row>
    <row r="689">
      <c r="Q689" s="280"/>
    </row>
    <row r="690">
      <c r="Q690" s="280"/>
    </row>
    <row r="691">
      <c r="Q691" s="280"/>
    </row>
    <row r="692">
      <c r="Q692" s="280"/>
    </row>
    <row r="693">
      <c r="Q693" s="280"/>
    </row>
    <row r="694">
      <c r="Q694" s="280"/>
    </row>
    <row r="695">
      <c r="Q695" s="280"/>
    </row>
    <row r="696">
      <c r="Q696" s="280"/>
    </row>
    <row r="697">
      <c r="Q697" s="280"/>
    </row>
    <row r="698">
      <c r="Q698" s="280"/>
    </row>
    <row r="699">
      <c r="Q699" s="280"/>
    </row>
    <row r="700">
      <c r="Q700" s="280"/>
    </row>
    <row r="701">
      <c r="Q701" s="280"/>
    </row>
    <row r="702">
      <c r="Q702" s="280"/>
    </row>
    <row r="703">
      <c r="Q703" s="280"/>
    </row>
    <row r="704">
      <c r="Q704" s="280"/>
    </row>
    <row r="705">
      <c r="Q705" s="280"/>
    </row>
    <row r="706">
      <c r="Q706" s="280"/>
    </row>
    <row r="707">
      <c r="Q707" s="280"/>
    </row>
    <row r="708">
      <c r="Q708" s="280"/>
    </row>
    <row r="709">
      <c r="Q709" s="280"/>
    </row>
    <row r="710">
      <c r="Q710" s="280"/>
    </row>
    <row r="711">
      <c r="Q711" s="280"/>
    </row>
    <row r="712">
      <c r="Q712" s="280"/>
    </row>
    <row r="713">
      <c r="Q713" s="280"/>
    </row>
    <row r="714">
      <c r="Q714" s="280"/>
    </row>
    <row r="715">
      <c r="Q715" s="280"/>
    </row>
    <row r="716">
      <c r="Q716" s="280"/>
    </row>
    <row r="717">
      <c r="Q717" s="280"/>
    </row>
    <row r="718">
      <c r="Q718" s="280"/>
    </row>
    <row r="719">
      <c r="Q719" s="280"/>
    </row>
    <row r="720">
      <c r="Q720" s="280"/>
    </row>
    <row r="721">
      <c r="Q721" s="280"/>
    </row>
    <row r="722">
      <c r="Q722" s="280"/>
    </row>
    <row r="723">
      <c r="Q723" s="280"/>
    </row>
    <row r="724">
      <c r="Q724" s="280"/>
    </row>
    <row r="725">
      <c r="Q725" s="280"/>
    </row>
    <row r="726">
      <c r="Q726" s="280"/>
    </row>
    <row r="727">
      <c r="Q727" s="280"/>
    </row>
    <row r="728">
      <c r="Q728" s="280"/>
    </row>
    <row r="729">
      <c r="Q729" s="280"/>
    </row>
    <row r="730">
      <c r="Q730" s="280"/>
    </row>
    <row r="731">
      <c r="Q731" s="280"/>
    </row>
    <row r="732">
      <c r="Q732" s="280"/>
    </row>
    <row r="733">
      <c r="Q733" s="280"/>
    </row>
    <row r="734">
      <c r="Q734" s="280"/>
    </row>
    <row r="735">
      <c r="Q735" s="280"/>
    </row>
    <row r="736">
      <c r="Q736" s="280"/>
    </row>
    <row r="737">
      <c r="Q737" s="280"/>
    </row>
    <row r="738">
      <c r="Q738" s="280"/>
    </row>
    <row r="739">
      <c r="Q739" s="280"/>
    </row>
    <row r="740">
      <c r="Q740" s="280"/>
    </row>
    <row r="741">
      <c r="Q741" s="280"/>
    </row>
    <row r="742">
      <c r="Q742" s="280"/>
    </row>
    <row r="743">
      <c r="Q743" s="280"/>
    </row>
    <row r="744">
      <c r="Q744" s="280"/>
    </row>
    <row r="745">
      <c r="Q745" s="280"/>
    </row>
    <row r="746">
      <c r="Q746" s="280"/>
    </row>
    <row r="747">
      <c r="Q747" s="280"/>
    </row>
    <row r="748">
      <c r="Q748" s="280"/>
    </row>
    <row r="749">
      <c r="Q749" s="280"/>
    </row>
    <row r="750">
      <c r="Q750" s="280"/>
    </row>
    <row r="751">
      <c r="Q751" s="280"/>
    </row>
    <row r="752">
      <c r="Q752" s="280"/>
    </row>
    <row r="753">
      <c r="Q753" s="280"/>
    </row>
    <row r="754">
      <c r="Q754" s="280"/>
    </row>
    <row r="755">
      <c r="Q755" s="280"/>
    </row>
    <row r="756">
      <c r="Q756" s="280"/>
    </row>
    <row r="757">
      <c r="Q757" s="280"/>
    </row>
    <row r="758">
      <c r="Q758" s="280"/>
    </row>
    <row r="759">
      <c r="Q759" s="280"/>
    </row>
    <row r="760">
      <c r="Q760" s="280"/>
    </row>
    <row r="761">
      <c r="Q761" s="280"/>
    </row>
    <row r="762">
      <c r="Q762" s="280"/>
    </row>
    <row r="763">
      <c r="Q763" s="280"/>
    </row>
    <row r="764">
      <c r="Q764" s="280"/>
    </row>
    <row r="765">
      <c r="Q765" s="280"/>
    </row>
    <row r="766">
      <c r="Q766" s="280"/>
    </row>
    <row r="767">
      <c r="Q767" s="280"/>
    </row>
    <row r="768">
      <c r="Q768" s="280"/>
    </row>
    <row r="769">
      <c r="Q769" s="280"/>
    </row>
    <row r="770">
      <c r="Q770" s="280"/>
    </row>
    <row r="771">
      <c r="Q771" s="280"/>
    </row>
    <row r="772">
      <c r="Q772" s="280"/>
    </row>
    <row r="773">
      <c r="Q773" s="280"/>
    </row>
    <row r="774">
      <c r="Q774" s="280"/>
    </row>
    <row r="775">
      <c r="Q775" s="280"/>
    </row>
    <row r="776">
      <c r="Q776" s="280"/>
    </row>
    <row r="777">
      <c r="Q777" s="280"/>
    </row>
    <row r="778">
      <c r="Q778" s="280"/>
    </row>
    <row r="779">
      <c r="Q779" s="280"/>
    </row>
    <row r="780">
      <c r="Q780" s="280"/>
    </row>
    <row r="781">
      <c r="Q781" s="280"/>
    </row>
    <row r="782">
      <c r="Q782" s="280"/>
    </row>
    <row r="783">
      <c r="Q783" s="280"/>
    </row>
    <row r="784">
      <c r="Q784" s="280"/>
    </row>
    <row r="785">
      <c r="Q785" s="280"/>
    </row>
    <row r="786">
      <c r="Q786" s="280"/>
    </row>
    <row r="787">
      <c r="Q787" s="280"/>
    </row>
    <row r="788">
      <c r="Q788" s="280"/>
    </row>
    <row r="789">
      <c r="Q789" s="280"/>
    </row>
    <row r="790">
      <c r="Q790" s="280"/>
    </row>
    <row r="791">
      <c r="Q791" s="280"/>
    </row>
    <row r="792">
      <c r="Q792" s="280"/>
    </row>
    <row r="793">
      <c r="Q793" s="280"/>
    </row>
    <row r="794">
      <c r="Q794" s="280"/>
    </row>
    <row r="795">
      <c r="Q795" s="280"/>
    </row>
    <row r="796">
      <c r="Q796" s="280"/>
    </row>
    <row r="797">
      <c r="Q797" s="280"/>
    </row>
    <row r="798">
      <c r="Q798" s="280"/>
    </row>
    <row r="799">
      <c r="Q799" s="280"/>
    </row>
    <row r="800">
      <c r="Q800" s="280"/>
    </row>
    <row r="801">
      <c r="Q801" s="280"/>
    </row>
    <row r="802">
      <c r="Q802" s="280"/>
    </row>
    <row r="803">
      <c r="Q803" s="280"/>
    </row>
    <row r="804">
      <c r="Q804" s="280"/>
    </row>
    <row r="805">
      <c r="Q805" s="280"/>
    </row>
    <row r="806">
      <c r="Q806" s="280"/>
    </row>
    <row r="807">
      <c r="Q807" s="280"/>
    </row>
    <row r="808">
      <c r="Q808" s="280"/>
    </row>
    <row r="809">
      <c r="Q809" s="280"/>
    </row>
    <row r="810">
      <c r="Q810" s="280"/>
    </row>
    <row r="811">
      <c r="Q811" s="280"/>
    </row>
    <row r="812">
      <c r="Q812" s="280"/>
    </row>
    <row r="813">
      <c r="Q813" s="280"/>
    </row>
    <row r="814">
      <c r="Q814" s="280"/>
    </row>
    <row r="815">
      <c r="Q815" s="280"/>
    </row>
    <row r="816">
      <c r="Q816" s="280"/>
    </row>
    <row r="817">
      <c r="Q817" s="280"/>
    </row>
    <row r="818">
      <c r="Q818" s="280"/>
    </row>
    <row r="819">
      <c r="Q819" s="280"/>
    </row>
    <row r="820">
      <c r="Q820" s="280"/>
    </row>
    <row r="821">
      <c r="Q821" s="280"/>
    </row>
    <row r="822">
      <c r="Q822" s="280"/>
    </row>
    <row r="823">
      <c r="Q823" s="280"/>
    </row>
    <row r="824">
      <c r="Q824" s="280"/>
    </row>
    <row r="825">
      <c r="Q825" s="280"/>
    </row>
    <row r="826">
      <c r="Q826" s="280"/>
    </row>
    <row r="827">
      <c r="Q827" s="280"/>
    </row>
    <row r="828">
      <c r="Q828" s="280"/>
    </row>
    <row r="829">
      <c r="Q829" s="280"/>
    </row>
    <row r="830">
      <c r="Q830" s="280"/>
    </row>
    <row r="831">
      <c r="Q831" s="280"/>
    </row>
    <row r="832">
      <c r="Q832" s="280"/>
    </row>
    <row r="833">
      <c r="Q833" s="280"/>
    </row>
    <row r="834">
      <c r="Q834" s="280"/>
    </row>
    <row r="835">
      <c r="Q835" s="280"/>
    </row>
    <row r="836">
      <c r="Q836" s="280"/>
    </row>
    <row r="837">
      <c r="Q837" s="280"/>
    </row>
    <row r="838">
      <c r="Q838" s="280"/>
    </row>
    <row r="839">
      <c r="Q839" s="280"/>
    </row>
    <row r="840">
      <c r="Q840" s="280"/>
    </row>
    <row r="841">
      <c r="Q841" s="280"/>
    </row>
    <row r="842">
      <c r="Q842" s="280"/>
    </row>
    <row r="843">
      <c r="Q843" s="280"/>
    </row>
    <row r="844">
      <c r="Q844" s="280"/>
    </row>
    <row r="845">
      <c r="Q845" s="280"/>
    </row>
    <row r="846">
      <c r="Q846" s="280"/>
    </row>
    <row r="847">
      <c r="Q847" s="280"/>
    </row>
    <row r="848">
      <c r="Q848" s="280"/>
    </row>
    <row r="849">
      <c r="Q849" s="280"/>
    </row>
    <row r="850">
      <c r="Q850" s="280"/>
    </row>
    <row r="851">
      <c r="Q851" s="280"/>
    </row>
    <row r="852">
      <c r="Q852" s="280"/>
    </row>
    <row r="853">
      <c r="Q853" s="280"/>
    </row>
    <row r="854">
      <c r="Q854" s="280"/>
    </row>
    <row r="855">
      <c r="Q855" s="280"/>
    </row>
    <row r="856">
      <c r="Q856" s="280"/>
    </row>
    <row r="857">
      <c r="Q857" s="280"/>
    </row>
    <row r="858">
      <c r="Q858" s="280"/>
    </row>
    <row r="859">
      <c r="Q859" s="280"/>
    </row>
    <row r="860">
      <c r="Q860" s="280"/>
    </row>
    <row r="861">
      <c r="Q861" s="280"/>
    </row>
    <row r="862">
      <c r="Q862" s="280"/>
    </row>
    <row r="863">
      <c r="Q863" s="280"/>
    </row>
    <row r="864">
      <c r="Q864" s="280"/>
    </row>
    <row r="865">
      <c r="Q865" s="280"/>
    </row>
    <row r="866">
      <c r="Q866" s="280"/>
    </row>
    <row r="867">
      <c r="Q867" s="280"/>
    </row>
    <row r="868">
      <c r="Q868" s="280"/>
    </row>
    <row r="869">
      <c r="Q869" s="280"/>
    </row>
    <row r="870">
      <c r="Q870" s="280"/>
    </row>
    <row r="871">
      <c r="Q871" s="280"/>
    </row>
    <row r="872">
      <c r="Q872" s="280"/>
    </row>
    <row r="873">
      <c r="Q873" s="280"/>
    </row>
    <row r="874">
      <c r="Q874" s="280"/>
    </row>
    <row r="875">
      <c r="Q875" s="280"/>
    </row>
    <row r="876">
      <c r="Q876" s="280"/>
    </row>
    <row r="877">
      <c r="Q877" s="280"/>
    </row>
    <row r="878">
      <c r="Q878" s="280"/>
    </row>
    <row r="879">
      <c r="Q879" s="280"/>
    </row>
    <row r="880">
      <c r="Q880" s="280"/>
    </row>
    <row r="881">
      <c r="Q881" s="280"/>
    </row>
    <row r="882">
      <c r="Q882" s="280"/>
    </row>
    <row r="883">
      <c r="Q883" s="280"/>
    </row>
    <row r="884">
      <c r="Q884" s="280"/>
    </row>
    <row r="885">
      <c r="Q885" s="280"/>
    </row>
    <row r="886">
      <c r="Q886" s="280"/>
    </row>
    <row r="887">
      <c r="Q887" s="280"/>
    </row>
    <row r="888">
      <c r="Q888" s="280"/>
    </row>
    <row r="889">
      <c r="Q889" s="280"/>
    </row>
    <row r="890">
      <c r="Q890" s="280"/>
    </row>
    <row r="891">
      <c r="Q891" s="280"/>
    </row>
    <row r="892">
      <c r="Q892" s="280"/>
    </row>
    <row r="893">
      <c r="Q893" s="280"/>
    </row>
    <row r="894">
      <c r="Q894" s="280"/>
    </row>
    <row r="895">
      <c r="Q895" s="280"/>
    </row>
    <row r="896">
      <c r="Q896" s="280"/>
    </row>
    <row r="897">
      <c r="Q897" s="280"/>
    </row>
    <row r="898">
      <c r="Q898" s="280"/>
    </row>
    <row r="899">
      <c r="Q899" s="280"/>
    </row>
    <row r="900">
      <c r="Q900" s="280"/>
    </row>
    <row r="901">
      <c r="Q901" s="280"/>
    </row>
    <row r="902">
      <c r="Q902" s="280"/>
    </row>
    <row r="903">
      <c r="Q903" s="280"/>
    </row>
    <row r="904">
      <c r="Q904" s="280"/>
    </row>
    <row r="905">
      <c r="Q905" s="280"/>
    </row>
    <row r="906">
      <c r="Q906" s="280"/>
    </row>
    <row r="907">
      <c r="Q907" s="280"/>
    </row>
    <row r="908">
      <c r="Q908" s="280"/>
    </row>
    <row r="909">
      <c r="Q909" s="280"/>
    </row>
    <row r="910">
      <c r="Q910" s="280"/>
    </row>
    <row r="911">
      <c r="Q911" s="280"/>
    </row>
    <row r="912">
      <c r="Q912" s="280"/>
    </row>
    <row r="913">
      <c r="Q913" s="280"/>
    </row>
    <row r="914">
      <c r="Q914" s="280"/>
    </row>
    <row r="915">
      <c r="Q915" s="280"/>
    </row>
    <row r="916">
      <c r="Q916" s="280"/>
    </row>
    <row r="917">
      <c r="Q917" s="280"/>
    </row>
    <row r="918">
      <c r="Q918" s="280"/>
    </row>
    <row r="919">
      <c r="Q919" s="280"/>
    </row>
    <row r="920">
      <c r="Q920" s="280"/>
    </row>
    <row r="921">
      <c r="Q921" s="280"/>
    </row>
    <row r="922">
      <c r="Q922" s="280"/>
    </row>
    <row r="923">
      <c r="Q923" s="280"/>
    </row>
    <row r="924">
      <c r="Q924" s="280"/>
    </row>
    <row r="925">
      <c r="Q925" s="280"/>
    </row>
    <row r="926">
      <c r="Q926" s="280"/>
    </row>
    <row r="927">
      <c r="Q927" s="280"/>
    </row>
    <row r="928">
      <c r="Q928" s="280"/>
    </row>
    <row r="929">
      <c r="Q929" s="280"/>
    </row>
    <row r="930">
      <c r="Q930" s="280"/>
    </row>
    <row r="931">
      <c r="Q931" s="280"/>
    </row>
    <row r="932">
      <c r="Q932" s="280"/>
    </row>
    <row r="933">
      <c r="Q933" s="280"/>
    </row>
    <row r="934">
      <c r="Q934" s="280"/>
    </row>
    <row r="935">
      <c r="Q935" s="280"/>
    </row>
    <row r="936">
      <c r="Q936" s="280"/>
    </row>
    <row r="937">
      <c r="Q937" s="280"/>
    </row>
    <row r="938">
      <c r="Q938" s="280"/>
    </row>
    <row r="939">
      <c r="Q939" s="280"/>
    </row>
    <row r="940">
      <c r="Q940" s="280"/>
    </row>
    <row r="941">
      <c r="Q941" s="280"/>
    </row>
    <row r="942">
      <c r="Q942" s="280"/>
    </row>
    <row r="943">
      <c r="Q943" s="280"/>
    </row>
    <row r="944">
      <c r="Q944" s="280"/>
    </row>
    <row r="945">
      <c r="Q945" s="280"/>
    </row>
    <row r="946">
      <c r="Q946" s="280"/>
    </row>
    <row r="947">
      <c r="Q947" s="280"/>
    </row>
    <row r="948">
      <c r="Q948" s="280"/>
    </row>
    <row r="949">
      <c r="Q949" s="280"/>
    </row>
    <row r="950">
      <c r="Q950" s="280"/>
    </row>
    <row r="951">
      <c r="Q951" s="280"/>
    </row>
    <row r="952">
      <c r="Q952" s="280"/>
    </row>
    <row r="953">
      <c r="Q953" s="280"/>
    </row>
    <row r="954">
      <c r="Q954" s="280"/>
    </row>
    <row r="955">
      <c r="Q955" s="280"/>
    </row>
    <row r="956">
      <c r="Q956" s="280"/>
    </row>
    <row r="957">
      <c r="Q957" s="280"/>
    </row>
    <row r="958">
      <c r="Q958" s="280"/>
    </row>
    <row r="959">
      <c r="Q959" s="280"/>
    </row>
    <row r="960">
      <c r="Q960" s="280"/>
    </row>
    <row r="961">
      <c r="Q961" s="280"/>
    </row>
    <row r="962">
      <c r="Q962" s="280"/>
    </row>
    <row r="963">
      <c r="Q963" s="280"/>
    </row>
    <row r="964">
      <c r="Q964" s="280"/>
    </row>
    <row r="965">
      <c r="Q965" s="280"/>
    </row>
    <row r="966">
      <c r="Q966" s="280"/>
    </row>
    <row r="967">
      <c r="Q967" s="280"/>
    </row>
    <row r="968">
      <c r="Q968" s="280"/>
    </row>
    <row r="969">
      <c r="Q969" s="280"/>
    </row>
    <row r="970">
      <c r="Q970" s="280"/>
    </row>
    <row r="971">
      <c r="Q971" s="280"/>
    </row>
    <row r="972">
      <c r="Q972" s="280"/>
    </row>
    <row r="973">
      <c r="Q973" s="280"/>
    </row>
    <row r="974">
      <c r="Q974" s="280"/>
    </row>
    <row r="975">
      <c r="Q975" s="280"/>
    </row>
    <row r="976">
      <c r="Q976" s="280"/>
    </row>
    <row r="977">
      <c r="Q977" s="280"/>
    </row>
    <row r="978">
      <c r="Q978" s="280"/>
    </row>
    <row r="979">
      <c r="Q979" s="280"/>
    </row>
    <row r="980">
      <c r="Q980" s="280"/>
    </row>
    <row r="981">
      <c r="Q981" s="280"/>
    </row>
    <row r="982">
      <c r="Q982" s="280"/>
    </row>
    <row r="983">
      <c r="Q983" s="280"/>
    </row>
    <row r="984">
      <c r="Q984" s="280"/>
    </row>
    <row r="985">
      <c r="Q985" s="280"/>
    </row>
    <row r="986">
      <c r="Q986" s="280"/>
    </row>
    <row r="987">
      <c r="Q987" s="280"/>
    </row>
    <row r="988">
      <c r="Q988" s="280"/>
    </row>
    <row r="989">
      <c r="Q989" s="280"/>
    </row>
    <row r="990">
      <c r="Q990" s="280"/>
    </row>
    <row r="991">
      <c r="Q991" s="280"/>
    </row>
    <row r="992">
      <c r="Q992" s="280"/>
    </row>
    <row r="993">
      <c r="Q993" s="280"/>
    </row>
    <row r="994">
      <c r="Q994" s="280"/>
    </row>
    <row r="995">
      <c r="Q995" s="280"/>
    </row>
    <row r="996">
      <c r="Q996" s="280"/>
    </row>
    <row r="997">
      <c r="Q997" s="280"/>
    </row>
    <row r="998">
      <c r="Q998" s="280"/>
    </row>
    <row r="999">
      <c r="Q999" s="280"/>
    </row>
    <row r="1000">
      <c r="Q1000" s="280"/>
    </row>
    <row r="1001">
      <c r="Q1001" s="280"/>
    </row>
  </sheetData>
  <mergeCells count="1">
    <mergeCell ref="A1:Q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17</v>
      </c>
      <c r="R2" s="7" t="s">
        <v>18</v>
      </c>
      <c r="S2" s="8" t="s">
        <v>19</v>
      </c>
    </row>
    <row r="3">
      <c r="A3" s="9">
        <v>1.0</v>
      </c>
      <c r="B3" s="9" t="s">
        <v>24</v>
      </c>
      <c r="C3" s="87">
        <v>2.0</v>
      </c>
      <c r="D3" s="87">
        <v>2.0</v>
      </c>
      <c r="E3" s="87">
        <v>2.0</v>
      </c>
      <c r="F3" s="88">
        <v>2.0</v>
      </c>
      <c r="G3" s="88">
        <v>1.0</v>
      </c>
      <c r="H3" s="88">
        <v>2.0</v>
      </c>
      <c r="I3" s="89">
        <v>7.0</v>
      </c>
      <c r="J3" s="89">
        <v>8.0</v>
      </c>
      <c r="K3" s="89">
        <v>5.0</v>
      </c>
      <c r="L3" s="89">
        <v>6.0</v>
      </c>
      <c r="M3" s="89">
        <v>5.0</v>
      </c>
      <c r="N3" s="89">
        <v>4.0</v>
      </c>
      <c r="O3" s="89">
        <v>12.0</v>
      </c>
      <c r="P3" s="89">
        <v>12.0</v>
      </c>
      <c r="Q3" s="23">
        <f t="shared" ref="Q3:Q7" si="1">SUM(C3:P3)</f>
        <v>70</v>
      </c>
      <c r="R3" s="16">
        <f t="shared" ref="R3:R7" si="2">AVERAGE(C3:P3)</f>
        <v>5</v>
      </c>
      <c r="S3" s="17">
        <f t="shared" ref="S3:S20" si="3">Q3/Q$21</f>
        <v>0.162412993</v>
      </c>
    </row>
    <row r="4">
      <c r="A4" s="9">
        <v>2.0</v>
      </c>
      <c r="B4" s="9" t="s">
        <v>73</v>
      </c>
      <c r="C4" s="87">
        <v>3.0</v>
      </c>
      <c r="D4" s="87">
        <v>3.0</v>
      </c>
      <c r="E4" s="87">
        <v>0.0</v>
      </c>
      <c r="F4" s="90">
        <v>2.0</v>
      </c>
      <c r="G4" s="90">
        <v>5.0</v>
      </c>
      <c r="H4" s="90">
        <v>2.0</v>
      </c>
      <c r="I4" s="89">
        <v>5.0</v>
      </c>
      <c r="J4" s="89">
        <v>3.0</v>
      </c>
      <c r="K4" s="89">
        <v>3.0</v>
      </c>
      <c r="L4" s="89">
        <v>2.0</v>
      </c>
      <c r="M4" s="89">
        <v>4.0</v>
      </c>
      <c r="N4" s="89">
        <v>5.0</v>
      </c>
      <c r="O4" s="89">
        <v>4.0</v>
      </c>
      <c r="P4" s="89">
        <v>10.0</v>
      </c>
      <c r="Q4" s="23">
        <f t="shared" si="1"/>
        <v>51</v>
      </c>
      <c r="R4" s="16">
        <f t="shared" si="2"/>
        <v>3.642857143</v>
      </c>
      <c r="S4" s="17">
        <f t="shared" si="3"/>
        <v>0.1183294664</v>
      </c>
    </row>
    <row r="5">
      <c r="A5" s="9">
        <v>3.0</v>
      </c>
      <c r="B5" s="9" t="s">
        <v>74</v>
      </c>
      <c r="C5" s="88">
        <v>6.0</v>
      </c>
      <c r="D5" s="88">
        <v>4.0</v>
      </c>
      <c r="E5" s="88">
        <v>5.0</v>
      </c>
      <c r="F5" s="90">
        <v>1.0</v>
      </c>
      <c r="G5" s="90">
        <v>3.0</v>
      </c>
      <c r="H5" s="90">
        <v>5.0</v>
      </c>
      <c r="I5" s="89">
        <v>4.0</v>
      </c>
      <c r="J5" s="89">
        <v>5.0</v>
      </c>
      <c r="K5" s="89">
        <v>3.0</v>
      </c>
      <c r="L5" s="89">
        <v>3.0</v>
      </c>
      <c r="M5" s="89">
        <v>3.0</v>
      </c>
      <c r="N5" s="89">
        <v>2.0</v>
      </c>
      <c r="O5" s="89">
        <v>2.0</v>
      </c>
      <c r="P5" s="89">
        <v>3.0</v>
      </c>
      <c r="Q5" s="23">
        <f t="shared" si="1"/>
        <v>49</v>
      </c>
      <c r="R5" s="16">
        <f t="shared" si="2"/>
        <v>3.5</v>
      </c>
      <c r="S5" s="17">
        <f t="shared" si="3"/>
        <v>0.1136890951</v>
      </c>
    </row>
    <row r="6">
      <c r="A6" s="9">
        <v>4.0</v>
      </c>
      <c r="B6" s="9" t="s">
        <v>75</v>
      </c>
      <c r="C6" s="88">
        <v>1.0</v>
      </c>
      <c r="D6" s="88">
        <v>1.0</v>
      </c>
      <c r="E6" s="88">
        <v>1.0</v>
      </c>
      <c r="F6" s="87">
        <v>3.0</v>
      </c>
      <c r="G6" s="87">
        <v>1.0</v>
      </c>
      <c r="H6" s="87">
        <v>1.0</v>
      </c>
      <c r="I6" s="89">
        <v>4.0</v>
      </c>
      <c r="J6" s="89">
        <v>2.0</v>
      </c>
      <c r="K6" s="89">
        <v>1.0</v>
      </c>
      <c r="L6" s="89">
        <v>4.0</v>
      </c>
      <c r="M6" s="89">
        <v>9.0</v>
      </c>
      <c r="N6" s="89">
        <v>2.0</v>
      </c>
      <c r="O6" s="89">
        <v>4.0</v>
      </c>
      <c r="P6" s="89">
        <v>7.0</v>
      </c>
      <c r="Q6" s="23">
        <f t="shared" si="1"/>
        <v>41</v>
      </c>
      <c r="R6" s="16">
        <f t="shared" si="2"/>
        <v>2.928571429</v>
      </c>
      <c r="S6" s="17">
        <f t="shared" si="3"/>
        <v>0.09512761021</v>
      </c>
    </row>
    <row r="7">
      <c r="A7" s="9">
        <v>5.0</v>
      </c>
      <c r="B7" s="9" t="s">
        <v>76</v>
      </c>
      <c r="C7" s="91">
        <v>3.0</v>
      </c>
      <c r="D7" s="91">
        <v>0.0</v>
      </c>
      <c r="E7" s="91">
        <v>0.0</v>
      </c>
      <c r="F7" s="88">
        <v>1.0</v>
      </c>
      <c r="G7" s="88">
        <v>2.0</v>
      </c>
      <c r="H7" s="88">
        <v>2.0</v>
      </c>
      <c r="I7" s="89">
        <v>5.0</v>
      </c>
      <c r="J7" s="89">
        <v>1.0</v>
      </c>
      <c r="K7" s="89">
        <v>4.0</v>
      </c>
      <c r="L7" s="89">
        <v>4.0</v>
      </c>
      <c r="M7" s="89">
        <v>3.0</v>
      </c>
      <c r="N7" s="89">
        <v>4.0</v>
      </c>
      <c r="O7" s="89">
        <v>2.0</v>
      </c>
      <c r="P7" s="89">
        <v>2.0</v>
      </c>
      <c r="Q7" s="23">
        <f t="shared" si="1"/>
        <v>33</v>
      </c>
      <c r="R7" s="16">
        <f t="shared" si="2"/>
        <v>2.357142857</v>
      </c>
      <c r="S7" s="17">
        <f t="shared" si="3"/>
        <v>0.07656612529</v>
      </c>
    </row>
    <row r="8">
      <c r="A8" s="9">
        <v>6.0</v>
      </c>
      <c r="B8" s="9" t="s">
        <v>77</v>
      </c>
      <c r="C8" s="87">
        <v>3.0</v>
      </c>
      <c r="D8" s="87">
        <v>1.0</v>
      </c>
      <c r="E8" s="87">
        <v>1.0</v>
      </c>
      <c r="F8" s="87">
        <v>4.0</v>
      </c>
      <c r="G8" s="87">
        <v>3.0</v>
      </c>
      <c r="H8" s="87">
        <v>1.0</v>
      </c>
      <c r="I8" s="89">
        <v>1.0</v>
      </c>
      <c r="J8" s="89">
        <v>0.0</v>
      </c>
      <c r="K8" s="89">
        <v>4.0</v>
      </c>
      <c r="L8" s="89">
        <v>2.0</v>
      </c>
      <c r="M8" s="89">
        <v>3.0</v>
      </c>
      <c r="N8" s="89">
        <v>2.0</v>
      </c>
      <c r="O8" s="89">
        <v>2.0</v>
      </c>
      <c r="P8" s="92"/>
      <c r="Q8" s="23">
        <f>SUM(C8:O8)</f>
        <v>27</v>
      </c>
      <c r="R8" s="16">
        <f>AVERAGE(C8:O8)</f>
        <v>2.076923077</v>
      </c>
      <c r="S8" s="17">
        <f t="shared" si="3"/>
        <v>0.0626450116</v>
      </c>
    </row>
    <row r="9">
      <c r="A9" s="9">
        <v>7.0</v>
      </c>
      <c r="B9" s="9" t="s">
        <v>78</v>
      </c>
      <c r="C9" s="88">
        <v>1.0</v>
      </c>
      <c r="D9" s="88">
        <v>2.0</v>
      </c>
      <c r="E9" s="88">
        <v>6.0</v>
      </c>
      <c r="F9" s="88">
        <v>2.0</v>
      </c>
      <c r="G9" s="88">
        <v>1.0</v>
      </c>
      <c r="H9" s="88">
        <v>1.0</v>
      </c>
      <c r="I9" s="89">
        <v>2.0</v>
      </c>
      <c r="J9" s="89">
        <v>3.0</v>
      </c>
      <c r="K9" s="89">
        <v>2.0</v>
      </c>
      <c r="L9" s="89">
        <v>6.0</v>
      </c>
      <c r="M9" s="89">
        <v>4.0</v>
      </c>
      <c r="N9" s="89">
        <v>4.0</v>
      </c>
      <c r="O9" s="92"/>
      <c r="P9" s="92"/>
      <c r="Q9" s="23">
        <f>SUM(C9:N9)</f>
        <v>34</v>
      </c>
      <c r="R9" s="16">
        <f>AVERAGE(C9:N9)</f>
        <v>2.833333333</v>
      </c>
      <c r="S9" s="17">
        <f t="shared" si="3"/>
        <v>0.0788863109</v>
      </c>
    </row>
    <row r="10">
      <c r="A10" s="9">
        <v>8.0</v>
      </c>
      <c r="B10" s="9" t="s">
        <v>79</v>
      </c>
      <c r="C10" s="91">
        <v>2.0</v>
      </c>
      <c r="D10" s="91">
        <v>3.0</v>
      </c>
      <c r="E10" s="91">
        <v>1.0</v>
      </c>
      <c r="F10" s="87">
        <v>3.0</v>
      </c>
      <c r="G10" s="87">
        <v>1.0</v>
      </c>
      <c r="H10" s="87">
        <v>3.0</v>
      </c>
      <c r="I10" s="89">
        <v>3.0</v>
      </c>
      <c r="J10" s="89">
        <v>5.0</v>
      </c>
      <c r="K10" s="89">
        <v>3.0</v>
      </c>
      <c r="L10" s="89">
        <v>1.0</v>
      </c>
      <c r="M10" s="89">
        <v>3.0</v>
      </c>
      <c r="N10" s="92"/>
      <c r="O10" s="92"/>
      <c r="P10" s="92"/>
      <c r="Q10" s="23">
        <f>SUM(C10:M10)</f>
        <v>28</v>
      </c>
      <c r="R10" s="16">
        <f>AVERAGE(C10:M10)</f>
        <v>2.545454545</v>
      </c>
      <c r="S10" s="17">
        <f t="shared" si="3"/>
        <v>0.06496519722</v>
      </c>
    </row>
    <row r="11">
      <c r="A11" s="9">
        <v>9.0</v>
      </c>
      <c r="B11" s="9" t="s">
        <v>80</v>
      </c>
      <c r="C11" s="87">
        <v>1.0</v>
      </c>
      <c r="D11" s="87">
        <v>1.0</v>
      </c>
      <c r="E11" s="87">
        <v>0.0</v>
      </c>
      <c r="F11" s="90">
        <v>0.0</v>
      </c>
      <c r="G11" s="90">
        <v>0.0</v>
      </c>
      <c r="H11" s="90">
        <v>2.0</v>
      </c>
      <c r="I11" s="89">
        <v>0.0</v>
      </c>
      <c r="J11" s="89">
        <v>1.0</v>
      </c>
      <c r="K11" s="89">
        <v>0.0</v>
      </c>
      <c r="L11" s="89">
        <v>0.0</v>
      </c>
      <c r="M11" s="92"/>
      <c r="N11" s="92"/>
      <c r="O11" s="92"/>
      <c r="P11" s="92"/>
      <c r="Q11" s="23">
        <f>SUM(C11:L11)</f>
        <v>5</v>
      </c>
      <c r="R11" s="16">
        <f>AVERAGE(C11:L11)</f>
        <v>0.5</v>
      </c>
      <c r="S11" s="17">
        <f t="shared" si="3"/>
        <v>0.01160092807</v>
      </c>
    </row>
    <row r="12">
      <c r="A12" s="9">
        <v>10.0</v>
      </c>
      <c r="B12" s="9" t="s">
        <v>81</v>
      </c>
      <c r="C12" s="91">
        <v>0.0</v>
      </c>
      <c r="D12" s="91">
        <v>3.0</v>
      </c>
      <c r="E12" s="91">
        <v>3.0</v>
      </c>
      <c r="F12" s="88">
        <v>3.0</v>
      </c>
      <c r="G12" s="88">
        <v>0.0</v>
      </c>
      <c r="H12" s="88">
        <v>1.0</v>
      </c>
      <c r="I12" s="89">
        <v>5.0</v>
      </c>
      <c r="J12" s="89">
        <v>4.0</v>
      </c>
      <c r="K12" s="89">
        <v>2.0</v>
      </c>
      <c r="L12" s="92"/>
      <c r="M12" s="92"/>
      <c r="N12" s="92"/>
      <c r="O12" s="92"/>
      <c r="P12" s="92"/>
      <c r="Q12" s="23">
        <f>SUM(C12:K12)</f>
        <v>21</v>
      </c>
      <c r="R12" s="16">
        <f>AVERAGE(C12:K12)</f>
        <v>2.333333333</v>
      </c>
      <c r="S12" s="17">
        <f t="shared" si="3"/>
        <v>0.04872389791</v>
      </c>
    </row>
    <row r="13">
      <c r="A13" s="9">
        <v>11.0</v>
      </c>
      <c r="B13" s="9" t="s">
        <v>82</v>
      </c>
      <c r="C13" s="91">
        <v>1.0</v>
      </c>
      <c r="D13" s="91">
        <v>0.0</v>
      </c>
      <c r="E13" s="91">
        <v>1.0</v>
      </c>
      <c r="F13" s="87">
        <v>3.0</v>
      </c>
      <c r="G13" s="87">
        <v>1.0</v>
      </c>
      <c r="H13" s="87">
        <v>1.0</v>
      </c>
      <c r="I13" s="89">
        <v>0.0</v>
      </c>
      <c r="J13" s="89">
        <v>1.0</v>
      </c>
      <c r="K13" s="92"/>
      <c r="L13" s="92"/>
      <c r="M13" s="92"/>
      <c r="N13" s="92"/>
      <c r="O13" s="92"/>
      <c r="P13" s="92"/>
      <c r="Q13" s="23">
        <f>SUM(C13:J13)</f>
        <v>8</v>
      </c>
      <c r="R13" s="16">
        <f>AVERAGE(C13:J13)</f>
        <v>1</v>
      </c>
      <c r="S13" s="17">
        <f t="shared" si="3"/>
        <v>0.01856148492</v>
      </c>
    </row>
    <row r="14">
      <c r="A14" s="9">
        <v>12.0</v>
      </c>
      <c r="B14" s="9" t="s">
        <v>83</v>
      </c>
      <c r="C14" s="91">
        <v>1.0</v>
      </c>
      <c r="D14" s="91">
        <v>0.0</v>
      </c>
      <c r="E14" s="91">
        <v>5.0</v>
      </c>
      <c r="F14" s="88">
        <v>7.0</v>
      </c>
      <c r="G14" s="88">
        <v>1.0</v>
      </c>
      <c r="H14" s="88">
        <v>1.0</v>
      </c>
      <c r="I14" s="89">
        <v>3.0</v>
      </c>
      <c r="J14" s="92"/>
      <c r="K14" s="92"/>
      <c r="L14" s="92"/>
      <c r="M14" s="92"/>
      <c r="N14" s="92"/>
      <c r="O14" s="92"/>
      <c r="P14" s="92"/>
      <c r="Q14" s="23">
        <f>SUM(C14:I14)</f>
        <v>18</v>
      </c>
      <c r="R14" s="16">
        <f>AVERAGE(C14:I14)</f>
        <v>2.571428571</v>
      </c>
      <c r="S14" s="17">
        <f t="shared" si="3"/>
        <v>0.04176334107</v>
      </c>
    </row>
    <row r="15">
      <c r="A15" s="9">
        <v>13.0</v>
      </c>
      <c r="B15" s="9" t="s">
        <v>84</v>
      </c>
      <c r="C15" s="88">
        <v>2.0</v>
      </c>
      <c r="D15" s="88">
        <v>4.0</v>
      </c>
      <c r="E15" s="88">
        <v>3.0</v>
      </c>
      <c r="F15" s="90">
        <v>1.0</v>
      </c>
      <c r="G15" s="90">
        <v>3.0</v>
      </c>
      <c r="H15" s="90">
        <v>3.0</v>
      </c>
      <c r="I15" s="93"/>
      <c r="J15" s="93"/>
      <c r="K15" s="93"/>
      <c r="L15" s="93"/>
      <c r="M15" s="93"/>
      <c r="N15" s="93"/>
      <c r="O15" s="93"/>
      <c r="P15" s="93"/>
      <c r="Q15" s="23">
        <f>SUM(C15:H15)</f>
        <v>16</v>
      </c>
      <c r="R15" s="16">
        <f>AVERAGE(C15:H15)</f>
        <v>2.666666667</v>
      </c>
      <c r="S15" s="17">
        <f t="shared" si="3"/>
        <v>0.03712296984</v>
      </c>
    </row>
    <row r="16">
      <c r="A16" s="9">
        <v>14.0</v>
      </c>
      <c r="B16" s="9" t="s">
        <v>85</v>
      </c>
      <c r="C16" s="91">
        <v>1.0</v>
      </c>
      <c r="D16" s="91">
        <v>0.0</v>
      </c>
      <c r="E16" s="91">
        <v>1.0</v>
      </c>
      <c r="F16" s="90">
        <v>1.0</v>
      </c>
      <c r="G16" s="90">
        <v>4.0</v>
      </c>
      <c r="H16" s="93"/>
      <c r="I16" s="93"/>
      <c r="J16" s="93"/>
      <c r="K16" s="93"/>
      <c r="L16" s="93"/>
      <c r="M16" s="93"/>
      <c r="N16" s="93"/>
      <c r="O16" s="93"/>
      <c r="P16" s="93"/>
      <c r="Q16" s="23">
        <f>SUM(C16:G16)</f>
        <v>7</v>
      </c>
      <c r="R16" s="16">
        <f>AVERAGE(C16:G16)</f>
        <v>1.4</v>
      </c>
      <c r="S16" s="17">
        <f t="shared" si="3"/>
        <v>0.0162412993</v>
      </c>
    </row>
    <row r="17">
      <c r="A17" s="9">
        <v>15.0</v>
      </c>
      <c r="B17" s="9" t="s">
        <v>86</v>
      </c>
      <c r="C17" s="87">
        <v>5.0</v>
      </c>
      <c r="D17" s="87">
        <v>1.0</v>
      </c>
      <c r="E17" s="87">
        <v>2.0</v>
      </c>
      <c r="F17" s="87">
        <v>2.0</v>
      </c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23">
        <f>SUM(C17:F17)</f>
        <v>10</v>
      </c>
      <c r="R17" s="16">
        <f>AVERAGE(C17:F17)</f>
        <v>2.5</v>
      </c>
      <c r="S17" s="17">
        <f t="shared" si="3"/>
        <v>0.02320185615</v>
      </c>
    </row>
    <row r="18">
      <c r="A18" s="9">
        <v>16.0</v>
      </c>
      <c r="B18" s="9" t="s">
        <v>87</v>
      </c>
      <c r="C18" s="88">
        <v>1.0</v>
      </c>
      <c r="D18" s="88">
        <v>2.0</v>
      </c>
      <c r="E18" s="88">
        <v>4.0</v>
      </c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23">
        <f>SUM(C18:E18)</f>
        <v>7</v>
      </c>
      <c r="R18" s="16">
        <f>AVERAGE(C18:E18)</f>
        <v>2.333333333</v>
      </c>
      <c r="S18" s="17">
        <f t="shared" si="3"/>
        <v>0.0162412993</v>
      </c>
    </row>
    <row r="19">
      <c r="A19" s="9">
        <v>17.0</v>
      </c>
      <c r="B19" s="9" t="s">
        <v>88</v>
      </c>
      <c r="C19" s="88">
        <v>0.0</v>
      </c>
      <c r="D19" s="88">
        <v>4.0</v>
      </c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23">
        <f t="shared" ref="Q19:Q20" si="4">SUM(C19:P19)</f>
        <v>4</v>
      </c>
      <c r="R19" s="16">
        <f>AVERAGE(C19:D19)</f>
        <v>2</v>
      </c>
      <c r="S19" s="17">
        <f t="shared" si="3"/>
        <v>0.009280742459</v>
      </c>
    </row>
    <row r="20">
      <c r="A20" s="9">
        <v>18.0</v>
      </c>
      <c r="B20" s="9" t="s">
        <v>89</v>
      </c>
      <c r="C20" s="87">
        <v>2.0</v>
      </c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23">
        <f t="shared" si="4"/>
        <v>2</v>
      </c>
      <c r="R20" s="16">
        <f>AVERAGE(C20)</f>
        <v>2</v>
      </c>
      <c r="S20" s="17">
        <f t="shared" si="3"/>
        <v>0.00464037123</v>
      </c>
    </row>
    <row r="21">
      <c r="A21" s="4" t="s">
        <v>40</v>
      </c>
      <c r="B21" s="3"/>
      <c r="C21" s="23">
        <f>SUM(C3:C20)</f>
        <v>35</v>
      </c>
      <c r="D21" s="23">
        <f>SUM(D3:D19)</f>
        <v>31</v>
      </c>
      <c r="E21" s="23">
        <f>SUM(E3:E18)</f>
        <v>35</v>
      </c>
      <c r="F21" s="23">
        <f>SUM(F3:F17)</f>
        <v>35</v>
      </c>
      <c r="G21" s="23">
        <f>SUM(G3:G16)</f>
        <v>26</v>
      </c>
      <c r="H21" s="23">
        <f>SUM(H3:H15)</f>
        <v>25</v>
      </c>
      <c r="I21" s="23">
        <f>SUM(I3:I14)</f>
        <v>39</v>
      </c>
      <c r="J21" s="23">
        <f>SUM(J3:J13)</f>
        <v>33</v>
      </c>
      <c r="K21" s="23">
        <f>SUM(K3:K12)</f>
        <v>27</v>
      </c>
      <c r="L21" s="23">
        <f>SUM(L3:L11)</f>
        <v>28</v>
      </c>
      <c r="M21" s="23">
        <f>SUM(M3:M10)</f>
        <v>34</v>
      </c>
      <c r="N21" s="23">
        <f>SUM(N3:N9)</f>
        <v>23</v>
      </c>
      <c r="O21" s="23">
        <f>SUM(O3:O8)</f>
        <v>26</v>
      </c>
      <c r="P21" s="23">
        <f>SUM(P3:P7)</f>
        <v>34</v>
      </c>
      <c r="Q21" s="23">
        <f>SUM(Q3:Q20)</f>
        <v>431</v>
      </c>
      <c r="R21" s="16"/>
      <c r="S21" s="82"/>
    </row>
    <row r="22">
      <c r="A22" s="35" t="s">
        <v>18</v>
      </c>
      <c r="B22" s="3"/>
      <c r="C22" s="36">
        <f>AVERAGE(C3:C20)</f>
        <v>1.944444444</v>
      </c>
      <c r="D22" s="36">
        <f>AVERAGE(D3:D19)</f>
        <v>1.823529412</v>
      </c>
      <c r="E22" s="36">
        <f>AVERAGE(E3:E18)</f>
        <v>2.1875</v>
      </c>
      <c r="F22" s="36">
        <f>AVERAGE(F3:F17)</f>
        <v>2.333333333</v>
      </c>
      <c r="G22" s="36">
        <f>AVERAGE(G3:G16)</f>
        <v>1.857142857</v>
      </c>
      <c r="H22" s="36">
        <f>AVERAGE(H3:H15)</f>
        <v>1.923076923</v>
      </c>
      <c r="I22" s="36">
        <f>AVERAGE(I3:I14)</f>
        <v>3.25</v>
      </c>
      <c r="J22" s="36">
        <f>AVERAGE(J3:J13)</f>
        <v>3</v>
      </c>
      <c r="K22" s="36">
        <f>AVERAGE(K3:K12)</f>
        <v>2.7</v>
      </c>
      <c r="L22" s="36">
        <f>AVERAGE(L3:L11)</f>
        <v>3.111111111</v>
      </c>
      <c r="M22" s="36">
        <f>AVERAGE(M3:M10)</f>
        <v>4.25</v>
      </c>
      <c r="N22" s="36">
        <f>AVERAGE(N3:N9)</f>
        <v>3.285714286</v>
      </c>
      <c r="O22" s="36">
        <f>AVERAGE(O3:O8)</f>
        <v>4.333333333</v>
      </c>
      <c r="P22" s="36">
        <f>AVERAGE(P3:P7)</f>
        <v>6.8</v>
      </c>
      <c r="Q22" s="36"/>
      <c r="R22" s="16"/>
      <c r="S22" s="16"/>
    </row>
    <row r="23">
      <c r="A23" s="4" t="s">
        <v>41</v>
      </c>
      <c r="B23" s="3"/>
      <c r="C23" s="40" t="str">
        <f>HYPERLINK("https://docs.google.com/document/d/10VlcldzB0CxmaKHWk95x3Rtw197KseHvkBFIazsvZ6U/edit?usp=sharing","Link")</f>
        <v>Link</v>
      </c>
      <c r="D23" s="40" t="str">
        <f>HYPERLINK("https://docs.google.com/document/d/1E7xA0E5poxAGe0YO0mOgjFieW1-67WZndgJnFq3dcVA/edit?usp=sharing","Link")</f>
        <v>Link</v>
      </c>
      <c r="E23" s="40" t="str">
        <f>HYPERLINK("https://docs.google.com/document/d/1PwCv7Y7NHKM_rukV6AoQR9CfTES49whmhcTQK-BiJEY/edit?usp=sharing","Link")</f>
        <v>Link</v>
      </c>
      <c r="F23" s="40" t="str">
        <f>HYPERLINK("https://docs.google.com/document/d/1MFM3Y4gyynJmv_ekmkwWm7VJvcKzZnL5jPEQxJWYkXE/edit?usp=sharing","Link")</f>
        <v>Link</v>
      </c>
      <c r="G23" s="40" t="str">
        <f>HYPERLINK("https://docs.google.com/document/d/1lSYVnW5yWbAgnQaj4aK9BiWFV1w4HB1yYKsIoLv25NQ/edit?usp=sharing","Link")</f>
        <v>Link</v>
      </c>
      <c r="H23" s="40" t="str">
        <f>HYPERLINK("https://docs.google.com/document/d/1R8bTofaTKGjiPb9kUFzV9jfdmVH7kwt1OWQYrH4LkR0/edit?usp=sharing","Link")</f>
        <v>Link</v>
      </c>
      <c r="I23" s="40" t="str">
        <f>HYPERLINK("https://docs.google.com/document/d/1VDO9Aqqg8JJ69ftJvQw35r_rRMsEbBy4Vp9PhZBi-YU/edit?usp=sharing","Link")</f>
        <v>Link</v>
      </c>
      <c r="J23" s="40" t="str">
        <f>HYPERLINK("https://docs.google.com/document/d/1FfLLyrhIjfE4lVUapwSaBWerUUJcatCR5i8eT5CizvE/edit?usp=sharing","Link")</f>
        <v>Link</v>
      </c>
      <c r="K23" s="40" t="str">
        <f>HYPERLINK("https://docs.google.com/document/d/1qbEJ2d8XhUpBFnlATBTIPhSTNjBagOuHNclDVokn-pA/edit?usp=sharing","Link")</f>
        <v>Link</v>
      </c>
      <c r="L23" s="40" t="str">
        <f>HYPERLINK("https://docs.google.com/document/d/1u_ShgYrcW0qL3uFIwjr18Ix5CHIoStslePGj1lPQrGs/edit?usp=sharing","Link")</f>
        <v>Link</v>
      </c>
      <c r="M23" s="40" t="str">
        <f>HYPERLINK("https://docs.google.com/document/d/1Gc7mSH6mwFigR3VbcitneTEnU5sMNx9YWI69GZWQlVs/edit?usp=sharing","Link")</f>
        <v>Link</v>
      </c>
      <c r="N23" s="40" t="str">
        <f>HYPERLINK("https://docs.google.com/document/d/1eaEGuVp3L2rGA2lZ5Q3eFmOYNLPzNPM29FmG43zPxP4/edit?usp=sharing","Link")</f>
        <v>Link</v>
      </c>
      <c r="O23" s="40" t="str">
        <f>HYPERLINK("https://docs.google.com/document/d/10HvkwujbJY3M3ikuTqTxjV-Ke52MFRZTWqCr2mMueQU/edit?usp=sharing","Link")</f>
        <v>Link</v>
      </c>
      <c r="P23" s="40" t="str">
        <f>HYPERLINK("https://drive.google.com/open?id=1WfjZ6uf9tB4iJRIwnwBfl47qfwfhJpD6idgnQBevCTE","Link")</f>
        <v>Link</v>
      </c>
      <c r="Q23" s="83" t="str">
        <f>HYPERLINK("https://docs.google.com/document/d/14Xon8KTz2kz8Qp7GZlVTnAwWdN6E--uYMxp50VvstCk/edit?usp=sharing","Season Transcript")</f>
        <v>Season Transcript</v>
      </c>
      <c r="R23" s="3"/>
      <c r="S23" s="82"/>
    </row>
    <row r="24"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  <c r="S24" s="44"/>
    </row>
    <row r="25">
      <c r="A25" s="94" t="s">
        <v>90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48"/>
    </row>
    <row r="26">
      <c r="A26" s="95" t="s">
        <v>91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48"/>
    </row>
    <row r="27">
      <c r="A27" s="96" t="s">
        <v>92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48"/>
    </row>
    <row r="28">
      <c r="A28" s="97" t="s">
        <v>93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48"/>
    </row>
  </sheetData>
  <mergeCells count="11">
    <mergeCell ref="A25:B25"/>
    <mergeCell ref="A26:B26"/>
    <mergeCell ref="A27:B27"/>
    <mergeCell ref="A28:B28"/>
    <mergeCell ref="A1:S1"/>
    <mergeCell ref="A2:B2"/>
    <mergeCell ref="A21:B21"/>
    <mergeCell ref="A22:B22"/>
    <mergeCell ref="A23:B23"/>
    <mergeCell ref="Q23:R23"/>
    <mergeCell ref="A24:B24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17</v>
      </c>
      <c r="R2" s="7" t="s">
        <v>18</v>
      </c>
      <c r="S2" s="8" t="s">
        <v>19</v>
      </c>
    </row>
    <row r="3">
      <c r="A3" s="9">
        <v>1.0</v>
      </c>
      <c r="B3" s="9" t="s">
        <v>23</v>
      </c>
      <c r="C3" s="98">
        <v>1.0</v>
      </c>
      <c r="D3" s="98">
        <v>1.0</v>
      </c>
      <c r="E3" s="99">
        <v>0.0</v>
      </c>
      <c r="F3" s="99">
        <v>0.0</v>
      </c>
      <c r="G3" s="99">
        <v>2.0</v>
      </c>
      <c r="H3" s="98">
        <v>1.0</v>
      </c>
      <c r="I3" s="98">
        <v>3.0</v>
      </c>
      <c r="J3" s="100">
        <v>1.0</v>
      </c>
      <c r="K3" s="100">
        <v>2.0</v>
      </c>
      <c r="L3" s="100">
        <v>11.0</v>
      </c>
      <c r="M3" s="100">
        <v>7.0</v>
      </c>
      <c r="N3" s="100">
        <v>3.0</v>
      </c>
      <c r="O3" s="100">
        <v>4.0</v>
      </c>
      <c r="P3" s="100">
        <v>9.0</v>
      </c>
      <c r="Q3" s="23">
        <f t="shared" ref="Q3:Q8" si="1">SUM(C3:P3)</f>
        <v>45</v>
      </c>
      <c r="R3" s="16">
        <f t="shared" ref="R3:R8" si="2">AVERAGE(C3:P3)</f>
        <v>3.214285714</v>
      </c>
      <c r="S3" s="17">
        <f t="shared" ref="S3:S22" si="3">Q3/Q$23</f>
        <v>0.109223301</v>
      </c>
    </row>
    <row r="4">
      <c r="A4" s="9">
        <v>2.0</v>
      </c>
      <c r="B4" s="9" t="s">
        <v>95</v>
      </c>
      <c r="C4" s="98">
        <v>2.0</v>
      </c>
      <c r="D4" s="98">
        <v>0.0</v>
      </c>
      <c r="E4" s="101">
        <v>3.0</v>
      </c>
      <c r="F4" s="101">
        <v>1.0</v>
      </c>
      <c r="G4" s="101">
        <v>1.0</v>
      </c>
      <c r="H4" s="101">
        <v>2.0</v>
      </c>
      <c r="I4" s="101">
        <v>2.0</v>
      </c>
      <c r="J4" s="100">
        <v>3.0</v>
      </c>
      <c r="K4" s="100">
        <v>1.0</v>
      </c>
      <c r="L4" s="100">
        <v>2.0</v>
      </c>
      <c r="M4" s="100">
        <v>3.0</v>
      </c>
      <c r="N4" s="100">
        <v>3.0</v>
      </c>
      <c r="O4" s="100">
        <v>1.0</v>
      </c>
      <c r="P4" s="100">
        <v>7.0</v>
      </c>
      <c r="Q4" s="23">
        <f t="shared" si="1"/>
        <v>31</v>
      </c>
      <c r="R4" s="16">
        <f t="shared" si="2"/>
        <v>2.214285714</v>
      </c>
      <c r="S4" s="17">
        <f t="shared" si="3"/>
        <v>0.07524271845</v>
      </c>
    </row>
    <row r="5">
      <c r="A5" s="9">
        <v>3.0</v>
      </c>
      <c r="B5" s="9" t="s">
        <v>96</v>
      </c>
      <c r="C5" s="101">
        <v>1.0</v>
      </c>
      <c r="D5" s="101">
        <v>0.0</v>
      </c>
      <c r="E5" s="99">
        <v>4.0</v>
      </c>
      <c r="F5" s="99">
        <v>0.0</v>
      </c>
      <c r="G5" s="99">
        <v>1.0</v>
      </c>
      <c r="H5" s="101">
        <v>2.0</v>
      </c>
      <c r="I5" s="101">
        <v>0.0</v>
      </c>
      <c r="J5" s="100">
        <v>0.0</v>
      </c>
      <c r="K5" s="100">
        <v>0.0</v>
      </c>
      <c r="L5" s="100">
        <v>1.0</v>
      </c>
      <c r="M5" s="100">
        <v>0.0</v>
      </c>
      <c r="N5" s="100">
        <v>0.0</v>
      </c>
      <c r="O5" s="100">
        <v>1.0</v>
      </c>
      <c r="P5" s="100">
        <v>4.0</v>
      </c>
      <c r="Q5" s="23">
        <f t="shared" si="1"/>
        <v>14</v>
      </c>
      <c r="R5" s="16">
        <f t="shared" si="2"/>
        <v>1</v>
      </c>
      <c r="S5" s="17">
        <f t="shared" si="3"/>
        <v>0.03398058252</v>
      </c>
    </row>
    <row r="6">
      <c r="A6" s="9">
        <v>4.0</v>
      </c>
      <c r="B6" s="9" t="s">
        <v>97</v>
      </c>
      <c r="C6" s="98">
        <v>1.0</v>
      </c>
      <c r="D6" s="98">
        <v>1.0</v>
      </c>
      <c r="E6" s="101">
        <v>2.0</v>
      </c>
      <c r="F6" s="101">
        <v>2.0</v>
      </c>
      <c r="G6" s="101">
        <v>4.0</v>
      </c>
      <c r="H6" s="98">
        <v>6.0</v>
      </c>
      <c r="I6" s="98">
        <v>2.0</v>
      </c>
      <c r="J6" s="100">
        <v>1.0</v>
      </c>
      <c r="K6" s="100">
        <v>1.0</v>
      </c>
      <c r="L6" s="100">
        <v>0.0</v>
      </c>
      <c r="M6" s="100">
        <v>1.0</v>
      </c>
      <c r="N6" s="100">
        <v>1.0</v>
      </c>
      <c r="O6" s="100">
        <v>2.0</v>
      </c>
      <c r="P6" s="100">
        <v>7.0</v>
      </c>
      <c r="Q6" s="23">
        <f t="shared" si="1"/>
        <v>31</v>
      </c>
      <c r="R6" s="16">
        <f t="shared" si="2"/>
        <v>2.214285714</v>
      </c>
      <c r="S6" s="17">
        <f t="shared" si="3"/>
        <v>0.07524271845</v>
      </c>
    </row>
    <row r="7">
      <c r="A7" s="9">
        <v>5.0</v>
      </c>
      <c r="B7" s="9" t="s">
        <v>98</v>
      </c>
      <c r="C7" s="101">
        <v>1.0</v>
      </c>
      <c r="D7" s="101">
        <v>1.0</v>
      </c>
      <c r="E7" s="98">
        <v>0.0</v>
      </c>
      <c r="F7" s="98">
        <v>1.0</v>
      </c>
      <c r="G7" s="98">
        <v>1.0</v>
      </c>
      <c r="H7" s="101">
        <v>2.0</v>
      </c>
      <c r="I7" s="101">
        <v>2.0</v>
      </c>
      <c r="J7" s="100">
        <v>1.0</v>
      </c>
      <c r="K7" s="100">
        <v>1.0</v>
      </c>
      <c r="L7" s="100">
        <v>1.0</v>
      </c>
      <c r="M7" s="100">
        <v>2.0</v>
      </c>
      <c r="N7" s="100">
        <v>0.0</v>
      </c>
      <c r="O7" s="100">
        <v>4.0</v>
      </c>
      <c r="P7" s="100">
        <v>3.0</v>
      </c>
      <c r="Q7" s="23">
        <f t="shared" si="1"/>
        <v>20</v>
      </c>
      <c r="R7" s="16">
        <f t="shared" si="2"/>
        <v>1.428571429</v>
      </c>
      <c r="S7" s="17">
        <f t="shared" si="3"/>
        <v>0.04854368932</v>
      </c>
    </row>
    <row r="8">
      <c r="A8" s="9">
        <v>6.0</v>
      </c>
      <c r="B8" s="9" t="s">
        <v>99</v>
      </c>
      <c r="C8" s="98">
        <v>4.0</v>
      </c>
      <c r="D8" s="98">
        <v>1.0</v>
      </c>
      <c r="E8" s="99">
        <v>1.0</v>
      </c>
      <c r="F8" s="99">
        <v>1.0</v>
      </c>
      <c r="G8" s="99">
        <v>0.0</v>
      </c>
      <c r="H8" s="101">
        <v>0.0</v>
      </c>
      <c r="I8" s="101">
        <v>1.0</v>
      </c>
      <c r="J8" s="100">
        <v>9.0</v>
      </c>
      <c r="K8" s="100">
        <v>4.0</v>
      </c>
      <c r="L8" s="100">
        <v>3.0</v>
      </c>
      <c r="M8" s="100">
        <v>2.0</v>
      </c>
      <c r="N8" s="100">
        <v>2.0</v>
      </c>
      <c r="O8" s="100">
        <v>8.0</v>
      </c>
      <c r="P8" s="100">
        <v>3.0</v>
      </c>
      <c r="Q8" s="23">
        <f t="shared" si="1"/>
        <v>39</v>
      </c>
      <c r="R8" s="16">
        <f t="shared" si="2"/>
        <v>2.785714286</v>
      </c>
      <c r="S8" s="17">
        <f t="shared" si="3"/>
        <v>0.09466019417</v>
      </c>
    </row>
    <row r="9">
      <c r="A9" s="9">
        <v>7.0</v>
      </c>
      <c r="B9" s="9" t="s">
        <v>100</v>
      </c>
      <c r="C9" s="101">
        <v>4.0</v>
      </c>
      <c r="D9" s="101">
        <v>3.0</v>
      </c>
      <c r="E9" s="98">
        <v>1.0</v>
      </c>
      <c r="F9" s="98">
        <v>0.0</v>
      </c>
      <c r="G9" s="98">
        <v>3.0</v>
      </c>
      <c r="H9" s="101">
        <v>0.0</v>
      </c>
      <c r="I9" s="101">
        <v>0.0</v>
      </c>
      <c r="J9" s="100">
        <v>3.0</v>
      </c>
      <c r="K9" s="100">
        <v>2.0</v>
      </c>
      <c r="L9" s="100">
        <v>0.0</v>
      </c>
      <c r="M9" s="100">
        <v>1.0</v>
      </c>
      <c r="N9" s="100">
        <v>5.0</v>
      </c>
      <c r="O9" s="100">
        <v>2.0</v>
      </c>
      <c r="P9" s="93"/>
      <c r="Q9" s="23">
        <f t="shared" ref="Q9:Q10" si="4">SUM(C9:O9)</f>
        <v>24</v>
      </c>
      <c r="R9" s="16">
        <f t="shared" ref="R9:R10" si="5">AVERAGE(C9:O9)</f>
        <v>1.846153846</v>
      </c>
      <c r="S9" s="17">
        <f t="shared" si="3"/>
        <v>0.05825242718</v>
      </c>
    </row>
    <row r="10">
      <c r="A10" s="9">
        <v>8.0</v>
      </c>
      <c r="B10" s="9" t="s">
        <v>101</v>
      </c>
      <c r="C10" s="98">
        <v>1.0</v>
      </c>
      <c r="D10" s="98">
        <v>0.0</v>
      </c>
      <c r="E10" s="99">
        <v>1.0</v>
      </c>
      <c r="F10" s="99">
        <v>1.0</v>
      </c>
      <c r="G10" s="99">
        <v>0.0</v>
      </c>
      <c r="H10" s="98">
        <v>1.0</v>
      </c>
      <c r="I10" s="98">
        <v>0.0</v>
      </c>
      <c r="J10" s="100">
        <v>1.0</v>
      </c>
      <c r="K10" s="100">
        <v>3.0</v>
      </c>
      <c r="L10" s="100">
        <v>2.0</v>
      </c>
      <c r="M10" s="100">
        <v>3.0</v>
      </c>
      <c r="N10" s="100">
        <v>2.0</v>
      </c>
      <c r="O10" s="100">
        <v>3.0</v>
      </c>
      <c r="P10" s="93"/>
      <c r="Q10" s="23">
        <f t="shared" si="4"/>
        <v>18</v>
      </c>
      <c r="R10" s="16">
        <f t="shared" si="5"/>
        <v>1.384615385</v>
      </c>
      <c r="S10" s="17">
        <f t="shared" si="3"/>
        <v>0.04368932039</v>
      </c>
    </row>
    <row r="11">
      <c r="A11" s="9">
        <v>9.0</v>
      </c>
      <c r="B11" s="9" t="s">
        <v>102</v>
      </c>
      <c r="C11" s="98">
        <v>2.0</v>
      </c>
      <c r="D11" s="98">
        <v>0.0</v>
      </c>
      <c r="E11" s="101">
        <v>1.0</v>
      </c>
      <c r="F11" s="101">
        <v>1.0</v>
      </c>
      <c r="G11" s="101">
        <v>0.0</v>
      </c>
      <c r="H11" s="101">
        <v>0.0</v>
      </c>
      <c r="I11" s="101">
        <v>1.0</v>
      </c>
      <c r="J11" s="100">
        <v>7.0</v>
      </c>
      <c r="K11" s="100">
        <v>1.0</v>
      </c>
      <c r="L11" s="100">
        <v>3.0</v>
      </c>
      <c r="M11" s="100">
        <v>3.0</v>
      </c>
      <c r="N11" s="100">
        <v>4.0</v>
      </c>
      <c r="O11" s="93"/>
      <c r="P11" s="93"/>
      <c r="Q11" s="23">
        <f>SUM(C11:N11)</f>
        <v>23</v>
      </c>
      <c r="R11" s="16">
        <f>AVERAGE(C11:N11)</f>
        <v>1.916666667</v>
      </c>
      <c r="S11" s="17">
        <f t="shared" si="3"/>
        <v>0.05582524272</v>
      </c>
    </row>
    <row r="12">
      <c r="A12" s="9">
        <v>10.0</v>
      </c>
      <c r="B12" s="9" t="s">
        <v>103</v>
      </c>
      <c r="C12" s="98">
        <v>1.0</v>
      </c>
      <c r="D12" s="98">
        <v>2.0</v>
      </c>
      <c r="E12" s="99">
        <v>1.0</v>
      </c>
      <c r="F12" s="99">
        <v>0.0</v>
      </c>
      <c r="G12" s="99">
        <v>0.0</v>
      </c>
      <c r="H12" s="98">
        <v>5.0</v>
      </c>
      <c r="I12" s="98">
        <v>1.0</v>
      </c>
      <c r="J12" s="100">
        <v>4.0</v>
      </c>
      <c r="K12" s="100">
        <v>6.0</v>
      </c>
      <c r="L12" s="100">
        <v>2.0</v>
      </c>
      <c r="M12" s="100">
        <v>3.0</v>
      </c>
      <c r="N12" s="93"/>
      <c r="O12" s="93"/>
      <c r="P12" s="93"/>
      <c r="Q12" s="23">
        <f>SUM(C12:M12)</f>
        <v>25</v>
      </c>
      <c r="R12" s="16">
        <f>AVERAGE(C12:M12)</f>
        <v>2.272727273</v>
      </c>
      <c r="S12" s="17">
        <f t="shared" si="3"/>
        <v>0.06067961165</v>
      </c>
    </row>
    <row r="13">
      <c r="A13" s="9">
        <v>11.0</v>
      </c>
      <c r="B13" s="9" t="s">
        <v>104</v>
      </c>
      <c r="C13" s="98">
        <v>1.0</v>
      </c>
      <c r="D13" s="98">
        <v>3.0</v>
      </c>
      <c r="E13" s="101">
        <v>2.0</v>
      </c>
      <c r="F13" s="101">
        <v>2.0</v>
      </c>
      <c r="G13" s="101">
        <v>5.0</v>
      </c>
      <c r="H13" s="102">
        <v>7.0</v>
      </c>
      <c r="I13" s="98">
        <v>2.0</v>
      </c>
      <c r="J13" s="100">
        <v>3.0</v>
      </c>
      <c r="K13" s="100">
        <v>2.0</v>
      </c>
      <c r="L13" s="100">
        <v>5.0</v>
      </c>
      <c r="M13" s="93"/>
      <c r="N13" s="93"/>
      <c r="O13" s="93"/>
      <c r="P13" s="93"/>
      <c r="Q13" s="23">
        <f>SUM(C13:L13)</f>
        <v>32</v>
      </c>
      <c r="R13" s="16">
        <f>AVERAGE(C13:L13)</f>
        <v>3.2</v>
      </c>
      <c r="S13" s="17">
        <f t="shared" si="3"/>
        <v>0.07766990291</v>
      </c>
    </row>
    <row r="14">
      <c r="A14" s="9">
        <v>12.0</v>
      </c>
      <c r="B14" s="9" t="s">
        <v>105</v>
      </c>
      <c r="C14" s="98">
        <v>1.0</v>
      </c>
      <c r="D14" s="98">
        <v>0.0</v>
      </c>
      <c r="E14" s="99">
        <v>2.0</v>
      </c>
      <c r="F14" s="99">
        <v>1.0</v>
      </c>
      <c r="G14" s="99">
        <v>0.0</v>
      </c>
      <c r="H14" s="98">
        <v>1.0</v>
      </c>
      <c r="I14" s="98">
        <v>1.0</v>
      </c>
      <c r="J14" s="100">
        <v>0.0</v>
      </c>
      <c r="K14" s="100">
        <v>2.0</v>
      </c>
      <c r="L14" s="93"/>
      <c r="M14" s="93"/>
      <c r="N14" s="93"/>
      <c r="O14" s="93"/>
      <c r="P14" s="93"/>
      <c r="Q14" s="23">
        <f>SUM(C14:K14)</f>
        <v>8</v>
      </c>
      <c r="R14" s="16">
        <f>AVERAGE(C14:K14)</f>
        <v>0.8888888889</v>
      </c>
      <c r="S14" s="17">
        <f t="shared" si="3"/>
        <v>0.01941747573</v>
      </c>
    </row>
    <row r="15">
      <c r="A15" s="9">
        <v>13.0</v>
      </c>
      <c r="B15" s="9" t="s">
        <v>106</v>
      </c>
      <c r="C15" s="101">
        <v>1.0</v>
      </c>
      <c r="D15" s="101">
        <v>0.0</v>
      </c>
      <c r="E15" s="101">
        <v>2.0</v>
      </c>
      <c r="F15" s="101">
        <v>2.0</v>
      </c>
      <c r="G15" s="101">
        <v>1.0</v>
      </c>
      <c r="H15" s="101">
        <v>0.0</v>
      </c>
      <c r="I15" s="101">
        <v>0.0</v>
      </c>
      <c r="J15" s="100">
        <v>3.0</v>
      </c>
      <c r="K15" s="93"/>
      <c r="L15" s="93"/>
      <c r="M15" s="93"/>
      <c r="N15" s="93"/>
      <c r="O15" s="93"/>
      <c r="P15" s="93"/>
      <c r="Q15" s="23">
        <f>SUM(C15:J15)</f>
        <v>9</v>
      </c>
      <c r="R15" s="16">
        <f>AVERAGE(C15:J15)</f>
        <v>1.125</v>
      </c>
      <c r="S15" s="17">
        <f t="shared" si="3"/>
        <v>0.02184466019</v>
      </c>
    </row>
    <row r="16">
      <c r="A16" s="9">
        <v>14.0</v>
      </c>
      <c r="B16" s="9" t="s">
        <v>107</v>
      </c>
      <c r="C16" s="101">
        <v>2.0</v>
      </c>
      <c r="D16" s="101">
        <v>2.0</v>
      </c>
      <c r="E16" s="98">
        <v>3.0</v>
      </c>
      <c r="F16" s="98">
        <v>1.0</v>
      </c>
      <c r="G16" s="98">
        <v>2.0</v>
      </c>
      <c r="H16" s="98">
        <v>4.0</v>
      </c>
      <c r="I16" s="98">
        <v>7.0</v>
      </c>
      <c r="J16" s="92"/>
      <c r="K16" s="92"/>
      <c r="L16" s="92"/>
      <c r="M16" s="92"/>
      <c r="N16" s="92"/>
      <c r="O16" s="92"/>
      <c r="P16" s="92"/>
      <c r="Q16" s="23">
        <f>SUM(C16:I16)</f>
        <v>21</v>
      </c>
      <c r="R16" s="16">
        <f>AVERAGE(C16:I16)</f>
        <v>3</v>
      </c>
      <c r="S16" s="17">
        <f t="shared" si="3"/>
        <v>0.05097087379</v>
      </c>
    </row>
    <row r="17">
      <c r="A17" s="9">
        <v>15.0</v>
      </c>
      <c r="B17" s="9" t="s">
        <v>34</v>
      </c>
      <c r="C17" s="101">
        <v>3.0</v>
      </c>
      <c r="D17" s="101">
        <v>6.0</v>
      </c>
      <c r="E17" s="98">
        <v>2.0</v>
      </c>
      <c r="F17" s="98">
        <v>2.0</v>
      </c>
      <c r="G17" s="98">
        <v>3.0</v>
      </c>
      <c r="H17" s="98">
        <v>5.0</v>
      </c>
      <c r="I17" s="92"/>
      <c r="J17" s="92"/>
      <c r="K17" s="92"/>
      <c r="L17" s="92"/>
      <c r="M17" s="92"/>
      <c r="N17" s="92"/>
      <c r="O17" s="92"/>
      <c r="P17" s="92"/>
      <c r="Q17" s="23">
        <f>SUM(C17:H17)</f>
        <v>21</v>
      </c>
      <c r="R17" s="16">
        <f>AVERAGE(C17:H17)</f>
        <v>3.5</v>
      </c>
      <c r="S17" s="17">
        <f t="shared" si="3"/>
        <v>0.05097087379</v>
      </c>
    </row>
    <row r="18">
      <c r="A18" s="9">
        <v>16.0</v>
      </c>
      <c r="B18" s="9" t="s">
        <v>108</v>
      </c>
      <c r="C18" s="98">
        <v>0.0</v>
      </c>
      <c r="D18" s="98">
        <v>1.0</v>
      </c>
      <c r="E18" s="98">
        <v>8.0</v>
      </c>
      <c r="F18" s="98">
        <v>2.0</v>
      </c>
      <c r="G18" s="98">
        <v>8.0</v>
      </c>
      <c r="H18" s="92"/>
      <c r="I18" s="92"/>
      <c r="J18" s="92"/>
      <c r="K18" s="92"/>
      <c r="L18" s="92"/>
      <c r="M18" s="92"/>
      <c r="N18" s="92"/>
      <c r="O18" s="92"/>
      <c r="P18" s="92"/>
      <c r="Q18" s="23">
        <f>SUM(C18:G18)</f>
        <v>19</v>
      </c>
      <c r="R18" s="16">
        <f>AVERAGE(C18:G18)</f>
        <v>3.8</v>
      </c>
      <c r="S18" s="17">
        <f t="shared" si="3"/>
        <v>0.04611650485</v>
      </c>
    </row>
    <row r="19">
      <c r="A19" s="9">
        <v>17.0</v>
      </c>
      <c r="B19" s="9" t="s">
        <v>109</v>
      </c>
      <c r="C19" s="101">
        <v>3.0</v>
      </c>
      <c r="D19" s="101">
        <v>2.0</v>
      </c>
      <c r="E19" s="98">
        <v>4.0</v>
      </c>
      <c r="F19" s="98">
        <v>1.0</v>
      </c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23">
        <f>SUM(C19:F19)</f>
        <v>10</v>
      </c>
      <c r="R19" s="16">
        <f>AVERAGE(C19:F19)</f>
        <v>2.5</v>
      </c>
      <c r="S19" s="17">
        <f t="shared" si="3"/>
        <v>0.02427184466</v>
      </c>
    </row>
    <row r="20">
      <c r="A20" s="9">
        <v>18.0</v>
      </c>
      <c r="B20" s="9" t="s">
        <v>110</v>
      </c>
      <c r="C20" s="101">
        <v>1.0</v>
      </c>
      <c r="D20" s="101">
        <v>4.0</v>
      </c>
      <c r="E20" s="101">
        <v>2.0</v>
      </c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23">
        <f>SUM(C20:E20)</f>
        <v>7</v>
      </c>
      <c r="R20" s="16">
        <f>AVERAGE(C20:E20)</f>
        <v>2.333333333</v>
      </c>
      <c r="S20" s="17">
        <f t="shared" si="3"/>
        <v>0.01699029126</v>
      </c>
    </row>
    <row r="21">
      <c r="A21" s="9">
        <v>19.0</v>
      </c>
      <c r="B21" s="9" t="s">
        <v>20</v>
      </c>
      <c r="C21" s="101">
        <v>4.0</v>
      </c>
      <c r="D21" s="101">
        <v>8.0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23">
        <f>SUM(C21:D21)</f>
        <v>12</v>
      </c>
      <c r="R21" s="16">
        <f>AVERAGE(C21:D21)</f>
        <v>6</v>
      </c>
      <c r="S21" s="17">
        <f t="shared" si="3"/>
        <v>0.02912621359</v>
      </c>
    </row>
    <row r="22">
      <c r="A22" s="9">
        <v>20.0</v>
      </c>
      <c r="B22" s="9" t="s">
        <v>111</v>
      </c>
      <c r="C22" s="101">
        <v>3.0</v>
      </c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23">
        <f>SUM(C22)</f>
        <v>3</v>
      </c>
      <c r="R22" s="16">
        <f>AVERAGE(C22)</f>
        <v>3</v>
      </c>
      <c r="S22" s="17">
        <f t="shared" si="3"/>
        <v>0.007281553398</v>
      </c>
    </row>
    <row r="23">
      <c r="A23" s="4" t="s">
        <v>40</v>
      </c>
      <c r="B23" s="3"/>
      <c r="C23" s="23">
        <f>SUM(C3:C22)</f>
        <v>37</v>
      </c>
      <c r="D23" s="23">
        <f>SUM(D3:D21)</f>
        <v>35</v>
      </c>
      <c r="E23" s="23">
        <f>SUM(E3:E20)</f>
        <v>39</v>
      </c>
      <c r="F23" s="23">
        <f>SUM(F3:F19)</f>
        <v>18</v>
      </c>
      <c r="G23" s="23">
        <f>SUM(G3:G18)</f>
        <v>31</v>
      </c>
      <c r="H23" s="23">
        <f>SUM(H3:H17)</f>
        <v>36</v>
      </c>
      <c r="I23" s="23">
        <f>SUM(I3:I16)</f>
        <v>22</v>
      </c>
      <c r="J23" s="23">
        <f>SUM(J3:J15)</f>
        <v>36</v>
      </c>
      <c r="K23" s="23">
        <f>SUM(K3:K14)</f>
        <v>25</v>
      </c>
      <c r="L23" s="23">
        <f>SUM(L3:L13)</f>
        <v>30</v>
      </c>
      <c r="M23" s="23">
        <f>SUM(M3:M12)</f>
        <v>25</v>
      </c>
      <c r="N23" s="23">
        <f>SUM(N3:N11)</f>
        <v>20</v>
      </c>
      <c r="O23" s="23">
        <f>SUM(O3:O10)</f>
        <v>25</v>
      </c>
      <c r="P23" s="23">
        <f>SUM(P3:P8)</f>
        <v>33</v>
      </c>
      <c r="Q23" s="23">
        <f>SUM(Q3:Q22)</f>
        <v>412</v>
      </c>
      <c r="R23" s="16"/>
      <c r="S23" s="82"/>
    </row>
    <row r="24">
      <c r="A24" s="35" t="s">
        <v>18</v>
      </c>
      <c r="B24" s="3"/>
      <c r="C24" s="36">
        <f>AVERAGE(C3:C22)</f>
        <v>1.85</v>
      </c>
      <c r="D24" s="36">
        <f>AVERAGE(D3:D21)</f>
        <v>1.842105263</v>
      </c>
      <c r="E24" s="36">
        <f>AVERAGE(E3:E20)</f>
        <v>2.166666667</v>
      </c>
      <c r="F24" s="36">
        <f>AVERAGE(F3:F19)</f>
        <v>1.058823529</v>
      </c>
      <c r="G24" s="36">
        <f>AVERAGE(G3:G18)</f>
        <v>1.9375</v>
      </c>
      <c r="H24" s="36">
        <f>AVERAGE(H3:H17)</f>
        <v>2.4</v>
      </c>
      <c r="I24" s="36">
        <f>AVERAGE(I3:I16)</f>
        <v>1.571428571</v>
      </c>
      <c r="J24" s="36">
        <f>AVERAGE(J3:J15)</f>
        <v>2.769230769</v>
      </c>
      <c r="K24" s="36">
        <f>AVERAGE(K3:K14)</f>
        <v>2.083333333</v>
      </c>
      <c r="L24" s="36">
        <f>AVERAGE(L3:L13)</f>
        <v>2.727272727</v>
      </c>
      <c r="M24" s="36">
        <f>AVERAGE(M3:M12)</f>
        <v>2.5</v>
      </c>
      <c r="N24" s="36">
        <f>AVERAGE(N3:N11)</f>
        <v>2.222222222</v>
      </c>
      <c r="O24" s="36">
        <f>AVERAGE(O3:O10)</f>
        <v>3.125</v>
      </c>
      <c r="P24" s="36">
        <f>AVERAGE(P3:P8)</f>
        <v>5.5</v>
      </c>
      <c r="Q24" s="36"/>
      <c r="R24" s="16"/>
      <c r="S24" s="16"/>
    </row>
    <row r="25">
      <c r="A25" s="4" t="s">
        <v>41</v>
      </c>
      <c r="B25" s="3"/>
      <c r="C25" s="40" t="str">
        <f>HYPERLINK("https://docs.google.com/document/d/1fCntkTqgfealU_0s6WhvReuxfxW4iiwGIPdPUz5XEEA/edit?usp=sharing","Link")</f>
        <v>Link</v>
      </c>
      <c r="D25" s="40" t="str">
        <f>HYPERLINK("https://docs.google.com/document/d/1xNflXIptSGskClPFPE56A3YYOX2IIBdpzU99R3Lx7jg/edit?usp=sharing","Link")</f>
        <v>Link</v>
      </c>
      <c r="E25" s="40" t="str">
        <f>HYPERLINK("https://docs.google.com/document/d/1eyTXy1OnT9yFNDZBW1w4CTnMaWh-NRE3GjX9xtydlpw/edit?usp=sharing","Link")</f>
        <v>Link</v>
      </c>
      <c r="F25" s="40" t="str">
        <f>HYPERLINK("https://docs.google.com/document/d/1TmVMSoLE3d9UDcoQ1TFfHdwNyaqexESNeCu-cNnntIw/edit?usp=sharing","Link")</f>
        <v>Link</v>
      </c>
      <c r="G25" s="40" t="str">
        <f>HYPERLINK("https://docs.google.com/document/d/1ESXvmhCO61ibv30LRF2A6iiOePKYr_yFVsTXHFeFSZw/edit?usp=sharing","Link")</f>
        <v>Link</v>
      </c>
      <c r="H25" s="40" t="str">
        <f>HYPERLINK("https://docs.google.com/document/d/1OIGIVWwRSwr8oKmbuib6eaGDIOIlBruDPQpFEhmbeko/edit?usp=sharing","Link")</f>
        <v>Link</v>
      </c>
      <c r="I25" s="40" t="str">
        <f>HYPERLINK("https://docs.google.com/document/d/1EZNLuyOvrxHdBeOLHsjPaNgalt1uWE4mYY-ZPL1Bhxw/edit?usp=sharing","Link")</f>
        <v>Link</v>
      </c>
      <c r="J25" s="40" t="str">
        <f>HYPERLINK("https://docs.google.com/document/d/1__5wN8v5dkQNemfA5S7EEeXOUh5JADG8xXSu-X6wlXg/edit?usp=sharing","Link")</f>
        <v>Link</v>
      </c>
      <c r="K25" s="40" t="str">
        <f>HYPERLINK("https://docs.google.com/document/d/1-vEiIt1hGI9Q9Gnz0XigcX71zJfBUaBIE3_8Sa9kYog/edit?usp=sharing","Link")</f>
        <v>Link</v>
      </c>
      <c r="L25" s="40" t="str">
        <f>HYPERLINK("https://docs.google.com/document/d/1BxCdEgmhbBb-tYVhSAJFo21hAmHWBX7-wZfB1vJ4PAg/edit?usp=sharing","Link")</f>
        <v>Link</v>
      </c>
      <c r="M25" s="40" t="str">
        <f>HYPERLINK("https://docs.google.com/document/d/1ZRExxT7hmf87y-AfdHWX2bIz5ujkvY3tFa6x9jOj00U/edit?usp=sharing","Link")</f>
        <v>Link</v>
      </c>
      <c r="N25" s="40" t="str">
        <f>HYPERLINK("https://docs.google.com/document/d/1coRnX3bMXJH2vqmh8I29HI0ZErCunmQ7E_NHNm9KFRs/edit?usp=sharing","Link")</f>
        <v>Link</v>
      </c>
      <c r="O25" s="40" t="str">
        <f>HYPERLINK("https://docs.google.com/document/d/1UI3pnLvni0yoGCKK29zl9zjBC7hq3vB1Qd9jwf0H8k4/edit?usp=sharing","Link")</f>
        <v>Link</v>
      </c>
      <c r="P25" s="40" t="str">
        <f>HYPERLINK("https://docs.google.com/document/d/1JjqNWIV3A5jkW_PM22QVrgMn36QVQZD-FKqVIxxkmI4/edit?usp=sharing","Link")</f>
        <v>Link</v>
      </c>
      <c r="Q25" s="83" t="str">
        <f>HYPERLINK("https://docs.google.com/document/d/1Bzgk-iECAbFxQ7uIykiM8Y2waA5a7jPhEm3k0e--Fzs/edit?usp=sharing","Season Transcript")</f>
        <v>Season Transcript</v>
      </c>
      <c r="R25" s="3"/>
      <c r="S25" s="82"/>
    </row>
    <row r="26"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  <c r="S26" s="44"/>
    </row>
    <row r="27">
      <c r="A27" s="103" t="s">
        <v>112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48"/>
    </row>
    <row r="28">
      <c r="A28" s="104" t="s">
        <v>113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48"/>
    </row>
    <row r="29">
      <c r="A29" s="105" t="s">
        <v>114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48"/>
    </row>
    <row r="30">
      <c r="A30" s="106" t="s">
        <v>115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48"/>
    </row>
    <row r="31">
      <c r="A31" s="107" t="s">
        <v>116</v>
      </c>
      <c r="B31" s="108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7"/>
      <c r="S31" s="48"/>
    </row>
  </sheetData>
  <mergeCells count="12">
    <mergeCell ref="A27:B27"/>
    <mergeCell ref="A28:B28"/>
    <mergeCell ref="A29:B29"/>
    <mergeCell ref="A30:B30"/>
    <mergeCell ref="A31:B31"/>
    <mergeCell ref="A1:S1"/>
    <mergeCell ref="A2:B2"/>
    <mergeCell ref="A23:B23"/>
    <mergeCell ref="A24:B24"/>
    <mergeCell ref="A25:B25"/>
    <mergeCell ref="Q25:R25"/>
    <mergeCell ref="A26:B26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17</v>
      </c>
      <c r="R2" s="7" t="s">
        <v>18</v>
      </c>
      <c r="S2" s="8" t="s">
        <v>19</v>
      </c>
    </row>
    <row r="3">
      <c r="A3" s="9">
        <v>1.0</v>
      </c>
      <c r="B3" s="9" t="s">
        <v>31</v>
      </c>
      <c r="C3" s="109">
        <v>5.0</v>
      </c>
      <c r="D3" s="109">
        <v>1.0</v>
      </c>
      <c r="E3" s="109">
        <v>2.0</v>
      </c>
      <c r="F3" s="109">
        <v>4.0</v>
      </c>
      <c r="G3" s="110">
        <v>2.0</v>
      </c>
      <c r="H3" s="110">
        <v>2.0</v>
      </c>
      <c r="I3" s="110">
        <v>1.0</v>
      </c>
      <c r="J3" s="55">
        <v>10.0</v>
      </c>
      <c r="K3" s="56">
        <v>2.0</v>
      </c>
      <c r="L3" s="56">
        <v>2.0</v>
      </c>
      <c r="M3" s="56">
        <v>2.0</v>
      </c>
      <c r="N3" s="56">
        <v>5.0</v>
      </c>
      <c r="O3" s="56">
        <v>7.0</v>
      </c>
      <c r="P3" s="57">
        <v>8.0</v>
      </c>
      <c r="Q3" s="23">
        <f t="shared" ref="Q3:Q8" si="1">SUM(C3:P3)</f>
        <v>53</v>
      </c>
      <c r="R3" s="16">
        <f t="shared" ref="R3:R8" si="2">AVERAGE(C3:P3)</f>
        <v>3.785714286</v>
      </c>
      <c r="S3" s="17">
        <f t="shared" ref="S3:S22" si="3">Q3/Q$23</f>
        <v>0.1218390805</v>
      </c>
    </row>
    <row r="4">
      <c r="A4" s="9">
        <v>2.0</v>
      </c>
      <c r="B4" s="9" t="s">
        <v>118</v>
      </c>
      <c r="C4" s="109">
        <v>3.0</v>
      </c>
      <c r="D4" s="109">
        <v>0.0</v>
      </c>
      <c r="E4" s="109">
        <v>2.0</v>
      </c>
      <c r="F4" s="109">
        <v>0.0</v>
      </c>
      <c r="G4" s="111">
        <v>0.0</v>
      </c>
      <c r="H4" s="111">
        <v>1.0</v>
      </c>
      <c r="I4" s="111">
        <v>3.0</v>
      </c>
      <c r="J4" s="55">
        <v>2.0</v>
      </c>
      <c r="K4" s="56">
        <v>3.0</v>
      </c>
      <c r="L4" s="56">
        <v>2.0</v>
      </c>
      <c r="M4" s="56">
        <v>3.0</v>
      </c>
      <c r="N4" s="56">
        <v>2.0</v>
      </c>
      <c r="O4" s="56">
        <v>3.0</v>
      </c>
      <c r="P4" s="57">
        <v>5.0</v>
      </c>
      <c r="Q4" s="23">
        <f t="shared" si="1"/>
        <v>29</v>
      </c>
      <c r="R4" s="16">
        <f t="shared" si="2"/>
        <v>2.071428571</v>
      </c>
      <c r="S4" s="17">
        <f t="shared" si="3"/>
        <v>0.06666666667</v>
      </c>
    </row>
    <row r="5">
      <c r="A5" s="9">
        <v>2.0</v>
      </c>
      <c r="B5" s="9" t="s">
        <v>119</v>
      </c>
      <c r="C5" s="110">
        <v>1.0</v>
      </c>
      <c r="D5" s="110">
        <v>2.0</v>
      </c>
      <c r="E5" s="110">
        <v>2.0</v>
      </c>
      <c r="F5" s="110">
        <v>2.0</v>
      </c>
      <c r="G5" s="110">
        <v>3.0</v>
      </c>
      <c r="H5" s="110">
        <v>2.0</v>
      </c>
      <c r="I5" s="110">
        <v>0.0</v>
      </c>
      <c r="J5" s="55">
        <v>0.0</v>
      </c>
      <c r="K5" s="56">
        <v>0.0</v>
      </c>
      <c r="L5" s="56">
        <v>0.0</v>
      </c>
      <c r="M5" s="56">
        <v>1.0</v>
      </c>
      <c r="N5" s="56">
        <v>4.0</v>
      </c>
      <c r="O5" s="56">
        <v>3.0</v>
      </c>
      <c r="P5" s="57">
        <v>7.0</v>
      </c>
      <c r="Q5" s="23">
        <f t="shared" si="1"/>
        <v>27</v>
      </c>
      <c r="R5" s="16">
        <f t="shared" si="2"/>
        <v>1.928571429</v>
      </c>
      <c r="S5" s="17">
        <f t="shared" si="3"/>
        <v>0.06206896552</v>
      </c>
    </row>
    <row r="6">
      <c r="A6" s="9">
        <v>4.0</v>
      </c>
      <c r="B6" s="9" t="s">
        <v>120</v>
      </c>
      <c r="C6" s="110">
        <v>6.0</v>
      </c>
      <c r="D6" s="110">
        <v>5.0</v>
      </c>
      <c r="E6" s="110">
        <v>6.0</v>
      </c>
      <c r="F6" s="110">
        <v>4.0</v>
      </c>
      <c r="G6" s="109">
        <v>6.0</v>
      </c>
      <c r="H6" s="109">
        <v>1.0</v>
      </c>
      <c r="I6" s="109">
        <v>2.0</v>
      </c>
      <c r="J6" s="59">
        <v>3.0</v>
      </c>
      <c r="K6" s="60">
        <v>2.0</v>
      </c>
      <c r="L6" s="60">
        <v>4.0</v>
      </c>
      <c r="M6" s="60">
        <v>4.0</v>
      </c>
      <c r="N6" s="60">
        <v>3.0</v>
      </c>
      <c r="O6" s="60">
        <v>2.0</v>
      </c>
      <c r="P6" s="61">
        <v>8.0</v>
      </c>
      <c r="Q6" s="23">
        <f t="shared" si="1"/>
        <v>56</v>
      </c>
      <c r="R6" s="16">
        <f t="shared" si="2"/>
        <v>4</v>
      </c>
      <c r="S6" s="17">
        <f t="shared" si="3"/>
        <v>0.1287356322</v>
      </c>
    </row>
    <row r="7">
      <c r="A7" s="9">
        <v>5.0</v>
      </c>
      <c r="B7" s="9" t="s">
        <v>121</v>
      </c>
      <c r="C7" s="110">
        <v>4.0</v>
      </c>
      <c r="D7" s="110">
        <v>0.0</v>
      </c>
      <c r="E7" s="110">
        <v>0.0</v>
      </c>
      <c r="F7" s="110">
        <v>1.0</v>
      </c>
      <c r="G7" s="111">
        <v>2.0</v>
      </c>
      <c r="H7" s="111">
        <v>0.0</v>
      </c>
      <c r="I7" s="111">
        <v>2.0</v>
      </c>
      <c r="J7" s="55">
        <v>3.0</v>
      </c>
      <c r="K7" s="56">
        <v>1.0</v>
      </c>
      <c r="L7" s="56">
        <v>1.0</v>
      </c>
      <c r="M7" s="56">
        <v>3.0</v>
      </c>
      <c r="N7" s="56">
        <v>0.0</v>
      </c>
      <c r="O7" s="56">
        <v>2.0</v>
      </c>
      <c r="P7" s="57">
        <v>6.0</v>
      </c>
      <c r="Q7" s="23">
        <f t="shared" si="1"/>
        <v>25</v>
      </c>
      <c r="R7" s="16">
        <f t="shared" si="2"/>
        <v>1.785714286</v>
      </c>
      <c r="S7" s="17">
        <f t="shared" si="3"/>
        <v>0.05747126437</v>
      </c>
    </row>
    <row r="8">
      <c r="A8" s="9">
        <v>6.0</v>
      </c>
      <c r="B8" s="9" t="s">
        <v>122</v>
      </c>
      <c r="C8" s="109">
        <v>2.0</v>
      </c>
      <c r="D8" s="109">
        <v>3.0</v>
      </c>
      <c r="E8" s="109">
        <v>1.0</v>
      </c>
      <c r="F8" s="109">
        <v>1.0</v>
      </c>
      <c r="G8" s="111">
        <v>2.0</v>
      </c>
      <c r="H8" s="111">
        <v>2.0</v>
      </c>
      <c r="I8" s="111">
        <v>5.0</v>
      </c>
      <c r="J8" s="55">
        <v>3.0</v>
      </c>
      <c r="K8" s="56">
        <v>10.0</v>
      </c>
      <c r="L8" s="56">
        <v>3.0</v>
      </c>
      <c r="M8" s="56">
        <v>2.0</v>
      </c>
      <c r="N8" s="56">
        <v>3.0</v>
      </c>
      <c r="O8" s="56">
        <v>5.0</v>
      </c>
      <c r="P8" s="66">
        <v>7.0</v>
      </c>
      <c r="Q8" s="23">
        <f t="shared" si="1"/>
        <v>49</v>
      </c>
      <c r="R8" s="16">
        <f t="shared" si="2"/>
        <v>3.5</v>
      </c>
      <c r="S8" s="17">
        <f t="shared" si="3"/>
        <v>0.1126436782</v>
      </c>
    </row>
    <row r="9">
      <c r="A9" s="9">
        <v>7.0</v>
      </c>
      <c r="B9" s="9" t="s">
        <v>123</v>
      </c>
      <c r="C9" s="110">
        <v>2.0</v>
      </c>
      <c r="D9" s="110">
        <v>1.0</v>
      </c>
      <c r="E9" s="110">
        <v>1.0</v>
      </c>
      <c r="F9" s="110">
        <v>0.0</v>
      </c>
      <c r="G9" s="111">
        <v>0.0</v>
      </c>
      <c r="H9" s="111">
        <v>0.0</v>
      </c>
      <c r="I9" s="111">
        <v>1.0</v>
      </c>
      <c r="J9" s="55">
        <v>0.0</v>
      </c>
      <c r="K9" s="56">
        <v>3.0</v>
      </c>
      <c r="L9" s="56">
        <v>1.0</v>
      </c>
      <c r="M9" s="56">
        <v>1.0</v>
      </c>
      <c r="N9" s="56">
        <v>0.0</v>
      </c>
      <c r="O9" s="57">
        <v>0.0</v>
      </c>
      <c r="P9" s="67"/>
      <c r="Q9" s="23">
        <f t="shared" ref="Q9:Q10" si="4">SUM(C9:O9)</f>
        <v>10</v>
      </c>
      <c r="R9" s="16">
        <f t="shared" ref="R9:R10" si="5">AVERAGE(C9:O9)</f>
        <v>0.7692307692</v>
      </c>
      <c r="S9" s="17">
        <f t="shared" si="3"/>
        <v>0.02298850575</v>
      </c>
    </row>
    <row r="10">
      <c r="A10" s="9">
        <v>8.0</v>
      </c>
      <c r="B10" s="9" t="s">
        <v>124</v>
      </c>
      <c r="C10" s="109">
        <v>2.0</v>
      </c>
      <c r="D10" s="109">
        <v>0.0</v>
      </c>
      <c r="E10" s="109">
        <v>1.0</v>
      </c>
      <c r="F10" s="109">
        <v>0.0</v>
      </c>
      <c r="G10" s="111">
        <v>0.0</v>
      </c>
      <c r="H10" s="111">
        <v>0.0</v>
      </c>
      <c r="I10" s="111">
        <v>1.0</v>
      </c>
      <c r="J10" s="55">
        <v>2.0</v>
      </c>
      <c r="K10" s="112">
        <v>1.0</v>
      </c>
      <c r="L10" s="56">
        <v>2.0</v>
      </c>
      <c r="M10" s="56">
        <v>0.0</v>
      </c>
      <c r="N10" s="56">
        <v>7.0</v>
      </c>
      <c r="O10" s="66">
        <v>3.0</v>
      </c>
      <c r="P10" s="67"/>
      <c r="Q10" s="23">
        <f t="shared" si="4"/>
        <v>19</v>
      </c>
      <c r="R10" s="16">
        <f t="shared" si="5"/>
        <v>1.461538462</v>
      </c>
      <c r="S10" s="17">
        <f t="shared" si="3"/>
        <v>0.04367816092</v>
      </c>
    </row>
    <row r="11">
      <c r="A11" s="9">
        <v>9.0</v>
      </c>
      <c r="B11" s="9" t="s">
        <v>103</v>
      </c>
      <c r="C11" s="109">
        <v>5.0</v>
      </c>
      <c r="D11" s="109">
        <v>2.0</v>
      </c>
      <c r="E11" s="109">
        <v>1.0</v>
      </c>
      <c r="F11" s="109">
        <v>1.0</v>
      </c>
      <c r="G11" s="109">
        <v>4.0</v>
      </c>
      <c r="H11" s="109">
        <v>3.0</v>
      </c>
      <c r="I11" s="109">
        <v>2.0</v>
      </c>
      <c r="J11" s="55">
        <v>5.0</v>
      </c>
      <c r="K11" s="56">
        <v>1.0</v>
      </c>
      <c r="L11" s="56">
        <v>4.0</v>
      </c>
      <c r="M11" s="56">
        <v>10.0</v>
      </c>
      <c r="N11" s="66">
        <v>2.0</v>
      </c>
      <c r="O11" s="69"/>
      <c r="P11" s="113"/>
      <c r="Q11" s="23">
        <f>SUM(C11:N11)</f>
        <v>40</v>
      </c>
      <c r="R11" s="16">
        <f>AVERAGE(C11:N11)</f>
        <v>3.333333333</v>
      </c>
      <c r="S11" s="17">
        <f t="shared" si="3"/>
        <v>0.09195402299</v>
      </c>
    </row>
    <row r="12">
      <c r="A12" s="9">
        <v>10.0</v>
      </c>
      <c r="B12" s="9" t="s">
        <v>83</v>
      </c>
      <c r="C12" s="110">
        <v>5.0</v>
      </c>
      <c r="D12" s="110">
        <v>0.0</v>
      </c>
      <c r="E12" s="110">
        <v>3.0</v>
      </c>
      <c r="F12" s="110">
        <v>2.0</v>
      </c>
      <c r="G12" s="110">
        <v>1.0</v>
      </c>
      <c r="H12" s="110">
        <v>1.0</v>
      </c>
      <c r="I12" s="110">
        <v>2.0</v>
      </c>
      <c r="J12" s="55">
        <v>0.0</v>
      </c>
      <c r="K12" s="56">
        <v>0.0</v>
      </c>
      <c r="L12" s="56">
        <v>3.0</v>
      </c>
      <c r="M12" s="66">
        <v>2.0</v>
      </c>
      <c r="N12" s="69"/>
      <c r="O12" s="114"/>
      <c r="P12" s="113"/>
      <c r="Q12" s="23">
        <f>SUM(C12:M12)</f>
        <v>19</v>
      </c>
      <c r="R12" s="16">
        <f>AVERAGE(C12:M12)</f>
        <v>1.727272727</v>
      </c>
      <c r="S12" s="17">
        <f t="shared" si="3"/>
        <v>0.04367816092</v>
      </c>
    </row>
    <row r="13">
      <c r="A13" s="9">
        <v>11.0</v>
      </c>
      <c r="B13" s="9" t="s">
        <v>60</v>
      </c>
      <c r="C13" s="110">
        <v>5.0</v>
      </c>
      <c r="D13" s="110">
        <v>1.0</v>
      </c>
      <c r="E13" s="110">
        <v>2.0</v>
      </c>
      <c r="F13" s="110">
        <v>3.0</v>
      </c>
      <c r="G13" s="109">
        <v>3.0</v>
      </c>
      <c r="H13" s="109">
        <v>0.0</v>
      </c>
      <c r="I13" s="109">
        <v>1.0</v>
      </c>
      <c r="J13" s="55">
        <v>2.0</v>
      </c>
      <c r="K13" s="56">
        <v>2.0</v>
      </c>
      <c r="L13" s="66">
        <v>3.0</v>
      </c>
      <c r="M13" s="69"/>
      <c r="N13" s="69"/>
      <c r="O13" s="69"/>
      <c r="P13" s="67"/>
      <c r="Q13" s="23">
        <f>SUM(C13:L13)</f>
        <v>22</v>
      </c>
      <c r="R13" s="16">
        <f>AVERAGE(C13:L13)</f>
        <v>2.2</v>
      </c>
      <c r="S13" s="17">
        <f t="shared" si="3"/>
        <v>0.05057471264</v>
      </c>
    </row>
    <row r="14">
      <c r="A14" s="9">
        <v>12.0</v>
      </c>
      <c r="B14" s="115" t="s">
        <v>125</v>
      </c>
      <c r="C14" s="109">
        <v>3.0</v>
      </c>
      <c r="D14" s="109">
        <v>2.0</v>
      </c>
      <c r="E14" s="109">
        <v>2.0</v>
      </c>
      <c r="F14" s="109">
        <v>0.0</v>
      </c>
      <c r="G14" s="110">
        <v>3.0</v>
      </c>
      <c r="H14" s="110">
        <v>2.0</v>
      </c>
      <c r="I14" s="110">
        <v>3.0</v>
      </c>
      <c r="J14" s="55">
        <v>4.0</v>
      </c>
      <c r="K14" s="57">
        <v>4.0</v>
      </c>
      <c r="L14" s="69"/>
      <c r="M14" s="114"/>
      <c r="N14" s="114"/>
      <c r="O14" s="114"/>
      <c r="P14" s="113"/>
      <c r="Q14" s="23">
        <f>SUM(C14:K14)</f>
        <v>23</v>
      </c>
      <c r="R14" s="16">
        <f>AVERAGE(C14:K14)</f>
        <v>2.555555556</v>
      </c>
      <c r="S14" s="17">
        <f t="shared" si="3"/>
        <v>0.05287356322</v>
      </c>
    </row>
    <row r="15">
      <c r="A15" s="9">
        <v>13.0</v>
      </c>
      <c r="B15" s="9" t="s">
        <v>126</v>
      </c>
      <c r="C15" s="109">
        <v>1.0</v>
      </c>
      <c r="D15" s="109">
        <v>2.0</v>
      </c>
      <c r="E15" s="109">
        <v>0.0</v>
      </c>
      <c r="F15" s="109">
        <v>0.0</v>
      </c>
      <c r="G15" s="109">
        <v>4.0</v>
      </c>
      <c r="H15" s="109">
        <v>0.0</v>
      </c>
      <c r="I15" s="109">
        <v>1.0</v>
      </c>
      <c r="J15" s="68">
        <v>2.0</v>
      </c>
      <c r="K15" s="69"/>
      <c r="L15" s="69"/>
      <c r="M15" s="69"/>
      <c r="N15" s="69"/>
      <c r="O15" s="69"/>
      <c r="P15" s="67"/>
      <c r="Q15" s="23">
        <f>SUM(C15:J15)</f>
        <v>10</v>
      </c>
      <c r="R15" s="16">
        <f>AVERAGE(C15:J15)</f>
        <v>1.25</v>
      </c>
      <c r="S15" s="17">
        <f t="shared" si="3"/>
        <v>0.02298850575</v>
      </c>
    </row>
    <row r="16">
      <c r="A16" s="9">
        <v>14.0</v>
      </c>
      <c r="B16" s="9" t="s">
        <v>100</v>
      </c>
      <c r="C16" s="109">
        <v>1.0</v>
      </c>
      <c r="D16" s="109">
        <v>4.0</v>
      </c>
      <c r="E16" s="109">
        <v>2.0</v>
      </c>
      <c r="F16" s="109">
        <v>1.0</v>
      </c>
      <c r="G16" s="111">
        <v>3.0</v>
      </c>
      <c r="H16" s="111">
        <v>1.0</v>
      </c>
      <c r="I16" s="111">
        <v>3.0</v>
      </c>
      <c r="J16" s="116"/>
      <c r="K16" s="114"/>
      <c r="L16" s="114"/>
      <c r="M16" s="114"/>
      <c r="N16" s="114"/>
      <c r="O16" s="114"/>
      <c r="P16" s="113"/>
      <c r="Q16" s="23">
        <f>SUM(C16:I16)</f>
        <v>15</v>
      </c>
      <c r="R16" s="16">
        <f>AVERAGE(C16:I16)</f>
        <v>2.142857143</v>
      </c>
      <c r="S16" s="17">
        <f t="shared" si="3"/>
        <v>0.03448275862</v>
      </c>
    </row>
    <row r="17">
      <c r="A17" s="9">
        <v>15.0</v>
      </c>
      <c r="B17" s="9" t="s">
        <v>127</v>
      </c>
      <c r="C17" s="109">
        <v>2.0</v>
      </c>
      <c r="D17" s="109">
        <v>4.0</v>
      </c>
      <c r="E17" s="109">
        <v>2.0</v>
      </c>
      <c r="F17" s="109">
        <v>0.0</v>
      </c>
      <c r="G17" s="110">
        <v>1.0</v>
      </c>
      <c r="H17" s="110">
        <v>3.0</v>
      </c>
      <c r="I17" s="117"/>
      <c r="J17" s="114"/>
      <c r="K17" s="114"/>
      <c r="L17" s="114"/>
      <c r="M17" s="114"/>
      <c r="N17" s="114"/>
      <c r="O17" s="114"/>
      <c r="P17" s="113"/>
      <c r="Q17" s="23">
        <f>SUM(C17:H17)</f>
        <v>12</v>
      </c>
      <c r="R17" s="16">
        <f>AVERAGE(C17:H17)</f>
        <v>2</v>
      </c>
      <c r="S17" s="17">
        <f t="shared" si="3"/>
        <v>0.0275862069</v>
      </c>
    </row>
    <row r="18">
      <c r="A18" s="9">
        <v>16.0</v>
      </c>
      <c r="B18" s="9" t="s">
        <v>128</v>
      </c>
      <c r="C18" s="110">
        <v>2.0</v>
      </c>
      <c r="D18" s="110">
        <v>0.0</v>
      </c>
      <c r="E18" s="110">
        <v>2.0</v>
      </c>
      <c r="F18" s="110">
        <v>0.0</v>
      </c>
      <c r="G18" s="109">
        <v>2.0</v>
      </c>
      <c r="H18" s="117"/>
      <c r="I18" s="114"/>
      <c r="J18" s="114"/>
      <c r="K18" s="114"/>
      <c r="L18" s="114"/>
      <c r="M18" s="114"/>
      <c r="N18" s="114"/>
      <c r="O18" s="114"/>
      <c r="P18" s="113"/>
      <c r="Q18" s="23">
        <f>SUM(C18:G18)</f>
        <v>6</v>
      </c>
      <c r="R18" s="16">
        <f>AVERAGE(C18:G18)</f>
        <v>1.2</v>
      </c>
      <c r="S18" s="17">
        <f t="shared" si="3"/>
        <v>0.01379310345</v>
      </c>
    </row>
    <row r="19">
      <c r="A19" s="9">
        <v>17.0</v>
      </c>
      <c r="B19" s="9" t="s">
        <v>129</v>
      </c>
      <c r="C19" s="110">
        <v>0.0</v>
      </c>
      <c r="D19" s="110">
        <v>0.0</v>
      </c>
      <c r="E19" s="110">
        <v>0.0</v>
      </c>
      <c r="F19" s="110">
        <v>3.0</v>
      </c>
      <c r="G19" s="117"/>
      <c r="H19" s="69"/>
      <c r="I19" s="69"/>
      <c r="J19" s="69"/>
      <c r="K19" s="69"/>
      <c r="L19" s="69"/>
      <c r="M19" s="69"/>
      <c r="N19" s="69"/>
      <c r="O19" s="69"/>
      <c r="P19" s="67"/>
      <c r="Q19" s="23">
        <f>SUM(C19:F19)</f>
        <v>3</v>
      </c>
      <c r="R19" s="16">
        <f>AVERAGE(C19:F19)</f>
        <v>0.75</v>
      </c>
      <c r="S19" s="17">
        <f t="shared" si="3"/>
        <v>0.006896551724</v>
      </c>
    </row>
    <row r="20">
      <c r="A20" s="9">
        <v>18.0</v>
      </c>
      <c r="B20" s="9" t="s">
        <v>130</v>
      </c>
      <c r="C20" s="110">
        <v>2.0</v>
      </c>
      <c r="D20" s="110">
        <v>2.0</v>
      </c>
      <c r="E20" s="110">
        <v>4.0</v>
      </c>
      <c r="F20" s="117"/>
      <c r="G20" s="69"/>
      <c r="H20" s="69"/>
      <c r="I20" s="69"/>
      <c r="J20" s="69"/>
      <c r="K20" s="69"/>
      <c r="L20" s="69"/>
      <c r="M20" s="69"/>
      <c r="N20" s="69"/>
      <c r="O20" s="69"/>
      <c r="P20" s="67"/>
      <c r="Q20" s="23">
        <f>SUM(C20:E20)</f>
        <v>8</v>
      </c>
      <c r="R20" s="16">
        <f>AVERAGE(C20:E20)</f>
        <v>2.666666667</v>
      </c>
      <c r="S20" s="17">
        <f t="shared" si="3"/>
        <v>0.0183908046</v>
      </c>
    </row>
    <row r="21">
      <c r="A21" s="9">
        <v>19.0</v>
      </c>
      <c r="B21" s="9" t="s">
        <v>131</v>
      </c>
      <c r="C21" s="109">
        <v>4.0</v>
      </c>
      <c r="D21" s="109">
        <v>2.0</v>
      </c>
      <c r="E21" s="117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7"/>
      <c r="Q21" s="23">
        <f>SUM(C21:D21)</f>
        <v>6</v>
      </c>
      <c r="R21" s="16">
        <f>AVERAGE(C21:D21)</f>
        <v>3</v>
      </c>
      <c r="S21" s="17">
        <f t="shared" si="3"/>
        <v>0.01379310345</v>
      </c>
    </row>
    <row r="22">
      <c r="A22" s="9">
        <v>20.0</v>
      </c>
      <c r="B22" s="9" t="s">
        <v>132</v>
      </c>
      <c r="C22" s="110">
        <v>3.0</v>
      </c>
      <c r="D22" s="118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20"/>
      <c r="Q22" s="23">
        <f>SUM(C22:P22)</f>
        <v>3</v>
      </c>
      <c r="R22" s="16">
        <f>AVERAGE(C22)</f>
        <v>3</v>
      </c>
      <c r="S22" s="17">
        <f t="shared" si="3"/>
        <v>0.006896551724</v>
      </c>
    </row>
    <row r="23">
      <c r="A23" s="4" t="s">
        <v>40</v>
      </c>
      <c r="B23" s="3"/>
      <c r="C23" s="23">
        <f>SUM(C3:C22)</f>
        <v>58</v>
      </c>
      <c r="D23" s="23">
        <f>SUM(D3:D21)</f>
        <v>31</v>
      </c>
      <c r="E23" s="23">
        <f>SUM(E3:E20)</f>
        <v>33</v>
      </c>
      <c r="F23" s="23">
        <f>SUM(F3:F19)</f>
        <v>22</v>
      </c>
      <c r="G23" s="23">
        <f>SUM(G3:G18)</f>
        <v>36</v>
      </c>
      <c r="H23" s="23">
        <f>SUM(H3:H17)</f>
        <v>18</v>
      </c>
      <c r="I23" s="23">
        <f>SUM(I3:I16)</f>
        <v>27</v>
      </c>
      <c r="J23" s="23">
        <f>SUM(J3:J15)</f>
        <v>36</v>
      </c>
      <c r="K23" s="23">
        <f>SUM(K3:K14)</f>
        <v>29</v>
      </c>
      <c r="L23" s="23">
        <f>SUM(L3:L13)</f>
        <v>25</v>
      </c>
      <c r="M23" s="23">
        <f>SUM(M3:M12)</f>
        <v>28</v>
      </c>
      <c r="N23" s="23">
        <f>SUM(N3:N11)</f>
        <v>26</v>
      </c>
      <c r="O23" s="23">
        <f>SUM(O3:O10)</f>
        <v>25</v>
      </c>
      <c r="P23" s="23">
        <f>SUM(P3:P8)</f>
        <v>41</v>
      </c>
      <c r="Q23" s="23">
        <f>SUM(Q3:Q22)</f>
        <v>435</v>
      </c>
      <c r="R23" s="16"/>
      <c r="S23" s="82"/>
    </row>
    <row r="24">
      <c r="A24" s="35" t="s">
        <v>18</v>
      </c>
      <c r="B24" s="3"/>
      <c r="C24" s="36">
        <f>AVERAGE(C3:C22)</f>
        <v>2.9</v>
      </c>
      <c r="D24" s="36">
        <f>AVERAGE(D3:D21)</f>
        <v>1.631578947</v>
      </c>
      <c r="E24" s="36">
        <f>AVERAGE(E3:E20)</f>
        <v>1.833333333</v>
      </c>
      <c r="F24" s="36">
        <f>AVERAGE(F3:F19)</f>
        <v>1.294117647</v>
      </c>
      <c r="G24" s="36">
        <f>AVERAGE(G3:G18)</f>
        <v>2.25</v>
      </c>
      <c r="H24" s="36">
        <f>AVERAGE(H3:H17)</f>
        <v>1.2</v>
      </c>
      <c r="I24" s="36">
        <f>AVERAGE(I3:I16)</f>
        <v>1.928571429</v>
      </c>
      <c r="J24" s="36">
        <f>AVERAGE(J3:J15)</f>
        <v>2.769230769</v>
      </c>
      <c r="K24" s="36">
        <f>AVERAGE(K3:K14)</f>
        <v>2.416666667</v>
      </c>
      <c r="L24" s="36">
        <f>AVERAGE(L3:L13)</f>
        <v>2.272727273</v>
      </c>
      <c r="M24" s="36">
        <f>AVERAGE(M3:M12)</f>
        <v>2.8</v>
      </c>
      <c r="N24" s="36">
        <f>AVERAGE(N3:N11)</f>
        <v>2.888888889</v>
      </c>
      <c r="O24" s="36">
        <f>AVERAGE(O3:O10)</f>
        <v>3.125</v>
      </c>
      <c r="P24" s="36">
        <f>AVERAGE(P3:P8)</f>
        <v>6.833333333</v>
      </c>
      <c r="Q24" s="36"/>
      <c r="R24" s="16"/>
      <c r="S24" s="16"/>
    </row>
    <row r="25">
      <c r="A25" s="4" t="s">
        <v>41</v>
      </c>
      <c r="B25" s="3"/>
      <c r="C25" s="40" t="str">
        <f>HYPERLINK("https://docs.google.com/document/d/1o0s1EdFFazA52VdxfaJDjAdkBgiv7CjaXUNCBhOMZZM/edit?usp=sharing","Link")</f>
        <v>Link</v>
      </c>
      <c r="D25" s="40" t="str">
        <f>HYPERLINK("https://docs.google.com/document/d/12nIHoHeVARaHvJzXSWKmZ9Hb7ufGHrSk_szAYLgh6gc/edit?usp=sharing","Link")</f>
        <v>Link</v>
      </c>
      <c r="E25" s="40" t="str">
        <f>HYPERLINK("https://docs.google.com/document/d/1y0ko5QwnEXk3dT7pzPhHpfTFNd4Og_r7QvI2qjQ1PhU/edit?usp=sharing","Link")</f>
        <v>Link</v>
      </c>
      <c r="F25" s="40" t="str">
        <f>HYPERLINK("https://docs.google.com/document/d/175Ix3Nf9ti7hbYEqm8Rnr_B8nh3Ep5U8P8eYQphWN-g/edit?usp=sharing","Link")</f>
        <v>Link</v>
      </c>
      <c r="G25" s="40" t="str">
        <f>HYPERLINK("https://docs.google.com/document/d/12zOyVVAPJcPXy5cau72cWmD27pmB0jpRbMOJWiu-Y2s/edit?usp=sharing","Link")</f>
        <v>Link</v>
      </c>
      <c r="H25" s="40" t="str">
        <f>HYPERLINK("https://docs.google.com/document/d/1FJOPLavhrHvCHlGIp0Zm0_fK0418LYZI5VCe0r3mb2E/edit?usp=sharing","Link")</f>
        <v>Link</v>
      </c>
      <c r="I25" s="40" t="str">
        <f>HYPERLINK("https://docs.google.com/document/d/1myB-BIpUnct31dxDfFaJvLjmJNe_W0DgoCJWnHT1PX0/edit?usp=sharing","Link")</f>
        <v>Link</v>
      </c>
      <c r="J25" s="40" t="str">
        <f>HYPERLINK("https://docs.google.com/document/d/1W-qM5QP5TqhYNnqyDouvfVQucPSIu5QdB93c91qw6TY/edit?usp=sharing","Link")</f>
        <v>Link</v>
      </c>
      <c r="K25" s="40" t="str">
        <f>HYPERLINK("https://docs.google.com/document/d/1mFV7wVss5MkD7lXrKx7PRxYO9e_MLHy1HuJFJrTOmrE/edit?usp=sharing","Link")</f>
        <v>Link</v>
      </c>
      <c r="L25" s="40" t="str">
        <f>HYPERLINK("https://docs.google.com/document/d/1Knl-cotKtkMr9Te1CFZQIwFPgpM1_7dUEXppNksgRc4/edit?usp=sharing","Link")</f>
        <v>Link</v>
      </c>
      <c r="M25" s="40" t="str">
        <f>HYPERLINK("https://docs.google.com/document/d/1f9o34irAm1qpgexB-DpuxIykzkkYbQetzqdlk7Q_7vw/edit?usp=sharing","Link")</f>
        <v>Link</v>
      </c>
      <c r="N25" s="40" t="str">
        <f>HYPERLINK("https://docs.google.com/document/d/1RURFUL4lIaOODdiJRfmJKX4Z68ucZjmChGmDVUGy6Gw/edit?usp=sharing","Link")</f>
        <v>Link</v>
      </c>
      <c r="O25" s="40" t="str">
        <f>HYPERLINK("https://docs.google.com/document/d/1GDcr2tdJFDyvDVDcZxOOorsIN0u9A2FMYcSK6vmnqns/edit?usp=sharing","Link")</f>
        <v>Link</v>
      </c>
      <c r="P25" s="40" t="str">
        <f>HYPERLINK("https://docs.google.com/document/d/1YdbZCgKXJ48yRx4qIQJxcyzkptZ7dTfdWVBeFqF5ENY/edit?usp=sharing","Link")</f>
        <v>Link</v>
      </c>
      <c r="Q25" s="83" t="str">
        <f>HYPERLINK("https://docs.google.com/document/d/1IUcE7qMHfbA59sqKOmBhvy4pSMSfrj5LqbRvRAtrMts/edit?usp=sharing","Season Transcript")</f>
        <v>Season Transcript</v>
      </c>
      <c r="R25" s="3"/>
      <c r="S25" s="82"/>
    </row>
    <row r="26"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  <c r="S26" s="44"/>
    </row>
    <row r="27">
      <c r="A27" s="121" t="s">
        <v>133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48"/>
    </row>
    <row r="28">
      <c r="A28" s="122" t="s">
        <v>134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48"/>
    </row>
    <row r="29">
      <c r="A29" s="123" t="s">
        <v>135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48"/>
    </row>
    <row r="30">
      <c r="A30" s="51" t="s">
        <v>136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48"/>
    </row>
  </sheetData>
  <mergeCells count="11">
    <mergeCell ref="A27:B27"/>
    <mergeCell ref="A28:B28"/>
    <mergeCell ref="A29:B29"/>
    <mergeCell ref="A30:B30"/>
    <mergeCell ref="A1:S1"/>
    <mergeCell ref="A2:B2"/>
    <mergeCell ref="A23:B23"/>
    <mergeCell ref="A24:B24"/>
    <mergeCell ref="A25:B25"/>
    <mergeCell ref="Q25:R25"/>
    <mergeCell ref="A26:B26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137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17</v>
      </c>
      <c r="R2" s="7" t="s">
        <v>18</v>
      </c>
      <c r="S2" s="8" t="s">
        <v>19</v>
      </c>
    </row>
    <row r="3">
      <c r="A3" s="9">
        <v>1.0</v>
      </c>
      <c r="B3" s="9" t="s">
        <v>22</v>
      </c>
      <c r="C3" s="124">
        <v>2.0</v>
      </c>
      <c r="D3" s="124">
        <v>2.0</v>
      </c>
      <c r="E3" s="124">
        <v>0.0</v>
      </c>
      <c r="F3" s="124">
        <v>0.0</v>
      </c>
      <c r="G3" s="125">
        <v>3.0</v>
      </c>
      <c r="H3" s="125">
        <v>6.0</v>
      </c>
      <c r="I3" s="55">
        <v>3.0</v>
      </c>
      <c r="J3" s="56">
        <v>3.0</v>
      </c>
      <c r="K3" s="56">
        <v>2.0</v>
      </c>
      <c r="L3" s="56">
        <v>2.0</v>
      </c>
      <c r="M3" s="56">
        <v>6.0</v>
      </c>
      <c r="N3" s="56">
        <v>4.0</v>
      </c>
      <c r="O3" s="56">
        <v>12.0</v>
      </c>
      <c r="P3" s="57">
        <v>12.0</v>
      </c>
      <c r="Q3" s="23">
        <f t="shared" ref="Q3:Q6" si="1">SUM(C3:P3)</f>
        <v>57</v>
      </c>
      <c r="R3" s="16">
        <f t="shared" ref="R3:R6" si="2">AVERAGE(C3:P3)</f>
        <v>4.071428571</v>
      </c>
      <c r="S3" s="17">
        <f t="shared" ref="S3:S20" si="3">Q3/Q$21</f>
        <v>0.1153846154</v>
      </c>
    </row>
    <row r="4">
      <c r="A4" s="9">
        <v>2.0</v>
      </c>
      <c r="B4" s="9" t="s">
        <v>98</v>
      </c>
      <c r="C4" s="125">
        <v>3.0</v>
      </c>
      <c r="D4" s="125">
        <v>0.0</v>
      </c>
      <c r="E4" s="125">
        <v>1.0</v>
      </c>
      <c r="F4" s="125">
        <v>0.0</v>
      </c>
      <c r="G4" s="126">
        <v>1.0</v>
      </c>
      <c r="H4" s="126">
        <v>5.0</v>
      </c>
      <c r="I4" s="55">
        <v>8.0</v>
      </c>
      <c r="J4" s="56">
        <v>2.0</v>
      </c>
      <c r="K4" s="56">
        <v>10.0</v>
      </c>
      <c r="L4" s="56">
        <v>5.0</v>
      </c>
      <c r="M4" s="56">
        <v>5.0</v>
      </c>
      <c r="N4" s="56">
        <v>4.0</v>
      </c>
      <c r="O4" s="56">
        <v>10.0</v>
      </c>
      <c r="P4" s="57">
        <v>16.0</v>
      </c>
      <c r="Q4" s="23">
        <f t="shared" si="1"/>
        <v>70</v>
      </c>
      <c r="R4" s="16">
        <f t="shared" si="2"/>
        <v>5</v>
      </c>
      <c r="S4" s="17">
        <f t="shared" si="3"/>
        <v>0.1417004049</v>
      </c>
    </row>
    <row r="5">
      <c r="A5" s="9">
        <v>3.0</v>
      </c>
      <c r="B5" s="9" t="s">
        <v>97</v>
      </c>
      <c r="C5" s="124">
        <v>6.0</v>
      </c>
      <c r="D5" s="124">
        <v>7.0</v>
      </c>
      <c r="E5" s="124">
        <v>4.0</v>
      </c>
      <c r="F5" s="124">
        <v>1.0</v>
      </c>
      <c r="G5" s="126">
        <v>5.0</v>
      </c>
      <c r="H5" s="126">
        <v>2.0</v>
      </c>
      <c r="I5" s="59">
        <v>2.0</v>
      </c>
      <c r="J5" s="60">
        <v>1.0</v>
      </c>
      <c r="K5" s="60">
        <v>4.0</v>
      </c>
      <c r="L5" s="60">
        <v>10.0</v>
      </c>
      <c r="M5" s="60">
        <v>4.0</v>
      </c>
      <c r="N5" s="60">
        <v>8.0</v>
      </c>
      <c r="O5" s="60">
        <v>11.0</v>
      </c>
      <c r="P5" s="61">
        <v>9.0</v>
      </c>
      <c r="Q5" s="23">
        <f t="shared" si="1"/>
        <v>74</v>
      </c>
      <c r="R5" s="16">
        <f t="shared" si="2"/>
        <v>5.285714286</v>
      </c>
      <c r="S5" s="17">
        <f t="shared" si="3"/>
        <v>0.1497975709</v>
      </c>
    </row>
    <row r="6">
      <c r="A6" s="9">
        <v>4.0</v>
      </c>
      <c r="B6" s="9" t="s">
        <v>138</v>
      </c>
      <c r="C6" s="127">
        <v>3.0</v>
      </c>
      <c r="D6" s="127">
        <v>1.0</v>
      </c>
      <c r="E6" s="127">
        <v>3.0</v>
      </c>
      <c r="F6" s="127">
        <v>2.0</v>
      </c>
      <c r="G6" s="125">
        <v>2.0</v>
      </c>
      <c r="H6" s="125">
        <v>0.0</v>
      </c>
      <c r="I6" s="55">
        <v>1.0</v>
      </c>
      <c r="J6" s="56">
        <v>5.0</v>
      </c>
      <c r="K6" s="56">
        <v>3.0</v>
      </c>
      <c r="L6" s="56">
        <v>1.0</v>
      </c>
      <c r="M6" s="56">
        <v>4.0</v>
      </c>
      <c r="N6" s="56">
        <v>2.0</v>
      </c>
      <c r="O6" s="56">
        <v>5.0</v>
      </c>
      <c r="P6" s="66">
        <v>5.0</v>
      </c>
      <c r="Q6" s="23">
        <f t="shared" si="1"/>
        <v>37</v>
      </c>
      <c r="R6" s="16">
        <f t="shared" si="2"/>
        <v>2.642857143</v>
      </c>
      <c r="S6" s="17">
        <f t="shared" si="3"/>
        <v>0.07489878543</v>
      </c>
    </row>
    <row r="7">
      <c r="A7" s="9">
        <v>5.0</v>
      </c>
      <c r="B7" s="9" t="s">
        <v>79</v>
      </c>
      <c r="C7" s="125">
        <v>2.0</v>
      </c>
      <c r="D7" s="125">
        <v>2.0</v>
      </c>
      <c r="E7" s="125">
        <v>0.0</v>
      </c>
      <c r="F7" s="125">
        <v>0.0</v>
      </c>
      <c r="G7" s="126">
        <v>0.0</v>
      </c>
      <c r="H7" s="126">
        <v>4.0</v>
      </c>
      <c r="I7" s="55">
        <v>1.0</v>
      </c>
      <c r="J7" s="56">
        <v>1.0</v>
      </c>
      <c r="K7" s="56">
        <v>2.0</v>
      </c>
      <c r="L7" s="56">
        <v>0.0</v>
      </c>
      <c r="M7" s="56">
        <v>0.0</v>
      </c>
      <c r="N7" s="56">
        <v>4.0</v>
      </c>
      <c r="O7" s="66">
        <v>5.0</v>
      </c>
      <c r="P7" s="67"/>
      <c r="Q7" s="23">
        <f>SUM(C7:O7)</f>
        <v>21</v>
      </c>
      <c r="R7" s="16">
        <f>AVERAGE(C7:O7)</f>
        <v>1.615384615</v>
      </c>
      <c r="S7" s="17">
        <f t="shared" si="3"/>
        <v>0.04251012146</v>
      </c>
    </row>
    <row r="8">
      <c r="A8" s="9">
        <v>6.0</v>
      </c>
      <c r="B8" s="9" t="s">
        <v>139</v>
      </c>
      <c r="C8" s="127">
        <v>5.0</v>
      </c>
      <c r="D8" s="127">
        <v>4.0</v>
      </c>
      <c r="E8" s="127">
        <v>6.0</v>
      </c>
      <c r="F8" s="127">
        <v>2.0</v>
      </c>
      <c r="G8" s="125">
        <v>1.0</v>
      </c>
      <c r="H8" s="125">
        <v>0.0</v>
      </c>
      <c r="I8" s="55">
        <v>5.0</v>
      </c>
      <c r="J8" s="56">
        <v>4.0</v>
      </c>
      <c r="K8" s="56">
        <v>2.0</v>
      </c>
      <c r="L8" s="56">
        <v>3.0</v>
      </c>
      <c r="M8" s="56">
        <v>7.0</v>
      </c>
      <c r="N8" s="66">
        <v>5.0</v>
      </c>
      <c r="O8" s="69"/>
      <c r="P8" s="67"/>
      <c r="Q8" s="23">
        <f>SUM(C8:N8)</f>
        <v>44</v>
      </c>
      <c r="R8" s="16">
        <f>AVERAGE(C8:N8)</f>
        <v>3.666666667</v>
      </c>
      <c r="S8" s="17">
        <f t="shared" si="3"/>
        <v>0.08906882591</v>
      </c>
    </row>
    <row r="9">
      <c r="A9" s="9">
        <v>7.0</v>
      </c>
      <c r="B9" s="9" t="s">
        <v>140</v>
      </c>
      <c r="C9" s="126">
        <v>1.0</v>
      </c>
      <c r="D9" s="126">
        <v>1.0</v>
      </c>
      <c r="E9" s="126">
        <v>0.0</v>
      </c>
      <c r="F9" s="126">
        <v>0.0</v>
      </c>
      <c r="G9" s="127">
        <v>1.0</v>
      </c>
      <c r="H9" s="128">
        <v>3.0</v>
      </c>
      <c r="I9" s="129">
        <v>0.0</v>
      </c>
      <c r="J9" s="56">
        <v>1.0</v>
      </c>
      <c r="K9" s="56">
        <v>3.0</v>
      </c>
      <c r="L9" s="56">
        <v>3.0</v>
      </c>
      <c r="M9" s="66">
        <v>3.0</v>
      </c>
      <c r="N9" s="69"/>
      <c r="O9" s="114"/>
      <c r="P9" s="113"/>
      <c r="Q9" s="23">
        <f>SUM(C9:M9)</f>
        <v>16</v>
      </c>
      <c r="R9" s="16">
        <f>AVERAGE(C9:M9)</f>
        <v>1.454545455</v>
      </c>
      <c r="S9" s="17">
        <f t="shared" si="3"/>
        <v>0.03238866397</v>
      </c>
    </row>
    <row r="10">
      <c r="A10" s="9">
        <v>8.0</v>
      </c>
      <c r="B10" s="9" t="s">
        <v>141</v>
      </c>
      <c r="C10" s="127">
        <v>5.0</v>
      </c>
      <c r="D10" s="127">
        <v>2.0</v>
      </c>
      <c r="E10" s="127">
        <v>3.0</v>
      </c>
      <c r="F10" s="127">
        <v>0.0</v>
      </c>
      <c r="G10" s="126">
        <v>5.0</v>
      </c>
      <c r="H10" s="126">
        <v>2.0</v>
      </c>
      <c r="I10" s="55">
        <v>5.0</v>
      </c>
      <c r="J10" s="56">
        <v>2.0</v>
      </c>
      <c r="K10" s="56">
        <v>6.0</v>
      </c>
      <c r="L10" s="66">
        <v>6.0</v>
      </c>
      <c r="M10" s="69"/>
      <c r="N10" s="114"/>
      <c r="O10" s="114"/>
      <c r="P10" s="113"/>
      <c r="Q10" s="23">
        <f>SUM(C10:L10)</f>
        <v>36</v>
      </c>
      <c r="R10" s="16">
        <f>AVERAGE(C10:L10)</f>
        <v>3.6</v>
      </c>
      <c r="S10" s="17">
        <f t="shared" si="3"/>
        <v>0.07287449393</v>
      </c>
    </row>
    <row r="11">
      <c r="A11" s="9">
        <v>9.0</v>
      </c>
      <c r="B11" s="9" t="s">
        <v>104</v>
      </c>
      <c r="C11" s="125">
        <v>4.0</v>
      </c>
      <c r="D11" s="125">
        <v>1.0</v>
      </c>
      <c r="E11" s="125">
        <v>5.0</v>
      </c>
      <c r="F11" s="125">
        <v>3.0</v>
      </c>
      <c r="G11" s="125">
        <v>3.0</v>
      </c>
      <c r="H11" s="125">
        <v>2.0</v>
      </c>
      <c r="I11" s="55">
        <v>4.0</v>
      </c>
      <c r="J11" s="56">
        <v>2.0</v>
      </c>
      <c r="K11" s="66">
        <v>2.0</v>
      </c>
      <c r="L11" s="69"/>
      <c r="M11" s="114"/>
      <c r="N11" s="114"/>
      <c r="O11" s="114"/>
      <c r="P11" s="113"/>
      <c r="Q11" s="23">
        <f>SUM(C11:K11)</f>
        <v>26</v>
      </c>
      <c r="R11" s="16">
        <f>AVERAGE(C11:K11)</f>
        <v>2.888888889</v>
      </c>
      <c r="S11" s="17">
        <f t="shared" si="3"/>
        <v>0.05263157895</v>
      </c>
    </row>
    <row r="12">
      <c r="A12" s="9">
        <v>10.0</v>
      </c>
      <c r="B12" s="9" t="s">
        <v>26</v>
      </c>
      <c r="C12" s="124">
        <v>3.0</v>
      </c>
      <c r="D12" s="124">
        <v>0.0</v>
      </c>
      <c r="E12" s="124">
        <v>1.0</v>
      </c>
      <c r="F12" s="124">
        <v>0.0</v>
      </c>
      <c r="G12" s="125">
        <v>2.0</v>
      </c>
      <c r="H12" s="125">
        <v>6.0</v>
      </c>
      <c r="I12" s="55">
        <v>11.0</v>
      </c>
      <c r="J12" s="66">
        <v>4.0</v>
      </c>
      <c r="K12" s="69"/>
      <c r="L12" s="114"/>
      <c r="M12" s="114"/>
      <c r="N12" s="114"/>
      <c r="O12" s="114"/>
      <c r="P12" s="113"/>
      <c r="Q12" s="23">
        <f>SUM(C12:J12)</f>
        <v>27</v>
      </c>
      <c r="R12" s="16">
        <f>AVERAGE(C12:J12)</f>
        <v>3.375</v>
      </c>
      <c r="S12" s="17">
        <f t="shared" si="3"/>
        <v>0.05465587045</v>
      </c>
    </row>
    <row r="13">
      <c r="A13" s="9">
        <v>11.0</v>
      </c>
      <c r="B13" s="9" t="s">
        <v>142</v>
      </c>
      <c r="C13" s="125">
        <v>5.0</v>
      </c>
      <c r="D13" s="125">
        <v>1.0</v>
      </c>
      <c r="E13" s="125">
        <v>1.0</v>
      </c>
      <c r="F13" s="125">
        <v>0.0</v>
      </c>
      <c r="G13" s="125">
        <v>4.0</v>
      </c>
      <c r="H13" s="125">
        <v>0.0</v>
      </c>
      <c r="I13" s="130">
        <v>5.0</v>
      </c>
      <c r="J13" s="69"/>
      <c r="K13" s="114"/>
      <c r="L13" s="114"/>
      <c r="M13" s="114"/>
      <c r="N13" s="114"/>
      <c r="O13" s="114"/>
      <c r="P13" s="113"/>
      <c r="Q13" s="23">
        <f>SUM(C13:I13)</f>
        <v>16</v>
      </c>
      <c r="R13" s="16">
        <f>AVERAGE(C13:I13)</f>
        <v>2.285714286</v>
      </c>
      <c r="S13" s="17">
        <f t="shared" si="3"/>
        <v>0.03238866397</v>
      </c>
    </row>
    <row r="14">
      <c r="A14" s="9">
        <v>12.0</v>
      </c>
      <c r="B14" s="9" t="s">
        <v>143</v>
      </c>
      <c r="C14" s="125">
        <v>3.0</v>
      </c>
      <c r="D14" s="125">
        <v>2.0</v>
      </c>
      <c r="E14" s="125">
        <v>3.0</v>
      </c>
      <c r="F14" s="125">
        <v>1.0</v>
      </c>
      <c r="G14" s="126">
        <v>3.0</v>
      </c>
      <c r="H14" s="131">
        <v>5.0</v>
      </c>
      <c r="I14" s="69"/>
      <c r="J14" s="69"/>
      <c r="K14" s="69"/>
      <c r="L14" s="69"/>
      <c r="M14" s="69"/>
      <c r="N14" s="69"/>
      <c r="O14" s="69"/>
      <c r="P14" s="67"/>
      <c r="Q14" s="23">
        <f>SUM(C14:H14)</f>
        <v>17</v>
      </c>
      <c r="R14" s="16">
        <f>AVERAGE(C14:H14)</f>
        <v>2.833333333</v>
      </c>
      <c r="S14" s="17">
        <f t="shared" si="3"/>
        <v>0.03441295547</v>
      </c>
    </row>
    <row r="15">
      <c r="A15" s="9">
        <v>13.0</v>
      </c>
      <c r="B15" s="9" t="s">
        <v>144</v>
      </c>
      <c r="C15" s="124">
        <v>6.0</v>
      </c>
      <c r="D15" s="124">
        <v>0.0</v>
      </c>
      <c r="E15" s="124">
        <v>1.0</v>
      </c>
      <c r="F15" s="124">
        <v>0.0</v>
      </c>
      <c r="G15" s="131">
        <v>3.0</v>
      </c>
      <c r="H15" s="72"/>
      <c r="I15" s="76"/>
      <c r="J15" s="76"/>
      <c r="K15" s="76"/>
      <c r="L15" s="76"/>
      <c r="M15" s="76"/>
      <c r="N15" s="76"/>
      <c r="O15" s="76"/>
      <c r="P15" s="77"/>
      <c r="Q15" s="23">
        <f>SUM(C15:G15)</f>
        <v>10</v>
      </c>
      <c r="R15" s="16">
        <f>AVERAGE(C15:G15)</f>
        <v>2</v>
      </c>
      <c r="S15" s="17">
        <f t="shared" si="3"/>
        <v>0.02024291498</v>
      </c>
    </row>
    <row r="16">
      <c r="A16" s="9">
        <v>14.0</v>
      </c>
      <c r="B16" s="9" t="s">
        <v>145</v>
      </c>
      <c r="C16" s="127">
        <v>4.0</v>
      </c>
      <c r="D16" s="127">
        <v>6.0</v>
      </c>
      <c r="E16" s="127">
        <v>3.0</v>
      </c>
      <c r="F16" s="132">
        <v>2.0</v>
      </c>
      <c r="G16" s="69"/>
      <c r="H16" s="114"/>
      <c r="I16" s="114"/>
      <c r="J16" s="114"/>
      <c r="K16" s="114"/>
      <c r="L16" s="114"/>
      <c r="M16" s="114"/>
      <c r="N16" s="114"/>
      <c r="O16" s="114"/>
      <c r="P16" s="113"/>
      <c r="Q16" s="23">
        <f t="shared" ref="Q16:Q17" si="4">SUM(C16:F16)</f>
        <v>15</v>
      </c>
      <c r="R16" s="16">
        <f t="shared" ref="R16:R17" si="5">AVERAGE(C16:F16)</f>
        <v>3.75</v>
      </c>
      <c r="S16" s="17">
        <f t="shared" si="3"/>
        <v>0.03036437247</v>
      </c>
    </row>
    <row r="17">
      <c r="A17" s="9">
        <v>15.0</v>
      </c>
      <c r="B17" s="9" t="s">
        <v>110</v>
      </c>
      <c r="C17" s="124">
        <v>3.0</v>
      </c>
      <c r="D17" s="124">
        <v>1.0</v>
      </c>
      <c r="E17" s="124">
        <v>2.0</v>
      </c>
      <c r="F17" s="133">
        <v>0.0</v>
      </c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23">
        <f t="shared" si="4"/>
        <v>6</v>
      </c>
      <c r="R17" s="16">
        <f t="shared" si="5"/>
        <v>1.5</v>
      </c>
      <c r="S17" s="17">
        <f t="shared" si="3"/>
        <v>0.01214574899</v>
      </c>
    </row>
    <row r="18">
      <c r="A18" s="9">
        <v>16.0</v>
      </c>
      <c r="B18" s="9" t="s">
        <v>146</v>
      </c>
      <c r="C18" s="125">
        <v>4.0</v>
      </c>
      <c r="D18" s="125">
        <v>4.0</v>
      </c>
      <c r="E18" s="134">
        <v>2.0</v>
      </c>
      <c r="F18" s="69"/>
      <c r="G18" s="114"/>
      <c r="H18" s="114"/>
      <c r="I18" s="114"/>
      <c r="J18" s="114"/>
      <c r="K18" s="114"/>
      <c r="L18" s="114"/>
      <c r="M18" s="114"/>
      <c r="N18" s="114"/>
      <c r="O18" s="114"/>
      <c r="P18" s="113"/>
      <c r="Q18" s="23">
        <f>SUM(C18:E18)</f>
        <v>10</v>
      </c>
      <c r="R18" s="16">
        <f>AVERAGE(C18:E18)</f>
        <v>3.333333333</v>
      </c>
      <c r="S18" s="17">
        <f t="shared" si="3"/>
        <v>0.02024291498</v>
      </c>
    </row>
    <row r="19">
      <c r="A19" s="9">
        <v>17.0</v>
      </c>
      <c r="B19" s="9" t="s">
        <v>147</v>
      </c>
      <c r="C19" s="127">
        <v>3.0</v>
      </c>
      <c r="D19" s="135">
        <v>5.0</v>
      </c>
      <c r="E19" s="69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3"/>
      <c r="Q19" s="23">
        <f>SUM(C19:D19)</f>
        <v>8</v>
      </c>
      <c r="R19" s="16">
        <f>AVERAGE(C19:D19)</f>
        <v>4</v>
      </c>
      <c r="S19" s="17">
        <f t="shared" si="3"/>
        <v>0.01619433198</v>
      </c>
    </row>
    <row r="20">
      <c r="A20" s="9">
        <v>18.0</v>
      </c>
      <c r="B20" s="9" t="s">
        <v>148</v>
      </c>
      <c r="C20" s="132">
        <v>4.0</v>
      </c>
      <c r="D20" s="119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7"/>
      <c r="Q20" s="23">
        <f>SUM(C20)</f>
        <v>4</v>
      </c>
      <c r="R20" s="16">
        <f>AVERAGE(C20)</f>
        <v>4</v>
      </c>
      <c r="S20" s="17">
        <f t="shared" si="3"/>
        <v>0.008097165992</v>
      </c>
    </row>
    <row r="21">
      <c r="A21" s="4" t="s">
        <v>40</v>
      </c>
      <c r="B21" s="3"/>
      <c r="C21" s="23">
        <f>SUM(C3:C20)</f>
        <v>66</v>
      </c>
      <c r="D21" s="23">
        <f>SUM(D3:D19)</f>
        <v>39</v>
      </c>
      <c r="E21" s="23">
        <f>SUM(E3:E18)</f>
        <v>35</v>
      </c>
      <c r="F21" s="23">
        <f>SUM(F3:F17)</f>
        <v>11</v>
      </c>
      <c r="G21" s="23">
        <f>SUM(G3:G15)</f>
        <v>33</v>
      </c>
      <c r="H21" s="23">
        <f>SUM(H3:H14)</f>
        <v>35</v>
      </c>
      <c r="I21" s="23">
        <f>SUM(I3:I13)</f>
        <v>45</v>
      </c>
      <c r="J21" s="23">
        <f>SUM(J3:J12)</f>
        <v>25</v>
      </c>
      <c r="K21" s="23">
        <f>SUM(K3:K11)</f>
        <v>34</v>
      </c>
      <c r="L21" s="23">
        <f>SUM(L3:L10)</f>
        <v>30</v>
      </c>
      <c r="M21" s="23">
        <f>SUM(M3:M9)</f>
        <v>29</v>
      </c>
      <c r="N21" s="23">
        <f>SUM(N3:N8)</f>
        <v>27</v>
      </c>
      <c r="O21" s="23">
        <f>SUM(O3:O7)</f>
        <v>43</v>
      </c>
      <c r="P21" s="23">
        <f>SUM(P3:P6)</f>
        <v>42</v>
      </c>
      <c r="Q21" s="23">
        <f>SUM(Q3:Q20)</f>
        <v>494</v>
      </c>
      <c r="R21" s="16"/>
      <c r="S21" s="82"/>
    </row>
    <row r="22">
      <c r="A22" s="35" t="s">
        <v>18</v>
      </c>
      <c r="B22" s="3"/>
      <c r="C22" s="16">
        <f>AVERAGE(C3:C20)</f>
        <v>3.666666667</v>
      </c>
      <c r="D22" s="16">
        <f>AVERAGE(D3:D19)</f>
        <v>2.294117647</v>
      </c>
      <c r="E22" s="16">
        <f>AVERAGE(E3:E18)</f>
        <v>2.1875</v>
      </c>
      <c r="F22" s="16">
        <f>AVERAGE(F3:F17)</f>
        <v>0.7333333333</v>
      </c>
      <c r="G22" s="16">
        <f>AVERAGE(G3:G15)</f>
        <v>2.538461538</v>
      </c>
      <c r="H22" s="16">
        <f>AVERAGE(H3:H14)</f>
        <v>2.916666667</v>
      </c>
      <c r="I22" s="16">
        <f>AVERAGE(I3:I13)</f>
        <v>4.090909091</v>
      </c>
      <c r="J22" s="16">
        <f>AVERAGE(J3:J12)</f>
        <v>2.5</v>
      </c>
      <c r="K22" s="16">
        <f>AVERAGE(K3:K11)</f>
        <v>3.777777778</v>
      </c>
      <c r="L22" s="16">
        <f>AVERAGE(L3:L10)</f>
        <v>3.75</v>
      </c>
      <c r="M22" s="16">
        <f>AVERAGE(M3:M9)</f>
        <v>4.142857143</v>
      </c>
      <c r="N22" s="16">
        <f>AVERAGE(N3:N8)</f>
        <v>4.5</v>
      </c>
      <c r="O22" s="16">
        <f>AVERAGE(O3:O7)</f>
        <v>8.6</v>
      </c>
      <c r="P22" s="16">
        <f>AVERAGE(P3:P6)</f>
        <v>10.5</v>
      </c>
      <c r="Q22" s="16"/>
      <c r="R22" s="16"/>
      <c r="S22" s="82"/>
    </row>
    <row r="23">
      <c r="A23" s="4" t="s">
        <v>41</v>
      </c>
      <c r="B23" s="3"/>
      <c r="C23" s="40" t="str">
        <f>HYPERLINK("https://docs.google.com/document/d/1w-bujy-E4jGcrI5k1LahxDtswCJ_uywhJJEYNt5KCQQ/edit?usp=sharing","Link")</f>
        <v>Link</v>
      </c>
      <c r="D23" s="40" t="str">
        <f>HYPERLINK("https://docs.google.com/document/d/1_evqeqY2-jgVrEAkmyu9xMWRSOa4TG5ZhNQdPWUrIgw/edit?usp=sharing","Link")</f>
        <v>Link</v>
      </c>
      <c r="E23" s="40" t="str">
        <f>HYPERLINK("https://docs.google.com/document/d/1hgp8Zyp6iOw4N0fw95k-5IgCAHXZIK2kJ7ZAgKY2OKA/edit?usp=sharing","Link")</f>
        <v>Link</v>
      </c>
      <c r="F23" s="40" t="str">
        <f>HYPERLINK("https://docs.google.com/document/d/1XSbQTlNwOgFWy9RrJOszuKeWvWkFFs0ec_-vz9DFDzs/edit?usp=sharing","Link")</f>
        <v>Link</v>
      </c>
      <c r="G23" s="40" t="str">
        <f>HYPERLINK("https://docs.google.com/document/d/1ACp7ZArUpXUYlDMe0iKSgKXUPDO47eIkpeEv9GKuI8M/edit?usp=sharing","Link")</f>
        <v>Link</v>
      </c>
      <c r="H23" s="40" t="str">
        <f>HYPERLINK("https://docs.google.com/document/d/1oAfygiiSEgQ1riInbpaDsP9cFUzdfb80uO_AdyUx-Oo/edit?usp=sharing","Link")</f>
        <v>Link</v>
      </c>
      <c r="I23" s="40" t="str">
        <f>HYPERLINK("https://docs.google.com/document/d/18Lfn7JfMJX4oYGNxN_s7kK_l9sUPyF-3WMmHg6cRw4I/edit?usp=sharing","Link")</f>
        <v>Link</v>
      </c>
      <c r="J23" s="40" t="str">
        <f>HYPERLINK("https://docs.google.com/document/d/14ot5qCdn-lxrIXevLKulDtMHDy9zBYJ7WpS19vgBEPg/edit?usp=sharing","Link")</f>
        <v>Link</v>
      </c>
      <c r="K23" s="40" t="str">
        <f>HYPERLINK("https://docs.google.com/document/d/1Awvnt1a4cV97MFp5lKyAzr1z70IIkAypoeunucFA7Wg/edit?usp=sharing","Link")</f>
        <v>Link</v>
      </c>
      <c r="L23" s="40" t="str">
        <f>HYPERLINK("https://docs.google.com/document/d/1DtUhgXxnAt6d69-ssplAOIr0pSTos5xyLwiZP1Rn_W0/edit?usp=sharing","Link")</f>
        <v>Link</v>
      </c>
      <c r="M23" s="40" t="str">
        <f>HYPERLINK("https://docs.google.com/document/d/1kLw8Ytj3uNkrC4lhFMoHe9H3d1YbTwOIRk3udTyeVes/edit?usp=sharing","Link")</f>
        <v>Link</v>
      </c>
      <c r="N23" s="40" t="str">
        <f>HYPERLINK("https://docs.google.com/document/d/1nH5Uxi69vwDwBxsTJUXDX6z0ZaymOful-ofTVp9Z4cM/edit?usp=sharing","Link")</f>
        <v>Link</v>
      </c>
      <c r="O23" s="40" t="str">
        <f>HYPERLINK("https://docs.google.com/document/d/1HbK4WzZIe_AmoUn5Fg290YtC6dnnirYoYgjCFd28LuI/edit?usp=sharing","Link")</f>
        <v>Link</v>
      </c>
      <c r="P23" s="40" t="str">
        <f>HYPERLINK("https://docs.google.com/document/d/10EefxsZj0jw09VC3-CnE3xEddasjOlauU8vmEAeO8V0/edit?usp=sharing","Link")</f>
        <v>Link</v>
      </c>
      <c r="Q23" s="83" t="str">
        <f>HYPERLINK("https://docs.google.com/document/d/1YxscRxbDSZ2hduM9PdjWOVLfzK774YDf-G5axyTmWfc/edit?usp=sharing","Season Transcript")</f>
        <v>Season Transcript</v>
      </c>
      <c r="R23" s="3"/>
      <c r="S23" s="138" t="str">
        <f>HYPERLINK("https://docs.google.com/document/d/149e8-4eNC3rQcNavgq7CtvG-zlyo8VFMGOuWeChjt5g/edit?usp=sharing","Notes")</f>
        <v>Notes</v>
      </c>
    </row>
    <row r="24"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  <c r="S24" s="44"/>
    </row>
    <row r="25">
      <c r="A25" s="139" t="s">
        <v>149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40"/>
      <c r="R25" s="47"/>
      <c r="S25" s="48"/>
    </row>
    <row r="26">
      <c r="A26" s="141" t="s">
        <v>150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48"/>
    </row>
    <row r="27">
      <c r="A27" s="142" t="s">
        <v>151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48"/>
    </row>
    <row r="28">
      <c r="A28" s="51" t="s">
        <v>152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48"/>
    </row>
  </sheetData>
  <mergeCells count="11">
    <mergeCell ref="A25:B25"/>
    <mergeCell ref="A26:B26"/>
    <mergeCell ref="A27:B27"/>
    <mergeCell ref="A28:B28"/>
    <mergeCell ref="A1:S1"/>
    <mergeCell ref="A2:B2"/>
    <mergeCell ref="A21:B21"/>
    <mergeCell ref="A22:B22"/>
    <mergeCell ref="A23:B23"/>
    <mergeCell ref="Q23:R23"/>
    <mergeCell ref="A24:B24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153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17</v>
      </c>
      <c r="R2" s="7" t="s">
        <v>18</v>
      </c>
      <c r="S2" s="8" t="s">
        <v>19</v>
      </c>
    </row>
    <row r="3">
      <c r="A3" s="9">
        <v>1.0</v>
      </c>
      <c r="B3" s="9" t="s">
        <v>27</v>
      </c>
      <c r="C3" s="143">
        <v>2.0</v>
      </c>
      <c r="D3" s="143">
        <v>1.0</v>
      </c>
      <c r="E3" s="143">
        <v>4.0</v>
      </c>
      <c r="F3" s="143">
        <v>2.0</v>
      </c>
      <c r="G3" s="143">
        <v>2.0</v>
      </c>
      <c r="H3" s="143">
        <v>1.0</v>
      </c>
      <c r="I3" s="144">
        <v>1.0</v>
      </c>
      <c r="J3" s="144">
        <v>2.0</v>
      </c>
      <c r="K3" s="144">
        <v>9.0</v>
      </c>
      <c r="L3" s="144">
        <v>3.0</v>
      </c>
      <c r="M3" s="144">
        <v>1.0</v>
      </c>
      <c r="N3" s="144">
        <v>4.0</v>
      </c>
      <c r="O3" s="144">
        <v>3.0</v>
      </c>
      <c r="P3" s="144">
        <v>9.0</v>
      </c>
      <c r="Q3" s="23">
        <f t="shared" ref="Q3:Q8" si="1">SUM(C3:P3)</f>
        <v>44</v>
      </c>
      <c r="R3" s="16">
        <f t="shared" ref="R3:R8" si="2">AVERAGE(C3:P3)</f>
        <v>3.142857143</v>
      </c>
      <c r="S3" s="17">
        <f t="shared" ref="S3:S22" si="3">Q3/Q$23</f>
        <v>0.100456621</v>
      </c>
    </row>
    <row r="4">
      <c r="A4" s="9">
        <v>2.0</v>
      </c>
      <c r="B4" s="9" t="s">
        <v>154</v>
      </c>
      <c r="C4" s="145">
        <v>3.0</v>
      </c>
      <c r="D4" s="145">
        <v>5.0</v>
      </c>
      <c r="E4" s="143">
        <v>4.0</v>
      </c>
      <c r="F4" s="143">
        <v>1.0</v>
      </c>
      <c r="G4" s="143">
        <v>3.0</v>
      </c>
      <c r="H4" s="146">
        <v>6.0</v>
      </c>
      <c r="I4" s="144">
        <v>5.0</v>
      </c>
      <c r="J4" s="144">
        <v>1.0</v>
      </c>
      <c r="K4" s="144">
        <v>1.0</v>
      </c>
      <c r="L4" s="144">
        <v>6.0</v>
      </c>
      <c r="M4" s="144">
        <v>4.0</v>
      </c>
      <c r="N4" s="144">
        <v>5.0</v>
      </c>
      <c r="O4" s="144">
        <v>6.0</v>
      </c>
      <c r="P4" s="144">
        <v>6.0</v>
      </c>
      <c r="Q4" s="23">
        <f t="shared" si="1"/>
        <v>56</v>
      </c>
      <c r="R4" s="16">
        <f t="shared" si="2"/>
        <v>4</v>
      </c>
      <c r="S4" s="17">
        <f t="shared" si="3"/>
        <v>0.1278538813</v>
      </c>
    </row>
    <row r="5">
      <c r="A5" s="9">
        <v>2.0</v>
      </c>
      <c r="B5" s="9" t="s">
        <v>155</v>
      </c>
      <c r="C5" s="143">
        <v>2.0</v>
      </c>
      <c r="D5" s="143">
        <v>0.0</v>
      </c>
      <c r="E5" s="147">
        <v>4.0</v>
      </c>
      <c r="F5" s="147">
        <v>5.0</v>
      </c>
      <c r="G5" s="147">
        <v>2.0</v>
      </c>
      <c r="H5" s="143">
        <v>0.0</v>
      </c>
      <c r="I5" s="144">
        <v>3.0</v>
      </c>
      <c r="J5" s="144">
        <v>0.0</v>
      </c>
      <c r="K5" s="144">
        <v>1.0</v>
      </c>
      <c r="L5" s="144">
        <v>2.0</v>
      </c>
      <c r="M5" s="144">
        <v>0.0</v>
      </c>
      <c r="N5" s="144">
        <v>3.0</v>
      </c>
      <c r="O5" s="144">
        <v>7.0</v>
      </c>
      <c r="P5" s="144">
        <v>3.0</v>
      </c>
      <c r="Q5" s="23">
        <f t="shared" si="1"/>
        <v>32</v>
      </c>
      <c r="R5" s="16">
        <f t="shared" si="2"/>
        <v>2.285714286</v>
      </c>
      <c r="S5" s="17">
        <f t="shared" si="3"/>
        <v>0.07305936073</v>
      </c>
    </row>
    <row r="6">
      <c r="A6" s="9">
        <v>4.0</v>
      </c>
      <c r="B6" s="9" t="s">
        <v>156</v>
      </c>
      <c r="C6" s="145">
        <v>7.0</v>
      </c>
      <c r="D6" s="145">
        <v>3.0</v>
      </c>
      <c r="E6" s="145">
        <v>1.0</v>
      </c>
      <c r="F6" s="145">
        <v>1.0</v>
      </c>
      <c r="G6" s="145">
        <v>1.0</v>
      </c>
      <c r="H6" s="143">
        <v>1.0</v>
      </c>
      <c r="I6" s="144">
        <v>3.0</v>
      </c>
      <c r="J6" s="144">
        <v>3.0</v>
      </c>
      <c r="K6" s="144">
        <v>3.0</v>
      </c>
      <c r="L6" s="144">
        <v>1.0</v>
      </c>
      <c r="M6" s="144">
        <v>7.0</v>
      </c>
      <c r="N6" s="144">
        <v>3.0</v>
      </c>
      <c r="O6" s="144">
        <v>4.0</v>
      </c>
      <c r="P6" s="144">
        <v>6.0</v>
      </c>
      <c r="Q6" s="23">
        <f t="shared" si="1"/>
        <v>44</v>
      </c>
      <c r="R6" s="16">
        <f t="shared" si="2"/>
        <v>3.142857143</v>
      </c>
      <c r="S6" s="17">
        <f t="shared" si="3"/>
        <v>0.100456621</v>
      </c>
    </row>
    <row r="7">
      <c r="A7" s="9">
        <v>5.0</v>
      </c>
      <c r="B7" s="9" t="s">
        <v>157</v>
      </c>
      <c r="C7" s="143">
        <v>2.0</v>
      </c>
      <c r="D7" s="143">
        <v>0.0</v>
      </c>
      <c r="E7" s="145">
        <v>0.0</v>
      </c>
      <c r="F7" s="145">
        <v>0.0</v>
      </c>
      <c r="G7" s="145">
        <v>1.0</v>
      </c>
      <c r="H7" s="143">
        <v>0.0</v>
      </c>
      <c r="I7" s="144">
        <v>1.0</v>
      </c>
      <c r="J7" s="144">
        <v>1.0</v>
      </c>
      <c r="K7" s="144">
        <v>0.0</v>
      </c>
      <c r="L7" s="144">
        <v>2.0</v>
      </c>
      <c r="M7" s="144">
        <v>0.0</v>
      </c>
      <c r="N7" s="144">
        <v>1.0</v>
      </c>
      <c r="O7" s="144">
        <v>3.0</v>
      </c>
      <c r="P7" s="144">
        <v>6.0</v>
      </c>
      <c r="Q7" s="23">
        <f t="shared" si="1"/>
        <v>17</v>
      </c>
      <c r="R7" s="16">
        <f t="shared" si="2"/>
        <v>1.214285714</v>
      </c>
      <c r="S7" s="17">
        <f t="shared" si="3"/>
        <v>0.03881278539</v>
      </c>
    </row>
    <row r="8">
      <c r="A8" s="9">
        <v>6.0</v>
      </c>
      <c r="B8" s="9" t="s">
        <v>158</v>
      </c>
      <c r="C8" s="143">
        <v>2.0</v>
      </c>
      <c r="D8" s="143">
        <v>0.0</v>
      </c>
      <c r="E8" s="143">
        <v>0.0</v>
      </c>
      <c r="F8" s="143">
        <v>0.0</v>
      </c>
      <c r="G8" s="143">
        <v>2.0</v>
      </c>
      <c r="H8" s="143">
        <v>0.0</v>
      </c>
      <c r="I8" s="144">
        <v>0.0</v>
      </c>
      <c r="J8" s="144">
        <v>1.0</v>
      </c>
      <c r="K8" s="144">
        <v>1.0</v>
      </c>
      <c r="L8" s="144">
        <v>2.0</v>
      </c>
      <c r="M8" s="144">
        <v>0.0</v>
      </c>
      <c r="N8" s="144">
        <v>2.0</v>
      </c>
      <c r="O8" s="144">
        <v>0.0</v>
      </c>
      <c r="P8" s="144">
        <v>3.0</v>
      </c>
      <c r="Q8" s="23">
        <f t="shared" si="1"/>
        <v>13</v>
      </c>
      <c r="R8" s="16">
        <f t="shared" si="2"/>
        <v>0.9285714286</v>
      </c>
      <c r="S8" s="17">
        <f t="shared" si="3"/>
        <v>0.0296803653</v>
      </c>
    </row>
    <row r="9">
      <c r="A9" s="9">
        <v>7.0</v>
      </c>
      <c r="B9" s="9" t="s">
        <v>159</v>
      </c>
      <c r="C9" s="145">
        <v>6.0</v>
      </c>
      <c r="D9" s="145">
        <v>5.0</v>
      </c>
      <c r="E9" s="147">
        <v>2.0</v>
      </c>
      <c r="F9" s="147">
        <v>3.0</v>
      </c>
      <c r="G9" s="147">
        <v>2.0</v>
      </c>
      <c r="H9" s="145">
        <v>0.0</v>
      </c>
      <c r="I9" s="144">
        <v>0.0</v>
      </c>
      <c r="J9" s="144">
        <v>0.0</v>
      </c>
      <c r="K9" s="144">
        <v>1.0</v>
      </c>
      <c r="L9" s="144">
        <v>1.0</v>
      </c>
      <c r="M9" s="144">
        <v>3.0</v>
      </c>
      <c r="N9" s="144">
        <v>1.0</v>
      </c>
      <c r="O9" s="144">
        <v>4.0</v>
      </c>
      <c r="P9" s="93"/>
      <c r="Q9" s="23">
        <f>SUM(C9:O9)</f>
        <v>28</v>
      </c>
      <c r="R9" s="16">
        <f>AVERAGE(C9:O9)</f>
        <v>2.153846154</v>
      </c>
      <c r="S9" s="17">
        <f t="shared" si="3"/>
        <v>0.06392694064</v>
      </c>
    </row>
    <row r="10">
      <c r="A10" s="9">
        <v>8.0</v>
      </c>
      <c r="B10" s="9" t="s">
        <v>79</v>
      </c>
      <c r="C10" s="143">
        <v>2.0</v>
      </c>
      <c r="D10" s="143">
        <v>1.0</v>
      </c>
      <c r="E10" s="145">
        <v>1.0</v>
      </c>
      <c r="F10" s="145">
        <v>0.0</v>
      </c>
      <c r="G10" s="145">
        <v>1.0</v>
      </c>
      <c r="H10" s="143">
        <v>1.0</v>
      </c>
      <c r="I10" s="144">
        <v>5.0</v>
      </c>
      <c r="J10" s="144">
        <v>6.0</v>
      </c>
      <c r="K10" s="144">
        <v>2.0</v>
      </c>
      <c r="L10" s="144">
        <v>4.0</v>
      </c>
      <c r="M10" s="144">
        <v>3.0</v>
      </c>
      <c r="N10" s="144">
        <v>4.0</v>
      </c>
      <c r="O10" s="93"/>
      <c r="P10" s="93"/>
      <c r="Q10" s="23">
        <f>SUM(C10:N10)</f>
        <v>30</v>
      </c>
      <c r="R10" s="16">
        <f>AVERAGE(C10:N10)</f>
        <v>2.5</v>
      </c>
      <c r="S10" s="17">
        <f t="shared" si="3"/>
        <v>0.06849315068</v>
      </c>
    </row>
    <row r="11">
      <c r="A11" s="9">
        <v>9.0</v>
      </c>
      <c r="B11" s="9" t="s">
        <v>160</v>
      </c>
      <c r="C11" s="143">
        <v>3.0</v>
      </c>
      <c r="D11" s="143">
        <v>1.0</v>
      </c>
      <c r="E11" s="143">
        <v>3.0</v>
      </c>
      <c r="F11" s="143">
        <v>0.0</v>
      </c>
      <c r="G11" s="143">
        <v>1.0</v>
      </c>
      <c r="H11" s="143">
        <v>4.0</v>
      </c>
      <c r="I11" s="144">
        <v>1.0</v>
      </c>
      <c r="J11" s="144">
        <v>6.0</v>
      </c>
      <c r="K11" s="144">
        <v>10.0</v>
      </c>
      <c r="L11" s="144">
        <v>5.0</v>
      </c>
      <c r="M11" s="144">
        <v>8.0</v>
      </c>
      <c r="N11" s="93"/>
      <c r="O11" s="93"/>
      <c r="P11" s="93"/>
      <c r="Q11" s="23">
        <f>SUM(C11:M11)</f>
        <v>42</v>
      </c>
      <c r="R11" s="16">
        <f>AVERAGE(C11:M11)</f>
        <v>3.818181818</v>
      </c>
      <c r="S11" s="17">
        <f t="shared" si="3"/>
        <v>0.09589041096</v>
      </c>
    </row>
    <row r="12">
      <c r="A12" s="9">
        <v>10.0</v>
      </c>
      <c r="B12" s="9" t="s">
        <v>111</v>
      </c>
      <c r="C12" s="143">
        <v>2.0</v>
      </c>
      <c r="D12" s="143">
        <v>0.0</v>
      </c>
      <c r="E12" s="145">
        <v>1.0</v>
      </c>
      <c r="F12" s="145">
        <v>0.0</v>
      </c>
      <c r="G12" s="145">
        <v>0.0</v>
      </c>
      <c r="H12" s="146">
        <v>2.0</v>
      </c>
      <c r="I12" s="144">
        <v>3.0</v>
      </c>
      <c r="J12" s="144">
        <v>4.0</v>
      </c>
      <c r="K12" s="144">
        <v>2.0</v>
      </c>
      <c r="L12" s="144">
        <v>5.0</v>
      </c>
      <c r="M12" s="93"/>
      <c r="N12" s="93"/>
      <c r="O12" s="93"/>
      <c r="P12" s="93"/>
      <c r="Q12" s="23">
        <f>SUM(C12:L12)</f>
        <v>19</v>
      </c>
      <c r="R12" s="16">
        <f>AVERAGE(C12:L12)</f>
        <v>1.9</v>
      </c>
      <c r="S12" s="17">
        <f t="shared" si="3"/>
        <v>0.04337899543</v>
      </c>
    </row>
    <row r="13">
      <c r="A13" s="9">
        <v>11.0</v>
      </c>
      <c r="B13" s="9" t="s">
        <v>161</v>
      </c>
      <c r="C13" s="145">
        <v>3.0</v>
      </c>
      <c r="D13" s="145">
        <v>1.0</v>
      </c>
      <c r="E13" s="143">
        <v>0.0</v>
      </c>
      <c r="F13" s="143">
        <v>0.0</v>
      </c>
      <c r="G13" s="143">
        <v>0.0</v>
      </c>
      <c r="H13" s="146">
        <v>0.0</v>
      </c>
      <c r="I13" s="144">
        <v>0.0</v>
      </c>
      <c r="J13" s="144">
        <v>0.0</v>
      </c>
      <c r="K13" s="144">
        <v>1.0</v>
      </c>
      <c r="L13" s="93"/>
      <c r="M13" s="93"/>
      <c r="N13" s="93"/>
      <c r="O13" s="93"/>
      <c r="P13" s="93"/>
      <c r="Q13" s="23">
        <f>SUM(C13:K13)</f>
        <v>5</v>
      </c>
      <c r="R13" s="16">
        <f>AVERAGE(C13:K13)</f>
        <v>0.5555555556</v>
      </c>
      <c r="S13" s="17">
        <f t="shared" si="3"/>
        <v>0.01141552511</v>
      </c>
    </row>
    <row r="14">
      <c r="A14" s="9">
        <v>12.0</v>
      </c>
      <c r="B14" s="9" t="s">
        <v>162</v>
      </c>
      <c r="C14" s="143">
        <v>2.0</v>
      </c>
      <c r="D14" s="143">
        <v>2.0</v>
      </c>
      <c r="E14" s="147">
        <v>3.0</v>
      </c>
      <c r="F14" s="147">
        <v>5.0</v>
      </c>
      <c r="G14" s="147">
        <v>0.0</v>
      </c>
      <c r="H14" s="146">
        <v>4.0</v>
      </c>
      <c r="I14" s="144">
        <v>11.0</v>
      </c>
      <c r="J14" s="144">
        <v>4.0</v>
      </c>
      <c r="K14" s="93"/>
      <c r="L14" s="93"/>
      <c r="M14" s="93"/>
      <c r="N14" s="93"/>
      <c r="O14" s="93"/>
      <c r="P14" s="93"/>
      <c r="Q14" s="23">
        <f>SUM(C14:J14)</f>
        <v>31</v>
      </c>
      <c r="R14" s="16">
        <f>AVERAGE(C14:J14)</f>
        <v>3.875</v>
      </c>
      <c r="S14" s="17">
        <f t="shared" si="3"/>
        <v>0.07077625571</v>
      </c>
    </row>
    <row r="15">
      <c r="A15" s="9">
        <v>13.0</v>
      </c>
      <c r="B15" s="9" t="s">
        <v>163</v>
      </c>
      <c r="C15" s="143">
        <v>2.0</v>
      </c>
      <c r="D15" s="143">
        <v>1.0</v>
      </c>
      <c r="E15" s="145">
        <v>0.0</v>
      </c>
      <c r="F15" s="145">
        <v>2.0</v>
      </c>
      <c r="G15" s="145">
        <v>0.0</v>
      </c>
      <c r="H15" s="145">
        <v>6.0</v>
      </c>
      <c r="I15" s="144">
        <v>7.0</v>
      </c>
      <c r="J15" s="93"/>
      <c r="K15" s="93"/>
      <c r="L15" s="93"/>
      <c r="M15" s="93"/>
      <c r="N15" s="93"/>
      <c r="O15" s="93"/>
      <c r="P15" s="93"/>
      <c r="Q15" s="23">
        <f>SUM(C15:I15)</f>
        <v>18</v>
      </c>
      <c r="R15" s="16">
        <f>AVERAGE(C15:I15)</f>
        <v>2.571428571</v>
      </c>
      <c r="S15" s="17">
        <f t="shared" si="3"/>
        <v>0.04109589041</v>
      </c>
    </row>
    <row r="16">
      <c r="A16" s="9">
        <v>14.0</v>
      </c>
      <c r="B16" s="9" t="s">
        <v>164</v>
      </c>
      <c r="C16" s="145">
        <v>2.0</v>
      </c>
      <c r="D16" s="145">
        <v>1.0</v>
      </c>
      <c r="E16" s="147">
        <v>0.0</v>
      </c>
      <c r="F16" s="147">
        <v>2.0</v>
      </c>
      <c r="G16" s="147">
        <v>3.0</v>
      </c>
      <c r="H16" s="145">
        <v>3.0</v>
      </c>
      <c r="I16" s="148"/>
      <c r="J16" s="148"/>
      <c r="K16" s="148"/>
      <c r="L16" s="148"/>
      <c r="M16" s="148"/>
      <c r="N16" s="148"/>
      <c r="O16" s="148"/>
      <c r="P16" s="148"/>
      <c r="Q16" s="23">
        <f t="shared" ref="Q16:Q17" si="4">SUM(C16:H16)</f>
        <v>11</v>
      </c>
      <c r="R16" s="16">
        <f t="shared" ref="R16:R17" si="5">AVERAGE(C16:H16)</f>
        <v>1.833333333</v>
      </c>
      <c r="S16" s="17">
        <f t="shared" si="3"/>
        <v>0.02511415525</v>
      </c>
    </row>
    <row r="17">
      <c r="A17" s="9">
        <v>15.0</v>
      </c>
      <c r="B17" s="9" t="s">
        <v>165</v>
      </c>
      <c r="C17" s="145">
        <v>1.0</v>
      </c>
      <c r="D17" s="145">
        <v>3.0</v>
      </c>
      <c r="E17" s="145">
        <v>2.0</v>
      </c>
      <c r="F17" s="145">
        <v>0.0</v>
      </c>
      <c r="G17" s="145">
        <v>1.0</v>
      </c>
      <c r="H17" s="145">
        <v>0.0</v>
      </c>
      <c r="I17" s="148"/>
      <c r="J17" s="148"/>
      <c r="K17" s="148"/>
      <c r="L17" s="148"/>
      <c r="M17" s="148"/>
      <c r="N17" s="148"/>
      <c r="O17" s="148"/>
      <c r="P17" s="148"/>
      <c r="Q17" s="23">
        <f t="shared" si="4"/>
        <v>7</v>
      </c>
      <c r="R17" s="16">
        <f t="shared" si="5"/>
        <v>1.166666667</v>
      </c>
      <c r="S17" s="17">
        <f t="shared" si="3"/>
        <v>0.01598173516</v>
      </c>
    </row>
    <row r="18">
      <c r="A18" s="9">
        <v>16.0</v>
      </c>
      <c r="B18" s="9" t="s">
        <v>166</v>
      </c>
      <c r="C18" s="143">
        <v>1.0</v>
      </c>
      <c r="D18" s="143">
        <v>0.0</v>
      </c>
      <c r="E18" s="143">
        <v>1.0</v>
      </c>
      <c r="F18" s="143">
        <v>1.0</v>
      </c>
      <c r="G18" s="143">
        <v>3.0</v>
      </c>
      <c r="H18" s="92"/>
      <c r="I18" s="92"/>
      <c r="J18" s="92"/>
      <c r="K18" s="92"/>
      <c r="L18" s="92"/>
      <c r="M18" s="92"/>
      <c r="N18" s="92"/>
      <c r="O18" s="92"/>
      <c r="P18" s="92"/>
      <c r="Q18" s="23">
        <f>SUM(C18:G18)</f>
        <v>6</v>
      </c>
      <c r="R18" s="16">
        <f>AVERAGE(C18:G18)</f>
        <v>1.2</v>
      </c>
      <c r="S18" s="17">
        <f t="shared" si="3"/>
        <v>0.01369863014</v>
      </c>
    </row>
    <row r="19">
      <c r="A19" s="9">
        <v>17.0</v>
      </c>
      <c r="B19" s="9" t="s">
        <v>107</v>
      </c>
      <c r="C19" s="145">
        <v>5.0</v>
      </c>
      <c r="D19" s="145">
        <v>5.0</v>
      </c>
      <c r="E19" s="147">
        <v>3.0</v>
      </c>
      <c r="F19" s="147">
        <v>3.0</v>
      </c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23">
        <f>SUM(C19:F19)</f>
        <v>16</v>
      </c>
      <c r="R19" s="16">
        <f>AVERAGE(C19:F19)</f>
        <v>4</v>
      </c>
      <c r="S19" s="17">
        <f t="shared" si="3"/>
        <v>0.03652968037</v>
      </c>
    </row>
    <row r="20">
      <c r="A20" s="9">
        <v>18.0</v>
      </c>
      <c r="B20" s="9" t="s">
        <v>167</v>
      </c>
      <c r="C20" s="145">
        <v>2.0</v>
      </c>
      <c r="D20" s="145">
        <v>2.0</v>
      </c>
      <c r="E20" s="147">
        <v>3.0</v>
      </c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23">
        <f>SUM(C20:E20)</f>
        <v>7</v>
      </c>
      <c r="R20" s="16">
        <f>AVERAGE(C20:E20)</f>
        <v>2.333333333</v>
      </c>
      <c r="S20" s="17">
        <f t="shared" si="3"/>
        <v>0.01598173516</v>
      </c>
    </row>
    <row r="21">
      <c r="A21" s="9">
        <v>19.0</v>
      </c>
      <c r="B21" s="9" t="s">
        <v>168</v>
      </c>
      <c r="C21" s="145">
        <v>4.0</v>
      </c>
      <c r="D21" s="145">
        <v>5.0</v>
      </c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23">
        <f>SUM(C21:D21)</f>
        <v>9</v>
      </c>
      <c r="R21" s="16">
        <f>AVERAGE(C21:D21)</f>
        <v>4.5</v>
      </c>
      <c r="S21" s="17">
        <f t="shared" si="3"/>
        <v>0.02054794521</v>
      </c>
    </row>
    <row r="22">
      <c r="A22" s="9">
        <v>20.0</v>
      </c>
      <c r="B22" s="9" t="s">
        <v>169</v>
      </c>
      <c r="C22" s="145">
        <v>3.0</v>
      </c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23">
        <f>SUM(C22)</f>
        <v>3</v>
      </c>
      <c r="R22" s="16">
        <f>AVERAGE(C22)</f>
        <v>3</v>
      </c>
      <c r="S22" s="17">
        <f t="shared" si="3"/>
        <v>0.006849315068</v>
      </c>
    </row>
    <row r="23">
      <c r="A23" s="4" t="s">
        <v>40</v>
      </c>
      <c r="B23" s="3"/>
      <c r="C23" s="23">
        <f>SUM(C3:C22)</f>
        <v>56</v>
      </c>
      <c r="D23" s="23">
        <f>SUM(D3:D21)</f>
        <v>36</v>
      </c>
      <c r="E23" s="23">
        <f>SUM(E3:E20)</f>
        <v>32</v>
      </c>
      <c r="F23" s="23">
        <f>SUM(F3:F19)</f>
        <v>25</v>
      </c>
      <c r="G23" s="23">
        <f>SUM(G3:G18)</f>
        <v>22</v>
      </c>
      <c r="H23" s="23">
        <f>SUM(H3:H17)</f>
        <v>28</v>
      </c>
      <c r="I23" s="23">
        <f>SUM(I3:I15)</f>
        <v>40</v>
      </c>
      <c r="J23" s="23">
        <f>SUM(J3:J14)</f>
        <v>28</v>
      </c>
      <c r="K23" s="23">
        <f>SUM(K3:K13)</f>
        <v>31</v>
      </c>
      <c r="L23" s="23">
        <f>SUM(L3:L12)</f>
        <v>31</v>
      </c>
      <c r="M23" s="23">
        <f>SUM(M3:M11)</f>
        <v>26</v>
      </c>
      <c r="N23" s="23">
        <f>SUM(N3:N10)</f>
        <v>23</v>
      </c>
      <c r="O23" s="23">
        <f>SUM(O3:O9)</f>
        <v>27</v>
      </c>
      <c r="P23" s="23">
        <f>SUM(P3:P8)</f>
        <v>33</v>
      </c>
      <c r="Q23" s="23">
        <f>SUM(Q3:Q22)</f>
        <v>438</v>
      </c>
      <c r="R23" s="16"/>
      <c r="S23" s="82"/>
    </row>
    <row r="24">
      <c r="A24" s="35" t="s">
        <v>18</v>
      </c>
      <c r="B24" s="3"/>
      <c r="C24" s="16">
        <f>AVERAGE(C3:C22)</f>
        <v>2.8</v>
      </c>
      <c r="D24" s="16">
        <f>AVERAGE(D3:D21)</f>
        <v>1.894736842</v>
      </c>
      <c r="E24" s="16">
        <f>AVERAGE(E3:E20)</f>
        <v>1.777777778</v>
      </c>
      <c r="F24" s="16">
        <f>AVERAGE(F3:F19)</f>
        <v>1.470588235</v>
      </c>
      <c r="G24" s="16">
        <f>AVERAGE(G3:G18)</f>
        <v>1.375</v>
      </c>
      <c r="H24" s="16">
        <f>AVERAGE(H3:H17)</f>
        <v>1.866666667</v>
      </c>
      <c r="I24" s="16">
        <f>AVERAGE(I3:I15)</f>
        <v>3.076923077</v>
      </c>
      <c r="J24" s="16">
        <f>AVERAGE(J3:J14)</f>
        <v>2.333333333</v>
      </c>
      <c r="K24" s="16">
        <f>AVERAGE(K3:K13)</f>
        <v>2.818181818</v>
      </c>
      <c r="L24" s="16">
        <f>AVERAGE(L3:L12)</f>
        <v>3.1</v>
      </c>
      <c r="M24" s="16">
        <f>AVERAGE(M3:M11)</f>
        <v>2.888888889</v>
      </c>
      <c r="N24" s="16">
        <f>AVERAGE(N3:N10)</f>
        <v>2.875</v>
      </c>
      <c r="O24" s="16">
        <f>AVERAGE(O3:O9)</f>
        <v>3.857142857</v>
      </c>
      <c r="P24" s="16">
        <f>AVERAGE(P3:P8)</f>
        <v>5.5</v>
      </c>
      <c r="Q24" s="16"/>
      <c r="R24" s="16"/>
      <c r="S24" s="82"/>
    </row>
    <row r="25">
      <c r="A25" s="4" t="s">
        <v>41</v>
      </c>
      <c r="B25" s="3"/>
      <c r="C25" s="149" t="str">
        <f>HYPERLINK("https://docs.google.com/document/d/1HqFIfqanOKAqMY-5LiEKv9dkbWUM7ZE3rVQm7kT1EG0/edit?usp=sharing","Link")</f>
        <v>Link</v>
      </c>
      <c r="D25" s="40" t="str">
        <f>HYPERLINK("https://docs.google.com/document/d/1KGSGl6IovOookuip_UqvTl0YoYakxQ3JFgtvdLlNVAA/edit?usp=sharing","Link")</f>
        <v>Link</v>
      </c>
      <c r="E25" s="40" t="str">
        <f>HYPERLINK("https://docs.google.com/document/d/1D-mtMpejbQK3rMeW0VzchvxwI2vW_cJlkKQarfDcHx0/edit?usp=sharing","Link")</f>
        <v>Link</v>
      </c>
      <c r="F25" s="40" t="str">
        <f>HYPERLINK("https://docs.google.com/document/d/1pucQTN6QGoFh0jrnELKGqx-Zw8ubWoVfwzRFCVjmzTE/edit?usp=sharing","Link")</f>
        <v>Link</v>
      </c>
      <c r="G25" s="40" t="str">
        <f>HYPERLINK("https://docs.google.com/document/d/1Zzlgg-6s2HoxkiISfdMMfudiBpaAYGbMHF8NBWcp06U/edit?usp=sharing","Link")</f>
        <v>Link</v>
      </c>
      <c r="H25" s="40" t="str">
        <f>HYPERLINK("https://docs.google.com/document/d/1ER6SNl2SR2VaZlU638bRZxbvIkIfM0oWf_ETF8a7rp4/edit?usp=sharing","Link")</f>
        <v>Link</v>
      </c>
      <c r="I25" s="40" t="str">
        <f>HYPERLINK("https://docs.google.com/document/d/1yabrbmcltYDEwRGlzey3VI1cLZuWclOdx3BeEnTiB50/edit?usp=sharing","Link")</f>
        <v>Link</v>
      </c>
      <c r="J25" s="40" t="str">
        <f>HYPERLINK("https://docs.google.com/document/d/1WoN3BBAzBTPpqOtk_5X4roomJOau0tSnHULFtrAo7LE/edit?usp=sharing","Link")</f>
        <v>Link</v>
      </c>
      <c r="K25" s="40" t="str">
        <f>HYPERLINK("https://docs.google.com/document/d/1SIK7IzuXRPebP8-rxSQ2ScMdsN0bL64L6KHsFCmssmo/edit?usp=sharing","Link")</f>
        <v>Link</v>
      </c>
      <c r="L25" s="40" t="str">
        <f>HYPERLINK("https://docs.google.com/document/d/1rxSG9su4MHcUpXz54f8uIRzSVZID9Rfo7zL3T_2LDI4/edit?usp=sharing","Link")</f>
        <v>Link</v>
      </c>
      <c r="M25" s="40" t="str">
        <f>HYPERLINK("https://docs.google.com/document/d/1TV18kHUje_eS-z4yyiaOwMjBKSSZ48YjHb_F5gED-Hc/edit?usp=sharing","Link")</f>
        <v>Link</v>
      </c>
      <c r="N25" s="40" t="str">
        <f>HYPERLINK("https://docs.google.com/document/d/1Z36neCvr1-XTJRHzSxUpULJ-THGVIFhvLO_TxgxBcRw/edit?usp=sharing","Link")</f>
        <v>Link</v>
      </c>
      <c r="O25" s="40" t="str">
        <f>HYPERLINK("https://docs.google.com/document/d/1huAhW1jIqUolNt9E9c9GQkOch9w0gL8K7xyKTuVWWvU/edit?usp=sharing","Link")</f>
        <v>Link</v>
      </c>
      <c r="P25" s="40" t="str">
        <f>HYPERLINK("https://docs.google.com/document/d/1M-527uGOpCXkVvAuRzJaaPMrOlJH2T8uJpxAtcfdn0M/edit?usp=sharing","Link")</f>
        <v>Link</v>
      </c>
      <c r="Q25" s="83" t="str">
        <f>HYPERLINK("https://docs.google.com/document/d/1YgNYrUfz93mJz2s5BokEkpo89R3U-JpxHGsIE_naLMw/edit?usp=sharing","Season Transcript")</f>
        <v>Season Transcript</v>
      </c>
      <c r="R25" s="3"/>
      <c r="S25" s="138" t="str">
        <f>HYPERLINK("https://docs.google.com/document/d/1rc8dahZ6uOMhQYiyUKfBMlfveIMexJoWlkxtuh-wl5U/edit?usp=sharing","Notes")</f>
        <v>Notes</v>
      </c>
    </row>
    <row r="26"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  <c r="S26" s="150"/>
    </row>
    <row r="27">
      <c r="A27" s="151" t="s">
        <v>170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152"/>
    </row>
    <row r="28">
      <c r="A28" s="153" t="s">
        <v>171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152"/>
    </row>
    <row r="29">
      <c r="A29" s="154" t="s">
        <v>172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152"/>
    </row>
    <row r="30">
      <c r="A30" s="155" t="s">
        <v>173</v>
      </c>
      <c r="C30" s="46"/>
      <c r="D30" s="140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152"/>
    </row>
  </sheetData>
  <mergeCells count="11">
    <mergeCell ref="A27:B27"/>
    <mergeCell ref="A28:B28"/>
    <mergeCell ref="A29:B29"/>
    <mergeCell ref="A30:B30"/>
    <mergeCell ref="A1:S1"/>
    <mergeCell ref="A2:B2"/>
    <mergeCell ref="A23:B23"/>
    <mergeCell ref="A24:B24"/>
    <mergeCell ref="A25:B25"/>
    <mergeCell ref="Q25:R25"/>
    <mergeCell ref="A26:B26"/>
  </mergeCell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174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17</v>
      </c>
      <c r="R2" s="7" t="s">
        <v>18</v>
      </c>
      <c r="S2" s="8" t="s">
        <v>19</v>
      </c>
    </row>
    <row r="3">
      <c r="A3" s="9">
        <v>1.0</v>
      </c>
      <c r="B3" s="9" t="s">
        <v>76</v>
      </c>
      <c r="C3" s="156">
        <v>4.0</v>
      </c>
      <c r="D3" s="156">
        <v>2.0</v>
      </c>
      <c r="E3" s="156">
        <v>2.0</v>
      </c>
      <c r="F3" s="156">
        <v>3.0</v>
      </c>
      <c r="G3" s="156">
        <v>5.0</v>
      </c>
      <c r="H3" s="156">
        <v>2.0</v>
      </c>
      <c r="I3" s="59">
        <v>7.0</v>
      </c>
      <c r="J3" s="60">
        <v>8.0</v>
      </c>
      <c r="K3" s="60">
        <v>5.0</v>
      </c>
      <c r="L3" s="60">
        <v>8.0</v>
      </c>
      <c r="M3" s="60">
        <v>3.0</v>
      </c>
      <c r="N3" s="60">
        <v>5.0</v>
      </c>
      <c r="O3" s="60">
        <v>8.0</v>
      </c>
      <c r="P3" s="61">
        <v>11.0</v>
      </c>
      <c r="Q3" s="23">
        <f t="shared" ref="Q3:Q7" si="1">SUM(C3:P3)</f>
        <v>73</v>
      </c>
      <c r="R3" s="16">
        <f t="shared" ref="R3:R7" si="2">AVERAGE(C3:P3)</f>
        <v>5.214285714</v>
      </c>
      <c r="S3" s="17">
        <f t="shared" ref="S3:S20" si="3">Q3/Q$21</f>
        <v>0.1597374179</v>
      </c>
    </row>
    <row r="4">
      <c r="A4" s="9">
        <v>2.0</v>
      </c>
      <c r="B4" s="9" t="s">
        <v>175</v>
      </c>
      <c r="C4" s="157">
        <v>13.0</v>
      </c>
      <c r="D4" s="157">
        <v>0.0</v>
      </c>
      <c r="E4" s="157">
        <v>2.0</v>
      </c>
      <c r="F4" s="157">
        <v>2.0</v>
      </c>
      <c r="G4" s="158">
        <v>3.0</v>
      </c>
      <c r="H4" s="158">
        <v>1.0</v>
      </c>
      <c r="I4" s="55">
        <v>4.0</v>
      </c>
      <c r="J4" s="56">
        <v>1.0</v>
      </c>
      <c r="K4" s="56">
        <v>0.0</v>
      </c>
      <c r="L4" s="56">
        <v>1.0</v>
      </c>
      <c r="M4" s="56">
        <v>3.0</v>
      </c>
      <c r="N4" s="56">
        <v>7.0</v>
      </c>
      <c r="O4" s="56">
        <v>6.0</v>
      </c>
      <c r="P4" s="57">
        <v>7.0</v>
      </c>
      <c r="Q4" s="23">
        <f t="shared" si="1"/>
        <v>50</v>
      </c>
      <c r="R4" s="16">
        <f t="shared" si="2"/>
        <v>3.571428571</v>
      </c>
      <c r="S4" s="17">
        <f t="shared" si="3"/>
        <v>0.1094091904</v>
      </c>
    </row>
    <row r="5">
      <c r="A5" s="9">
        <v>2.0</v>
      </c>
      <c r="B5" s="9" t="s">
        <v>124</v>
      </c>
      <c r="C5" s="158">
        <v>3.0</v>
      </c>
      <c r="D5" s="158">
        <v>4.0</v>
      </c>
      <c r="E5" s="158">
        <v>3.0</v>
      </c>
      <c r="F5" s="158">
        <v>2.0</v>
      </c>
      <c r="G5" s="158">
        <v>1.0</v>
      </c>
      <c r="H5" s="158">
        <v>0.0</v>
      </c>
      <c r="I5" s="55">
        <v>1.0</v>
      </c>
      <c r="J5" s="56">
        <v>0.0</v>
      </c>
      <c r="K5" s="56">
        <v>0.0</v>
      </c>
      <c r="L5" s="56">
        <v>5.0</v>
      </c>
      <c r="M5" s="56">
        <v>0.0</v>
      </c>
      <c r="N5" s="56">
        <v>1.0</v>
      </c>
      <c r="O5" s="56">
        <v>2.0</v>
      </c>
      <c r="P5" s="57">
        <v>2.0</v>
      </c>
      <c r="Q5" s="23">
        <f t="shared" si="1"/>
        <v>24</v>
      </c>
      <c r="R5" s="16">
        <f t="shared" si="2"/>
        <v>1.714285714</v>
      </c>
      <c r="S5" s="17">
        <f t="shared" si="3"/>
        <v>0.05251641138</v>
      </c>
    </row>
    <row r="6">
      <c r="A6" s="9">
        <v>4.0</v>
      </c>
      <c r="B6" s="9" t="s">
        <v>176</v>
      </c>
      <c r="C6" s="156">
        <v>4.0</v>
      </c>
      <c r="D6" s="156">
        <v>2.0</v>
      </c>
      <c r="E6" s="156">
        <v>4.0</v>
      </c>
      <c r="F6" s="156">
        <v>4.0</v>
      </c>
      <c r="G6" s="156">
        <v>1.0</v>
      </c>
      <c r="H6" s="156">
        <v>7.0</v>
      </c>
      <c r="I6" s="55">
        <v>7.0</v>
      </c>
      <c r="J6" s="56">
        <v>6.0</v>
      </c>
      <c r="K6" s="56">
        <v>2.0</v>
      </c>
      <c r="L6" s="56">
        <v>3.0</v>
      </c>
      <c r="M6" s="56">
        <v>2.0</v>
      </c>
      <c r="N6" s="56">
        <v>5.0</v>
      </c>
      <c r="O6" s="56">
        <v>3.0</v>
      </c>
      <c r="P6" s="57">
        <v>2.0</v>
      </c>
      <c r="Q6" s="23">
        <f t="shared" si="1"/>
        <v>52</v>
      </c>
      <c r="R6" s="16">
        <f t="shared" si="2"/>
        <v>3.714285714</v>
      </c>
      <c r="S6" s="17">
        <f t="shared" si="3"/>
        <v>0.113785558</v>
      </c>
    </row>
    <row r="7">
      <c r="A7" s="9">
        <v>5.0</v>
      </c>
      <c r="B7" s="9" t="s">
        <v>102</v>
      </c>
      <c r="C7" s="156">
        <v>2.0</v>
      </c>
      <c r="D7" s="156">
        <v>0.0</v>
      </c>
      <c r="E7" s="156">
        <v>0.0</v>
      </c>
      <c r="F7" s="156">
        <v>1.0</v>
      </c>
      <c r="G7" s="156">
        <v>4.0</v>
      </c>
      <c r="H7" s="156">
        <v>4.0</v>
      </c>
      <c r="I7" s="55">
        <v>0.0</v>
      </c>
      <c r="J7" s="56">
        <v>1.0</v>
      </c>
      <c r="K7" s="56">
        <v>1.0</v>
      </c>
      <c r="L7" s="56">
        <v>1.0</v>
      </c>
      <c r="M7" s="56">
        <v>2.0</v>
      </c>
      <c r="N7" s="56">
        <v>1.0</v>
      </c>
      <c r="O7" s="56">
        <v>2.0</v>
      </c>
      <c r="P7" s="159">
        <v>2.0</v>
      </c>
      <c r="Q7" s="23">
        <f t="shared" si="1"/>
        <v>21</v>
      </c>
      <c r="R7" s="16">
        <f t="shared" si="2"/>
        <v>1.5</v>
      </c>
      <c r="S7" s="17">
        <f t="shared" si="3"/>
        <v>0.04595185996</v>
      </c>
    </row>
    <row r="8">
      <c r="A8" s="9">
        <v>6.0</v>
      </c>
      <c r="B8" s="9" t="s">
        <v>177</v>
      </c>
      <c r="C8" s="156">
        <v>6.0</v>
      </c>
      <c r="D8" s="156">
        <v>0.0</v>
      </c>
      <c r="E8" s="156">
        <v>1.0</v>
      </c>
      <c r="F8" s="156">
        <v>2.0</v>
      </c>
      <c r="G8" s="156">
        <v>1.0</v>
      </c>
      <c r="H8" s="156">
        <v>1.0</v>
      </c>
      <c r="I8" s="55">
        <v>3.0</v>
      </c>
      <c r="J8" s="56">
        <v>2.0</v>
      </c>
      <c r="K8" s="56">
        <v>0.0</v>
      </c>
      <c r="L8" s="56">
        <v>5.0</v>
      </c>
      <c r="M8" s="56">
        <v>6.0</v>
      </c>
      <c r="N8" s="56">
        <v>5.0</v>
      </c>
      <c r="O8" s="160">
        <v>5.0</v>
      </c>
      <c r="P8" s="161"/>
      <c r="Q8" s="23">
        <f>SUM(C8:O8)</f>
        <v>37</v>
      </c>
      <c r="R8" s="16">
        <f>AVERAGE(C8:O8)</f>
        <v>2.846153846</v>
      </c>
      <c r="S8" s="17">
        <f t="shared" si="3"/>
        <v>0.08096280088</v>
      </c>
    </row>
    <row r="9">
      <c r="A9" s="9">
        <v>7.0</v>
      </c>
      <c r="B9" s="9" t="s">
        <v>178</v>
      </c>
      <c r="C9" s="157">
        <v>3.0</v>
      </c>
      <c r="D9" s="157">
        <v>1.0</v>
      </c>
      <c r="E9" s="157">
        <v>2.0</v>
      </c>
      <c r="F9" s="157">
        <v>0.0</v>
      </c>
      <c r="G9" s="156">
        <v>1.0</v>
      </c>
      <c r="H9" s="156">
        <v>0.0</v>
      </c>
      <c r="I9" s="55">
        <v>5.0</v>
      </c>
      <c r="J9" s="56">
        <v>4.0</v>
      </c>
      <c r="K9" s="56">
        <v>0.0</v>
      </c>
      <c r="L9" s="56">
        <v>1.0</v>
      </c>
      <c r="M9" s="56">
        <v>4.0</v>
      </c>
      <c r="N9" s="162">
        <v>6.0</v>
      </c>
      <c r="O9" s="69"/>
      <c r="P9" s="67"/>
      <c r="Q9" s="23">
        <f>SUM(C9:N9)</f>
        <v>27</v>
      </c>
      <c r="R9" s="16">
        <f>AVERAGE(C9:N9)</f>
        <v>2.25</v>
      </c>
      <c r="S9" s="17">
        <f t="shared" si="3"/>
        <v>0.0590809628</v>
      </c>
    </row>
    <row r="10">
      <c r="A10" s="9">
        <v>8.0</v>
      </c>
      <c r="B10" s="9" t="s">
        <v>168</v>
      </c>
      <c r="C10" s="157">
        <v>3.0</v>
      </c>
      <c r="D10" s="157">
        <v>1.0</v>
      </c>
      <c r="E10" s="157">
        <v>2.0</v>
      </c>
      <c r="F10" s="157">
        <v>1.0</v>
      </c>
      <c r="G10" s="158">
        <v>3.0</v>
      </c>
      <c r="H10" s="158">
        <v>5.0</v>
      </c>
      <c r="I10" s="55">
        <v>2.0</v>
      </c>
      <c r="J10" s="56">
        <v>3.0</v>
      </c>
      <c r="K10" s="56">
        <v>6.0</v>
      </c>
      <c r="L10" s="56">
        <v>3.0</v>
      </c>
      <c r="M10" s="162">
        <v>4.0</v>
      </c>
      <c r="N10" s="69"/>
      <c r="O10" s="69"/>
      <c r="P10" s="67"/>
      <c r="Q10" s="23">
        <f>SUM(C10:M10)</f>
        <v>33</v>
      </c>
      <c r="R10" s="16">
        <f>AVERAGE(C10:M10)</f>
        <v>3</v>
      </c>
      <c r="S10" s="17">
        <f t="shared" si="3"/>
        <v>0.07221006565</v>
      </c>
    </row>
    <row r="11">
      <c r="A11" s="9">
        <v>9.0</v>
      </c>
      <c r="B11" s="9" t="s">
        <v>179</v>
      </c>
      <c r="C11" s="158">
        <v>10.0</v>
      </c>
      <c r="D11" s="158">
        <v>2.0</v>
      </c>
      <c r="E11" s="158">
        <v>4.0</v>
      </c>
      <c r="F11" s="158">
        <v>4.0</v>
      </c>
      <c r="G11" s="158">
        <v>4.0</v>
      </c>
      <c r="H11" s="158">
        <v>2.0</v>
      </c>
      <c r="I11" s="55">
        <v>3.0</v>
      </c>
      <c r="J11" s="56">
        <v>1.0</v>
      </c>
      <c r="K11" s="56">
        <v>4.0</v>
      </c>
      <c r="L11" s="162">
        <v>2.0</v>
      </c>
      <c r="M11" s="69"/>
      <c r="N11" s="69"/>
      <c r="O11" s="69"/>
      <c r="P11" s="67"/>
      <c r="Q11" s="23">
        <f>SUM(C11:L11)</f>
        <v>36</v>
      </c>
      <c r="R11" s="16">
        <f>AVERAGE(C11:L11)</f>
        <v>3.6</v>
      </c>
      <c r="S11" s="17">
        <f t="shared" si="3"/>
        <v>0.07877461707</v>
      </c>
    </row>
    <row r="12">
      <c r="A12" s="9">
        <v>10.0</v>
      </c>
      <c r="B12" s="9" t="s">
        <v>79</v>
      </c>
      <c r="C12" s="158">
        <v>5.0</v>
      </c>
      <c r="D12" s="158">
        <v>3.0</v>
      </c>
      <c r="E12" s="158">
        <v>4.0</v>
      </c>
      <c r="F12" s="158">
        <v>0.0</v>
      </c>
      <c r="G12" s="156">
        <v>0.0</v>
      </c>
      <c r="H12" s="156">
        <v>2.0</v>
      </c>
      <c r="I12" s="55">
        <v>1.0</v>
      </c>
      <c r="J12" s="56">
        <v>4.0</v>
      </c>
      <c r="K12" s="162">
        <v>7.0</v>
      </c>
      <c r="L12" s="69"/>
      <c r="M12" s="69"/>
      <c r="N12" s="69"/>
      <c r="O12" s="69"/>
      <c r="P12" s="67"/>
      <c r="Q12" s="23">
        <f>SUM(C12:K12)</f>
        <v>26</v>
      </c>
      <c r="R12" s="16">
        <f>AVERAGE(C12:K12)</f>
        <v>2.888888889</v>
      </c>
      <c r="S12" s="17">
        <f t="shared" si="3"/>
        <v>0.05689277899</v>
      </c>
    </row>
    <row r="13">
      <c r="A13" s="9">
        <v>11.0</v>
      </c>
      <c r="B13" s="9" t="s">
        <v>106</v>
      </c>
      <c r="C13" s="158">
        <v>2.0</v>
      </c>
      <c r="D13" s="158">
        <v>2.0</v>
      </c>
      <c r="E13" s="158">
        <v>2.0</v>
      </c>
      <c r="F13" s="158">
        <v>1.0</v>
      </c>
      <c r="G13" s="158">
        <v>3.0</v>
      </c>
      <c r="H13" s="158">
        <v>1.0</v>
      </c>
      <c r="I13" s="55">
        <v>2.0</v>
      </c>
      <c r="J13" s="162">
        <v>1.0</v>
      </c>
      <c r="K13" s="69"/>
      <c r="L13" s="69"/>
      <c r="M13" s="69"/>
      <c r="N13" s="69"/>
      <c r="O13" s="69"/>
      <c r="P13" s="67"/>
      <c r="Q13" s="23">
        <f>SUM(C13:J13)</f>
        <v>14</v>
      </c>
      <c r="R13" s="16">
        <f>AVERAGE(C13:J13)</f>
        <v>1.75</v>
      </c>
      <c r="S13" s="17">
        <f t="shared" si="3"/>
        <v>0.0306345733</v>
      </c>
    </row>
    <row r="14">
      <c r="A14" s="9">
        <v>12.0</v>
      </c>
      <c r="B14" s="9" t="s">
        <v>161</v>
      </c>
      <c r="C14" s="156">
        <v>1.0</v>
      </c>
      <c r="D14" s="156">
        <v>0.0</v>
      </c>
      <c r="E14" s="156">
        <v>1.0</v>
      </c>
      <c r="F14" s="156">
        <v>3.0</v>
      </c>
      <c r="G14" s="158">
        <v>3.0</v>
      </c>
      <c r="H14" s="158">
        <v>1.0</v>
      </c>
      <c r="I14" s="163">
        <v>3.0</v>
      </c>
      <c r="J14" s="76"/>
      <c r="K14" s="76"/>
      <c r="L14" s="76"/>
      <c r="M14" s="76"/>
      <c r="N14" s="76"/>
      <c r="O14" s="76"/>
      <c r="P14" s="77"/>
      <c r="Q14" s="23">
        <f>SUM(C14:I14)</f>
        <v>12</v>
      </c>
      <c r="R14" s="16">
        <f>AVERAGE(C14:I14)</f>
        <v>1.714285714</v>
      </c>
      <c r="S14" s="17">
        <f t="shared" si="3"/>
        <v>0.02625820569</v>
      </c>
    </row>
    <row r="15">
      <c r="A15" s="9">
        <v>13.0</v>
      </c>
      <c r="B15" s="9" t="s">
        <v>180</v>
      </c>
      <c r="C15" s="157">
        <v>3.0</v>
      </c>
      <c r="D15" s="157">
        <v>1.0</v>
      </c>
      <c r="E15" s="157">
        <v>2.0</v>
      </c>
      <c r="F15" s="157">
        <v>1.0</v>
      </c>
      <c r="G15" s="156">
        <v>1.0</v>
      </c>
      <c r="H15" s="164">
        <v>2.0</v>
      </c>
      <c r="I15" s="76"/>
      <c r="J15" s="76"/>
      <c r="K15" s="76"/>
      <c r="L15" s="76"/>
      <c r="M15" s="76"/>
      <c r="N15" s="76"/>
      <c r="O15" s="76"/>
      <c r="P15" s="77"/>
      <c r="Q15" s="23">
        <f>SUM(C15:H15)</f>
        <v>10</v>
      </c>
      <c r="R15" s="16">
        <f>AVERAGE(C15:H15)</f>
        <v>1.666666667</v>
      </c>
      <c r="S15" s="17">
        <f t="shared" si="3"/>
        <v>0.02188183807</v>
      </c>
    </row>
    <row r="16">
      <c r="A16" s="9">
        <v>14.0</v>
      </c>
      <c r="B16" s="9" t="s">
        <v>181</v>
      </c>
      <c r="C16" s="157">
        <v>3.0</v>
      </c>
      <c r="D16" s="157">
        <v>2.0</v>
      </c>
      <c r="E16" s="157">
        <v>0.0</v>
      </c>
      <c r="F16" s="157">
        <v>0.0</v>
      </c>
      <c r="G16" s="165">
        <v>5.0</v>
      </c>
      <c r="H16" s="69"/>
      <c r="I16" s="76"/>
      <c r="J16" s="76"/>
      <c r="K16" s="76"/>
      <c r="L16" s="76"/>
      <c r="M16" s="76"/>
      <c r="N16" s="76"/>
      <c r="O16" s="76"/>
      <c r="P16" s="77"/>
      <c r="Q16" s="23">
        <f>SUM(C16:G16)</f>
        <v>10</v>
      </c>
      <c r="R16" s="16">
        <f>AVERAGE(C16:G16)</f>
        <v>2</v>
      </c>
      <c r="S16" s="17">
        <f t="shared" si="3"/>
        <v>0.02188183807</v>
      </c>
    </row>
    <row r="17">
      <c r="A17" s="9">
        <v>15.0</v>
      </c>
      <c r="B17" s="9" t="s">
        <v>182</v>
      </c>
      <c r="C17" s="156">
        <v>2.0</v>
      </c>
      <c r="D17" s="156">
        <v>1.0</v>
      </c>
      <c r="E17" s="156">
        <v>3.0</v>
      </c>
      <c r="F17" s="164">
        <v>1.0</v>
      </c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23">
        <f>SUM(C17:F17)</f>
        <v>7</v>
      </c>
      <c r="R17" s="16">
        <f>AVERAGE(C17:F17)</f>
        <v>1.75</v>
      </c>
      <c r="S17" s="17">
        <f t="shared" si="3"/>
        <v>0.01531728665</v>
      </c>
    </row>
    <row r="18">
      <c r="A18" s="9">
        <v>16.0</v>
      </c>
      <c r="B18" s="9" t="s">
        <v>183</v>
      </c>
      <c r="C18" s="158">
        <v>1.0</v>
      </c>
      <c r="D18" s="158">
        <v>2.0</v>
      </c>
      <c r="E18" s="165">
        <v>3.0</v>
      </c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7"/>
      <c r="Q18" s="23">
        <f>SUM(C18:E18)</f>
        <v>6</v>
      </c>
      <c r="R18" s="16">
        <f>AVERAGE(C18:E18)</f>
        <v>2</v>
      </c>
      <c r="S18" s="17">
        <f t="shared" si="3"/>
        <v>0.01312910284</v>
      </c>
    </row>
    <row r="19">
      <c r="A19" s="9">
        <v>17.0</v>
      </c>
      <c r="B19" s="9" t="s">
        <v>184</v>
      </c>
      <c r="C19" s="158">
        <v>6.0</v>
      </c>
      <c r="D19" s="165">
        <v>6.0</v>
      </c>
      <c r="E19" s="69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23">
        <f>SUM(C19:D19)</f>
        <v>12</v>
      </c>
      <c r="R19" s="16">
        <f>AVERAGE(C19:D19)</f>
        <v>6</v>
      </c>
      <c r="S19" s="17">
        <f t="shared" si="3"/>
        <v>0.02625820569</v>
      </c>
    </row>
    <row r="20">
      <c r="A20" s="9">
        <v>18.0</v>
      </c>
      <c r="B20" s="9" t="s">
        <v>185</v>
      </c>
      <c r="C20" s="166">
        <v>7.0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80"/>
      <c r="Q20" s="23">
        <f>SUM(C20)</f>
        <v>7</v>
      </c>
      <c r="R20" s="16">
        <f>AVERAGE(C20)</f>
        <v>7</v>
      </c>
      <c r="S20" s="17">
        <f t="shared" si="3"/>
        <v>0.01531728665</v>
      </c>
    </row>
    <row r="21">
      <c r="A21" s="4" t="s">
        <v>40</v>
      </c>
      <c r="B21" s="3"/>
      <c r="C21" s="23">
        <f>SUM(C3:C20)</f>
        <v>78</v>
      </c>
      <c r="D21" s="23">
        <f>SUM(D3:D19)</f>
        <v>29</v>
      </c>
      <c r="E21" s="23">
        <f>SUM(E3:E18)</f>
        <v>35</v>
      </c>
      <c r="F21" s="23">
        <f>SUM(F3:F17)</f>
        <v>25</v>
      </c>
      <c r="G21" s="23">
        <f>SUM(G3:G16)</f>
        <v>35</v>
      </c>
      <c r="H21" s="23">
        <f>SUM(H3:H15)</f>
        <v>28</v>
      </c>
      <c r="I21" s="23">
        <f>SUM(I3:I14)</f>
        <v>38</v>
      </c>
      <c r="J21" s="23">
        <f>SUM(J3:J13)</f>
        <v>31</v>
      </c>
      <c r="K21" s="23">
        <f>SUM(K3:K12)</f>
        <v>25</v>
      </c>
      <c r="L21" s="23">
        <f>SUM(L3:L11)</f>
        <v>29</v>
      </c>
      <c r="M21" s="23">
        <f>SUM(M3:M10)</f>
        <v>24</v>
      </c>
      <c r="N21" s="23">
        <f>SUM(N3:N9)</f>
        <v>30</v>
      </c>
      <c r="O21" s="23">
        <f>SUM(O3:O8)</f>
        <v>26</v>
      </c>
      <c r="P21" s="23">
        <f>SUM(P3:P7)</f>
        <v>24</v>
      </c>
      <c r="Q21" s="23">
        <f>SUM(Q3:Q20)</f>
        <v>457</v>
      </c>
      <c r="R21" s="16"/>
      <c r="S21" s="82"/>
    </row>
    <row r="22">
      <c r="A22" s="35" t="s">
        <v>18</v>
      </c>
      <c r="B22" s="3"/>
      <c r="C22" s="16">
        <f>AVERAGE(C3:C20)</f>
        <v>4.333333333</v>
      </c>
      <c r="D22" s="16">
        <f>AVERAGE(D3:D19)</f>
        <v>1.705882353</v>
      </c>
      <c r="E22" s="16">
        <f>AVERAGE(E3:E18)</f>
        <v>2.1875</v>
      </c>
      <c r="F22" s="16">
        <f>AVERAGE(F3:F17)</f>
        <v>1.666666667</v>
      </c>
      <c r="G22" s="16">
        <f>AVERAGE(G3:G16)</f>
        <v>2.5</v>
      </c>
      <c r="H22" s="16">
        <f>AVERAGE(H3:H15)</f>
        <v>2.153846154</v>
      </c>
      <c r="I22" s="16">
        <f>AVERAGE(I3:I14)</f>
        <v>3.166666667</v>
      </c>
      <c r="J22" s="16">
        <f>AVERAGE(J3:J13)</f>
        <v>2.818181818</v>
      </c>
      <c r="K22" s="16">
        <f>AVERAGE(K3:K12)</f>
        <v>2.5</v>
      </c>
      <c r="L22" s="16">
        <f>AVERAGE(L3:L11)</f>
        <v>3.222222222</v>
      </c>
      <c r="M22" s="16">
        <f>AVERAGE(M3:M10)</f>
        <v>3</v>
      </c>
      <c r="N22" s="16">
        <f>AVERAGE(N3:N9)</f>
        <v>4.285714286</v>
      </c>
      <c r="O22" s="16">
        <f>AVERAGE(O3:O8)</f>
        <v>4.333333333</v>
      </c>
      <c r="P22" s="16">
        <f>AVERAGE(P3:P7)</f>
        <v>4.8</v>
      </c>
      <c r="Q22" s="16"/>
      <c r="R22" s="16"/>
      <c r="S22" s="82"/>
    </row>
    <row r="23">
      <c r="A23" s="4" t="s">
        <v>41</v>
      </c>
      <c r="B23" s="3"/>
      <c r="C23" s="149" t="str">
        <f>HYPERLINK("https://docs.google.com/document/d/1hL6DEAa5zVgXYpTIlZT0O8cL5eyhhkIHvLLNNEm2p_Q/edit?usp=sharing","Link")</f>
        <v>Link</v>
      </c>
      <c r="D23" s="149" t="str">
        <f>HYPERLINK("https://docs.google.com/document/d/1VH9MihtWyeCDYpoVdb7Aa2FbWdEQpQ9V80nFjmfO4WE/edit?usp=sharing","Link")</f>
        <v>Link</v>
      </c>
      <c r="E23" s="149" t="str">
        <f>HYPERLINK("https://docs.google.com/document/d/1CUPg0TfK0lsWwK5i96l4HMKEsNwF_XDuU3LLUtMMD5A/edit?usp=sharing","Link")</f>
        <v>Link</v>
      </c>
      <c r="F23" s="149" t="str">
        <f>HYPERLINK("https://docs.google.com/document/d/1LpQ4dj6OGonLplLo4c6Y5PPg9B2vy5hEGg27CTm7vfI/edit?usp=sharing","Link")</f>
        <v>Link</v>
      </c>
      <c r="G23" s="149" t="str">
        <f>HYPERLINK("https://docs.google.com/document/d/1A2ArBKzf4f0T4mgWFqc8RlX2i-BlZKKQNUGfdPumDUc/edit?usp=sharing","Link")</f>
        <v>Link</v>
      </c>
      <c r="H23" s="149" t="str">
        <f>HYPERLINK("https://docs.google.com/document/d/1Y7gKOPi9f5vJb7wcE28LHT2EMt3KwvYti78QO094nVg/edit?usp=sharing","Link")</f>
        <v>Link</v>
      </c>
      <c r="I23" s="149" t="str">
        <f>HYPERLINK("https://docs.google.com/document/d/1VaE3F97a5blz6UqnjiRm217HxxupuxRinAhYURlJz9c/edit?usp=sharing","Link")</f>
        <v>Link</v>
      </c>
      <c r="J23" s="149" t="str">
        <f>HYPERLINK("https://docs.google.com/document/d/1rjmF29W2nvm2HQabrNdwXTfRrEFvrwZE3wHbhYEO80s/edit?usp=sharing","Link")</f>
        <v>Link</v>
      </c>
      <c r="K23" s="149" t="str">
        <f>HYPERLINK("https://docs.google.com/document/d/1HPky1yFN3qbT-IxIKcrYo1qtIRTm8JTVll02m0Fg0Sk/edit?usp=sharing","Link")</f>
        <v>Link</v>
      </c>
      <c r="L23" s="149" t="str">
        <f>HYPERLINK("https://docs.google.com/document/d/1oSJQ9bAtzNhRPx3ykPcNRXTDd_1FYypo-G07RhG3t_Q/edit?usp=sharing","Link")</f>
        <v>Link</v>
      </c>
      <c r="M23" s="149" t="str">
        <f>HYPERLINK("https://docs.google.com/document/d/16lYom6KCeYyiK9ssa7ONY_n1tFspXpWg7Emwv7Y5N1Y/edit?usp=sharing","Link")</f>
        <v>Link</v>
      </c>
      <c r="N23" s="149" t="str">
        <f>HYPERLINK("https://docs.google.com/document/d/1VlBMOfzpRzNew5wo56VsbqnSewLMYkaWqwvFRJnyeO4/edit?usp=sharing","Link")</f>
        <v>Link</v>
      </c>
      <c r="O23" s="149" t="str">
        <f>HYPERLINK("https://docs.google.com/document/d/1R40FCKEd2CdQT_j8Wl-IF5hSg9CnrGAtALWpLPMkz6Q/edit?usp=sharing","Link")</f>
        <v>Link</v>
      </c>
      <c r="P23" s="149" t="str">
        <f>HYPERLINK("https://docs.google.com/document/d/16mljORVJN0un--xDF5gurSYGarrgiH5p3G6rQiaK_q0/edit?usp=sharing","Link")</f>
        <v>Link</v>
      </c>
      <c r="Q23" s="83" t="str">
        <f>HYPERLINK("https://docs.google.com/document/d/1SYt5tSCHwGvGT_DHhxaFuJipKADJ4q4e-x0t1nbnUsY/edit?usp=sharing","Season Transcript")</f>
        <v>Season Transcript</v>
      </c>
      <c r="R23" s="3"/>
      <c r="S23" s="138" t="str">
        <f>HYPERLINK("https://docs.google.com/document/d/1c13C4FETOdcsqYlBU9S-w98pWHNDBPD6AH8L05UITc0/edit?usp=sharing","Differences")</f>
        <v>Differences</v>
      </c>
    </row>
    <row r="24"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  <c r="S24" s="150"/>
    </row>
    <row r="25">
      <c r="A25" s="167" t="s">
        <v>186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152"/>
    </row>
    <row r="26">
      <c r="A26" s="168" t="s">
        <v>187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152"/>
    </row>
    <row r="27">
      <c r="A27" s="169" t="s">
        <v>188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152"/>
    </row>
    <row r="28">
      <c r="A28" s="51" t="s">
        <v>189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152"/>
    </row>
  </sheetData>
  <mergeCells count="11">
    <mergeCell ref="A25:B25"/>
    <mergeCell ref="A26:B26"/>
    <mergeCell ref="A27:B27"/>
    <mergeCell ref="A28:B28"/>
    <mergeCell ref="A1:S1"/>
    <mergeCell ref="A2:B2"/>
    <mergeCell ref="A21:B21"/>
    <mergeCell ref="A22:B22"/>
    <mergeCell ref="A23:B23"/>
    <mergeCell ref="Q23:R23"/>
    <mergeCell ref="A24:B24"/>
  </mergeCell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190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17</v>
      </c>
      <c r="R2" s="7" t="s">
        <v>18</v>
      </c>
      <c r="S2" s="8" t="s">
        <v>19</v>
      </c>
    </row>
    <row r="3">
      <c r="A3" s="9">
        <v>1.0</v>
      </c>
      <c r="B3" s="9" t="s">
        <v>21</v>
      </c>
      <c r="C3" s="170">
        <v>2.0</v>
      </c>
      <c r="D3" s="170">
        <v>1.0</v>
      </c>
      <c r="E3" s="170">
        <v>2.0</v>
      </c>
      <c r="F3" s="170">
        <v>2.0</v>
      </c>
      <c r="G3" s="170">
        <v>0.0</v>
      </c>
      <c r="H3" s="170">
        <v>3.0</v>
      </c>
      <c r="I3" s="171">
        <v>0.0</v>
      </c>
      <c r="J3" s="171">
        <v>1.0</v>
      </c>
      <c r="K3" s="171">
        <v>1.0</v>
      </c>
      <c r="L3" s="171">
        <v>6.0</v>
      </c>
      <c r="M3" s="171">
        <v>5.0</v>
      </c>
      <c r="N3" s="171">
        <v>10.0</v>
      </c>
      <c r="O3" s="171">
        <v>4.0</v>
      </c>
      <c r="P3" s="171">
        <v>9.0</v>
      </c>
      <c r="Q3" s="23">
        <f t="shared" ref="Q3:Q20" si="1">SUM(C3:P3)</f>
        <v>46</v>
      </c>
      <c r="R3" s="16">
        <f t="shared" ref="R3:R7" si="2">AVERAGE(C3:P3)</f>
        <v>3.285714286</v>
      </c>
      <c r="S3" s="17">
        <f t="shared" ref="S3:S20" si="3">Q3/Q$21</f>
        <v>0.1033707865</v>
      </c>
    </row>
    <row r="4">
      <c r="A4" s="9">
        <v>2.0</v>
      </c>
      <c r="B4" s="9" t="s">
        <v>191</v>
      </c>
      <c r="C4" s="172">
        <v>1.0</v>
      </c>
      <c r="D4" s="172">
        <v>0.0</v>
      </c>
      <c r="E4" s="172">
        <v>0.0</v>
      </c>
      <c r="F4" s="172">
        <v>1.0</v>
      </c>
      <c r="G4" s="172">
        <v>3.0</v>
      </c>
      <c r="H4" s="172">
        <v>0.0</v>
      </c>
      <c r="I4" s="171">
        <v>2.0</v>
      </c>
      <c r="J4" s="171">
        <v>3.0</v>
      </c>
      <c r="K4" s="171">
        <v>0.0</v>
      </c>
      <c r="L4" s="171">
        <v>1.0</v>
      </c>
      <c r="M4" s="171">
        <v>8.0</v>
      </c>
      <c r="N4" s="171">
        <v>3.0</v>
      </c>
      <c r="O4" s="171">
        <v>2.0</v>
      </c>
      <c r="P4" s="171">
        <v>7.0</v>
      </c>
      <c r="Q4" s="23">
        <f t="shared" si="1"/>
        <v>31</v>
      </c>
      <c r="R4" s="16">
        <f t="shared" si="2"/>
        <v>2.214285714</v>
      </c>
      <c r="S4" s="17">
        <f t="shared" si="3"/>
        <v>0.06966292135</v>
      </c>
    </row>
    <row r="5">
      <c r="A5" s="9">
        <v>3.0</v>
      </c>
      <c r="B5" s="9" t="s">
        <v>192</v>
      </c>
      <c r="C5" s="170">
        <v>3.0</v>
      </c>
      <c r="D5" s="170">
        <v>1.0</v>
      </c>
      <c r="E5" s="170">
        <v>1.0</v>
      </c>
      <c r="F5" s="170">
        <v>0.0</v>
      </c>
      <c r="G5" s="172">
        <v>1.0</v>
      </c>
      <c r="H5" s="172">
        <v>3.0</v>
      </c>
      <c r="I5" s="171">
        <v>4.0</v>
      </c>
      <c r="J5" s="171">
        <v>3.0</v>
      </c>
      <c r="K5" s="171">
        <v>2.0</v>
      </c>
      <c r="L5" s="171">
        <v>1.0</v>
      </c>
      <c r="M5" s="171">
        <v>3.0</v>
      </c>
      <c r="N5" s="171">
        <v>1.0</v>
      </c>
      <c r="O5" s="171">
        <v>3.0</v>
      </c>
      <c r="P5" s="171">
        <v>5.0</v>
      </c>
      <c r="Q5" s="23">
        <f t="shared" si="1"/>
        <v>31</v>
      </c>
      <c r="R5" s="16">
        <f t="shared" si="2"/>
        <v>2.214285714</v>
      </c>
      <c r="S5" s="17">
        <f t="shared" si="3"/>
        <v>0.06966292135</v>
      </c>
    </row>
    <row r="6">
      <c r="A6" s="9">
        <v>4.0</v>
      </c>
      <c r="B6" s="9" t="s">
        <v>157</v>
      </c>
      <c r="C6" s="170">
        <v>7.0</v>
      </c>
      <c r="D6" s="170">
        <v>0.0</v>
      </c>
      <c r="E6" s="170">
        <v>5.0</v>
      </c>
      <c r="F6" s="170">
        <v>3.0</v>
      </c>
      <c r="G6" s="172">
        <v>2.0</v>
      </c>
      <c r="H6" s="172">
        <v>2.0</v>
      </c>
      <c r="I6" s="171">
        <v>6.0</v>
      </c>
      <c r="J6" s="171">
        <v>1.0</v>
      </c>
      <c r="K6" s="171">
        <v>4.0</v>
      </c>
      <c r="L6" s="171">
        <v>2.0</v>
      </c>
      <c r="M6" s="171">
        <v>1.0</v>
      </c>
      <c r="N6" s="171">
        <v>2.0</v>
      </c>
      <c r="O6" s="171">
        <v>4.0</v>
      </c>
      <c r="P6" s="171">
        <v>8.0</v>
      </c>
      <c r="Q6" s="23">
        <f t="shared" si="1"/>
        <v>47</v>
      </c>
      <c r="R6" s="16">
        <f t="shared" si="2"/>
        <v>3.357142857</v>
      </c>
      <c r="S6" s="17">
        <f t="shared" si="3"/>
        <v>0.1056179775</v>
      </c>
    </row>
    <row r="7">
      <c r="A7" s="9">
        <v>5.0</v>
      </c>
      <c r="B7" s="9" t="s">
        <v>193</v>
      </c>
      <c r="C7" s="172">
        <v>4.0</v>
      </c>
      <c r="D7" s="172">
        <v>1.0</v>
      </c>
      <c r="E7" s="172">
        <v>4.0</v>
      </c>
      <c r="F7" s="172">
        <v>2.0</v>
      </c>
      <c r="G7" s="172">
        <v>3.0</v>
      </c>
      <c r="H7" s="172">
        <v>0.0</v>
      </c>
      <c r="I7" s="171">
        <v>1.0</v>
      </c>
      <c r="J7" s="171">
        <v>3.0</v>
      </c>
      <c r="K7" s="171">
        <v>2.0</v>
      </c>
      <c r="L7" s="171">
        <v>1.0</v>
      </c>
      <c r="M7" s="171">
        <v>2.0</v>
      </c>
      <c r="N7" s="171">
        <v>5.0</v>
      </c>
      <c r="O7" s="171">
        <v>6.0</v>
      </c>
      <c r="P7" s="171">
        <v>2.0</v>
      </c>
      <c r="Q7" s="23">
        <f t="shared" si="1"/>
        <v>36</v>
      </c>
      <c r="R7" s="16">
        <f t="shared" si="2"/>
        <v>2.571428571</v>
      </c>
      <c r="S7" s="17">
        <f t="shared" si="3"/>
        <v>0.0808988764</v>
      </c>
    </row>
    <row r="8">
      <c r="A8" s="9">
        <v>6.0</v>
      </c>
      <c r="B8" s="9" t="s">
        <v>194</v>
      </c>
      <c r="C8" s="170">
        <v>2.0</v>
      </c>
      <c r="D8" s="170">
        <v>2.0</v>
      </c>
      <c r="E8" s="170">
        <v>0.0</v>
      </c>
      <c r="F8" s="170">
        <v>2.0</v>
      </c>
      <c r="G8" s="172">
        <v>5.0</v>
      </c>
      <c r="H8" s="172">
        <v>3.0</v>
      </c>
      <c r="I8" s="171">
        <v>5.0</v>
      </c>
      <c r="J8" s="171">
        <v>7.0</v>
      </c>
      <c r="K8" s="171">
        <v>5.0</v>
      </c>
      <c r="L8" s="171">
        <v>2.0</v>
      </c>
      <c r="M8" s="171">
        <v>9.0</v>
      </c>
      <c r="N8" s="171">
        <v>8.0</v>
      </c>
      <c r="O8" s="171">
        <v>6.0</v>
      </c>
      <c r="P8" s="173"/>
      <c r="Q8" s="23">
        <f t="shared" si="1"/>
        <v>56</v>
      </c>
      <c r="R8" s="16">
        <f>AVERAGE(C8:O8)</f>
        <v>4.307692308</v>
      </c>
      <c r="S8" s="17">
        <f t="shared" si="3"/>
        <v>0.1258426966</v>
      </c>
    </row>
    <row r="9">
      <c r="A9" s="9">
        <v>7.0</v>
      </c>
      <c r="B9" s="9" t="s">
        <v>195</v>
      </c>
      <c r="C9" s="172">
        <v>2.0</v>
      </c>
      <c r="D9" s="172">
        <v>0.0</v>
      </c>
      <c r="E9" s="172">
        <v>2.0</v>
      </c>
      <c r="F9" s="172">
        <v>4.0</v>
      </c>
      <c r="G9" s="170">
        <v>2.0</v>
      </c>
      <c r="H9" s="170">
        <v>1.0</v>
      </c>
      <c r="I9" s="171">
        <v>0.0</v>
      </c>
      <c r="J9" s="171">
        <v>1.0</v>
      </c>
      <c r="K9" s="171">
        <v>0.0</v>
      </c>
      <c r="L9" s="171">
        <v>1.0</v>
      </c>
      <c r="M9" s="171">
        <v>2.0</v>
      </c>
      <c r="N9" s="171">
        <v>2.0</v>
      </c>
      <c r="O9" s="173"/>
      <c r="P9" s="173"/>
      <c r="Q9" s="23">
        <f t="shared" si="1"/>
        <v>17</v>
      </c>
      <c r="R9" s="16">
        <f>AVERAGE(C9:N9)</f>
        <v>1.416666667</v>
      </c>
      <c r="S9" s="17">
        <f t="shared" si="3"/>
        <v>0.03820224719</v>
      </c>
    </row>
    <row r="10">
      <c r="A10" s="9">
        <v>8.0</v>
      </c>
      <c r="B10" s="9" t="s">
        <v>196</v>
      </c>
      <c r="C10" s="170">
        <v>2.0</v>
      </c>
      <c r="D10" s="170">
        <v>0.0</v>
      </c>
      <c r="E10" s="170">
        <v>0.0</v>
      </c>
      <c r="F10" s="170">
        <v>0.0</v>
      </c>
      <c r="G10" s="170">
        <v>2.0</v>
      </c>
      <c r="H10" s="170">
        <v>1.0</v>
      </c>
      <c r="I10" s="171">
        <v>1.0</v>
      </c>
      <c r="J10" s="171">
        <v>1.0</v>
      </c>
      <c r="K10" s="171">
        <v>3.0</v>
      </c>
      <c r="L10" s="171">
        <v>7.0</v>
      </c>
      <c r="M10" s="171">
        <v>5.0</v>
      </c>
      <c r="N10" s="173"/>
      <c r="O10" s="173"/>
      <c r="P10" s="173"/>
      <c r="Q10" s="23">
        <f t="shared" si="1"/>
        <v>22</v>
      </c>
      <c r="R10" s="16">
        <f>AVERAGE(C10:M10)</f>
        <v>2</v>
      </c>
      <c r="S10" s="17">
        <f t="shared" si="3"/>
        <v>0.04943820225</v>
      </c>
    </row>
    <row r="11">
      <c r="A11" s="9">
        <v>9.0</v>
      </c>
      <c r="B11" s="9" t="s">
        <v>197</v>
      </c>
      <c r="C11" s="172">
        <v>3.0</v>
      </c>
      <c r="D11" s="172">
        <v>0.0</v>
      </c>
      <c r="E11" s="172">
        <v>1.0</v>
      </c>
      <c r="F11" s="172">
        <v>0.0</v>
      </c>
      <c r="G11" s="170">
        <v>1.0</v>
      </c>
      <c r="H11" s="170">
        <v>0.0</v>
      </c>
      <c r="I11" s="171">
        <v>2.0</v>
      </c>
      <c r="J11" s="171">
        <v>1.0</v>
      </c>
      <c r="K11" s="171">
        <v>1.0</v>
      </c>
      <c r="L11" s="171">
        <v>0.0</v>
      </c>
      <c r="M11" s="173"/>
      <c r="N11" s="173"/>
      <c r="O11" s="173"/>
      <c r="P11" s="173"/>
      <c r="Q11" s="23">
        <f t="shared" si="1"/>
        <v>9</v>
      </c>
      <c r="R11" s="16">
        <f>AVERAGE(C11:L11)</f>
        <v>0.9</v>
      </c>
      <c r="S11" s="17">
        <f t="shared" si="3"/>
        <v>0.0202247191</v>
      </c>
    </row>
    <row r="12">
      <c r="A12" s="9">
        <v>10.0</v>
      </c>
      <c r="B12" s="9" t="s">
        <v>27</v>
      </c>
      <c r="C12" s="170">
        <v>5.0</v>
      </c>
      <c r="D12" s="170">
        <v>3.0</v>
      </c>
      <c r="E12" s="170">
        <v>3.0</v>
      </c>
      <c r="F12" s="170">
        <v>6.0</v>
      </c>
      <c r="G12" s="170">
        <v>5.0</v>
      </c>
      <c r="H12" s="170">
        <v>5.0</v>
      </c>
      <c r="I12" s="171">
        <v>10.0</v>
      </c>
      <c r="J12" s="171">
        <v>3.0</v>
      </c>
      <c r="K12" s="171">
        <v>6.0</v>
      </c>
      <c r="L12" s="173"/>
      <c r="M12" s="173"/>
      <c r="N12" s="173"/>
      <c r="O12" s="173"/>
      <c r="P12" s="173"/>
      <c r="Q12" s="23">
        <f t="shared" si="1"/>
        <v>46</v>
      </c>
      <c r="R12" s="16">
        <f>AVERAGE(C12:K12)</f>
        <v>5.111111111</v>
      </c>
      <c r="S12" s="17">
        <f t="shared" si="3"/>
        <v>0.1033707865</v>
      </c>
    </row>
    <row r="13">
      <c r="A13" s="9">
        <v>11.0</v>
      </c>
      <c r="B13" s="9" t="s">
        <v>198</v>
      </c>
      <c r="C13" s="172">
        <v>6.0</v>
      </c>
      <c r="D13" s="172">
        <v>3.0</v>
      </c>
      <c r="E13" s="172">
        <v>8.0</v>
      </c>
      <c r="F13" s="172">
        <v>0.0</v>
      </c>
      <c r="G13" s="170">
        <v>3.0</v>
      </c>
      <c r="H13" s="170">
        <v>1.0</v>
      </c>
      <c r="I13" s="171">
        <v>11.0</v>
      </c>
      <c r="J13" s="171">
        <v>4.0</v>
      </c>
      <c r="K13" s="173"/>
      <c r="L13" s="173"/>
      <c r="M13" s="173"/>
      <c r="N13" s="173"/>
      <c r="O13" s="173"/>
      <c r="P13" s="173"/>
      <c r="Q13" s="23">
        <f t="shared" si="1"/>
        <v>36</v>
      </c>
      <c r="R13" s="16">
        <f>AVERAGE(C13:J13)</f>
        <v>4.5</v>
      </c>
      <c r="S13" s="17">
        <f t="shared" si="3"/>
        <v>0.0808988764</v>
      </c>
    </row>
    <row r="14">
      <c r="A14" s="9">
        <v>12.0</v>
      </c>
      <c r="B14" s="9" t="s">
        <v>199</v>
      </c>
      <c r="C14" s="170">
        <v>2.0</v>
      </c>
      <c r="D14" s="170">
        <v>0.0</v>
      </c>
      <c r="E14" s="170">
        <v>2.0</v>
      </c>
      <c r="F14" s="170">
        <v>1.0</v>
      </c>
      <c r="G14" s="170">
        <v>1.0</v>
      </c>
      <c r="H14" s="170">
        <v>2.0</v>
      </c>
      <c r="I14" s="171">
        <v>6.0</v>
      </c>
      <c r="J14" s="173"/>
      <c r="K14" s="173"/>
      <c r="L14" s="173"/>
      <c r="M14" s="173"/>
      <c r="N14" s="173"/>
      <c r="O14" s="173"/>
      <c r="P14" s="173"/>
      <c r="Q14" s="23">
        <f t="shared" si="1"/>
        <v>14</v>
      </c>
      <c r="R14" s="16">
        <f>AVERAGE(C14:I14)</f>
        <v>2</v>
      </c>
      <c r="S14" s="17">
        <f t="shared" si="3"/>
        <v>0.03146067416</v>
      </c>
    </row>
    <row r="15">
      <c r="A15" s="9">
        <v>13.0</v>
      </c>
      <c r="B15" s="9" t="s">
        <v>200</v>
      </c>
      <c r="C15" s="172">
        <v>6.0</v>
      </c>
      <c r="D15" s="172">
        <v>1.0</v>
      </c>
      <c r="E15" s="172">
        <v>0.0</v>
      </c>
      <c r="F15" s="172">
        <v>1.0</v>
      </c>
      <c r="G15" s="172">
        <v>2.0</v>
      </c>
      <c r="H15" s="172">
        <v>3.0</v>
      </c>
      <c r="I15" s="148"/>
      <c r="J15" s="148"/>
      <c r="K15" s="148"/>
      <c r="L15" s="148"/>
      <c r="M15" s="148"/>
      <c r="N15" s="148"/>
      <c r="O15" s="148"/>
      <c r="P15" s="148"/>
      <c r="Q15" s="23">
        <f t="shared" si="1"/>
        <v>13</v>
      </c>
      <c r="R15" s="16">
        <f>AVERAGE(C15:H15)</f>
        <v>2.166666667</v>
      </c>
      <c r="S15" s="17">
        <f t="shared" si="3"/>
        <v>0.02921348315</v>
      </c>
    </row>
    <row r="16">
      <c r="A16" s="9">
        <v>14.0</v>
      </c>
      <c r="B16" s="9" t="s">
        <v>156</v>
      </c>
      <c r="C16" s="170">
        <v>1.0</v>
      </c>
      <c r="D16" s="170">
        <v>1.0</v>
      </c>
      <c r="E16" s="170">
        <v>0.0</v>
      </c>
      <c r="F16" s="170">
        <v>2.0</v>
      </c>
      <c r="G16" s="172">
        <v>2.0</v>
      </c>
      <c r="H16" s="148"/>
      <c r="I16" s="148"/>
      <c r="J16" s="148"/>
      <c r="K16" s="148"/>
      <c r="L16" s="148"/>
      <c r="M16" s="148"/>
      <c r="N16" s="148"/>
      <c r="O16" s="148"/>
      <c r="P16" s="148"/>
      <c r="Q16" s="23">
        <f t="shared" si="1"/>
        <v>6</v>
      </c>
      <c r="R16" s="16">
        <f>AVERAGE(C16:G16)</f>
        <v>1.2</v>
      </c>
      <c r="S16" s="17">
        <f t="shared" si="3"/>
        <v>0.01348314607</v>
      </c>
    </row>
    <row r="17">
      <c r="A17" s="9">
        <v>15.0</v>
      </c>
      <c r="B17" s="9" t="s">
        <v>201</v>
      </c>
      <c r="C17" s="170">
        <v>3.0</v>
      </c>
      <c r="D17" s="170">
        <v>0.0</v>
      </c>
      <c r="E17" s="170">
        <v>1.0</v>
      </c>
      <c r="F17" s="170">
        <v>9.0</v>
      </c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23">
        <f t="shared" si="1"/>
        <v>13</v>
      </c>
      <c r="R17" s="16">
        <f>AVERAGE(C17:F17)</f>
        <v>3.25</v>
      </c>
      <c r="S17" s="17">
        <f t="shared" si="3"/>
        <v>0.02921348315</v>
      </c>
    </row>
    <row r="18">
      <c r="A18" s="9">
        <v>16.0</v>
      </c>
      <c r="B18" s="9" t="s">
        <v>202</v>
      </c>
      <c r="C18" s="172">
        <v>3.0</v>
      </c>
      <c r="D18" s="172">
        <v>3.0</v>
      </c>
      <c r="E18" s="172">
        <v>5.0</v>
      </c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23">
        <f t="shared" si="1"/>
        <v>11</v>
      </c>
      <c r="R18" s="16">
        <f>AVERAGE(C18:E18)</f>
        <v>3.666666667</v>
      </c>
      <c r="S18" s="17">
        <f t="shared" si="3"/>
        <v>0.02471910112</v>
      </c>
    </row>
    <row r="19">
      <c r="A19" s="9">
        <v>17.0</v>
      </c>
      <c r="B19" s="9" t="s">
        <v>203</v>
      </c>
      <c r="C19" s="172">
        <v>4.0</v>
      </c>
      <c r="D19" s="172">
        <v>3.0</v>
      </c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23">
        <f t="shared" si="1"/>
        <v>7</v>
      </c>
      <c r="R19" s="16">
        <f>AVERAGE(C19:D19)</f>
        <v>3.5</v>
      </c>
      <c r="S19" s="17">
        <f t="shared" si="3"/>
        <v>0.01573033708</v>
      </c>
    </row>
    <row r="20">
      <c r="A20" s="9">
        <v>18.0</v>
      </c>
      <c r="B20" s="9" t="s">
        <v>204</v>
      </c>
      <c r="C20" s="172">
        <v>4.0</v>
      </c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23">
        <f t="shared" si="1"/>
        <v>4</v>
      </c>
      <c r="R20" s="16">
        <f>AVERAGE(C20)</f>
        <v>4</v>
      </c>
      <c r="S20" s="17">
        <f t="shared" si="3"/>
        <v>0.008988764045</v>
      </c>
    </row>
    <row r="21">
      <c r="A21" s="4" t="s">
        <v>40</v>
      </c>
      <c r="B21" s="3"/>
      <c r="C21" s="23">
        <f t="shared" ref="C21:Q21" si="4">SUM(C3:C20)</f>
        <v>60</v>
      </c>
      <c r="D21" s="23">
        <f t="shared" si="4"/>
        <v>19</v>
      </c>
      <c r="E21" s="23">
        <f t="shared" si="4"/>
        <v>34</v>
      </c>
      <c r="F21" s="23">
        <f t="shared" si="4"/>
        <v>33</v>
      </c>
      <c r="G21" s="23">
        <f t="shared" si="4"/>
        <v>32</v>
      </c>
      <c r="H21" s="23">
        <f t="shared" si="4"/>
        <v>24</v>
      </c>
      <c r="I21" s="23">
        <f t="shared" si="4"/>
        <v>48</v>
      </c>
      <c r="J21" s="23">
        <f t="shared" si="4"/>
        <v>28</v>
      </c>
      <c r="K21" s="23">
        <f t="shared" si="4"/>
        <v>24</v>
      </c>
      <c r="L21" s="23">
        <f t="shared" si="4"/>
        <v>21</v>
      </c>
      <c r="M21" s="23">
        <f t="shared" si="4"/>
        <v>35</v>
      </c>
      <c r="N21" s="23">
        <f t="shared" si="4"/>
        <v>31</v>
      </c>
      <c r="O21" s="23">
        <f t="shared" si="4"/>
        <v>25</v>
      </c>
      <c r="P21" s="23">
        <f t="shared" si="4"/>
        <v>31</v>
      </c>
      <c r="Q21" s="23">
        <f t="shared" si="4"/>
        <v>445</v>
      </c>
      <c r="R21" s="16"/>
      <c r="S21" s="82"/>
    </row>
    <row r="22">
      <c r="A22" s="35" t="s">
        <v>18</v>
      </c>
      <c r="B22" s="3"/>
      <c r="C22" s="16">
        <f>AVERAGE(C3:C20)</f>
        <v>3.333333333</v>
      </c>
      <c r="D22" s="16">
        <f>AVERAGE(D3:D19)</f>
        <v>1.117647059</v>
      </c>
      <c r="E22" s="16">
        <f>AVERAGE(E3:E18)</f>
        <v>2.125</v>
      </c>
      <c r="F22" s="16">
        <f>AVERAGE(F3:F17)</f>
        <v>2.2</v>
      </c>
      <c r="G22" s="16">
        <f>AVERAGE(G3:G16)</f>
        <v>2.285714286</v>
      </c>
      <c r="H22" s="16">
        <f>AVERAGE(H3:H15)</f>
        <v>1.846153846</v>
      </c>
      <c r="I22" s="16">
        <f>AVERAGE(I3:I14)</f>
        <v>4</v>
      </c>
      <c r="J22" s="16">
        <f>AVERAGE(J3:J13)</f>
        <v>2.545454545</v>
      </c>
      <c r="K22" s="16">
        <f>AVERAGE(K3:K12)</f>
        <v>2.4</v>
      </c>
      <c r="L22" s="16">
        <f>AVERAGE(L3:L11)</f>
        <v>2.333333333</v>
      </c>
      <c r="M22" s="16">
        <f>AVERAGE(M3:M10)</f>
        <v>4.375</v>
      </c>
      <c r="N22" s="16">
        <f>AVERAGE(N3:N9)</f>
        <v>4.428571429</v>
      </c>
      <c r="O22" s="16">
        <f>AVERAGE(O3:O8)</f>
        <v>4.166666667</v>
      </c>
      <c r="P22" s="16">
        <f>AVERAGE(P3:P7)</f>
        <v>6.2</v>
      </c>
      <c r="Q22" s="16"/>
      <c r="R22" s="16"/>
      <c r="S22" s="82"/>
    </row>
    <row r="23">
      <c r="A23" s="4" t="s">
        <v>41</v>
      </c>
      <c r="B23" s="3"/>
      <c r="C23" s="149" t="str">
        <f>HYPERLINK("https://docs.google.com/document/d/1AyT9HDaphV-lTu3hZaOYTR5NkdiasC2R5Jf3ajlvaBY/edit?usp=sharing","Link")</f>
        <v>Link</v>
      </c>
      <c r="D23" s="149" t="str">
        <f>HYPERLINK("https://docs.google.com/document/d/13yELxaCjf8XXA1HxdGr9RFtMqTkViYphb5o6z_6BspM/edit?usp=sharing","Link")</f>
        <v>Link</v>
      </c>
      <c r="E23" s="149" t="str">
        <f>HYPERLINK("https://docs.google.com/document/d/11uEUTuexJCFhoMrbX-SiVjuYcKbL6-DYLqL-imNGM5Q/edit?usp=sharing","Link")</f>
        <v>Link</v>
      </c>
      <c r="F23" s="149" t="str">
        <f>HYPERLINK("https://docs.google.com/document/d/1tTwUCJ4AGsWzOd0FCkkzTRkRB3DiW3vgL6pAvJytpoE/edit?usp=sharing","Link")</f>
        <v>Link</v>
      </c>
      <c r="G23" s="149" t="str">
        <f>HYPERLINK("https://docs.google.com/document/d/1mOckDu4ZSUIgK2kGnYW-7yBngc7vI0taEPzzQEELOQ8/edit?usp=sharing","Link")</f>
        <v>Link</v>
      </c>
      <c r="H23" s="149" t="str">
        <f>HYPERLINK("https://docs.google.com/document/d/1UViSP7cI6CNsJD1PwV0LXonTBO4wFJ2NV2L6xIdXA4g/edit?usp=sharing","Link")</f>
        <v>Link</v>
      </c>
      <c r="I23" s="149" t="str">
        <f>HYPERLINK("https://docs.google.com/document/d/1IIejbyo7xiZU4KnBoYDsAfLlgiNHo6FWoja3-bCOKYM/edit?usp=sharing","Link")</f>
        <v>Link</v>
      </c>
      <c r="J23" s="149" t="str">
        <f>HYPERLINK("https://docs.google.com/document/d/1W7xy6RiRPQKlNgcx-ZMwk4eLOE0EVHxy60OKzfs-Y5Q/edit?usp=sharing","Link")</f>
        <v>Link</v>
      </c>
      <c r="K23" s="149" t="str">
        <f>HYPERLINK("https://docs.google.com/document/d/19uIQUhDXZNofYMaF-eYHWgqtJb9PNuumBntMml8VjVk/edit?usp=sharing","Link")</f>
        <v>Link</v>
      </c>
      <c r="L23" s="149" t="str">
        <f>HYPERLINK("https://docs.google.com/document/d/1bXZMTzzYapOjgYlEEXyDrxS9u_3QZ2io6U402_5vSHw/edit?usp=sharing","Link")</f>
        <v>Link</v>
      </c>
      <c r="M23" s="149" t="str">
        <f>HYPERLINK("https://docs.google.com/document/d/1Ub9vkI-bIE3c6telBXlUFjPtd2XtneUi3xjPj0F0nUs/edit?usp=sharing","Link")</f>
        <v>Link</v>
      </c>
      <c r="N23" s="149" t="str">
        <f>HYPERLINK("https://docs.google.com/document/d/1imyozAhsPXDNrqZ4kqIZaGP4eoDC4iyADxLvDmWoQzE/edit?usp=sharing","Link")</f>
        <v>Link</v>
      </c>
      <c r="O23" s="149" t="str">
        <f>HYPERLINK("https://docs.google.com/document/d/1IHBO3hE0BxPYx6I-rF6PYS8XE0hBkWVm54c4_IgJcVk/edit?usp=sharing","Link")</f>
        <v>Link</v>
      </c>
      <c r="P23" s="149" t="str">
        <f>HYPERLINK("https://docs.google.com/document/d/1UEsTrte9VQHucP-utHi5OdqzL7JhPANwUjwuN86Cb48/edit?usp=sharing","Link")</f>
        <v>Link</v>
      </c>
      <c r="Q23" s="83" t="str">
        <f>HYPERLINK("https://docs.google.com/document/d/13t-00xAVK3uaBSqWcp1muOH6Gj0k-bPPpujTfvdJjHw/edit?usp=sharing","Season Transcript")</f>
        <v>Season Transcript</v>
      </c>
      <c r="R23" s="3"/>
      <c r="S23" s="138" t="str">
        <f>HYPERLINK("https://docs.google.com/document/d/1uM531Xkqn-jczngOnlHghkSyw335PqJvYR3VoDye-ds/edit?usp=sharing","Differences")</f>
        <v>Differences</v>
      </c>
    </row>
    <row r="24"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  <c r="S24" s="150"/>
    </row>
    <row r="25">
      <c r="A25" s="174" t="s">
        <v>205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152"/>
    </row>
    <row r="26">
      <c r="A26" s="175" t="s">
        <v>206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152"/>
    </row>
    <row r="27">
      <c r="A27" s="176" t="s">
        <v>207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152"/>
    </row>
  </sheetData>
  <mergeCells count="10">
    <mergeCell ref="A25:B25"/>
    <mergeCell ref="A26:B26"/>
    <mergeCell ref="A27:B27"/>
    <mergeCell ref="A1:S1"/>
    <mergeCell ref="A2:B2"/>
    <mergeCell ref="A21:B21"/>
    <mergeCell ref="A22:B22"/>
    <mergeCell ref="A23:B23"/>
    <mergeCell ref="Q23:R23"/>
    <mergeCell ref="A24:B24"/>
  </mergeCells>
  <drawing r:id="rId2"/>
  <legacyDrawing r:id="rId3"/>
</worksheet>
</file>